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threadedComments/threadedComment1.xml" ContentType="application/vnd.ms-excel.threaded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1.xml" ContentType="application/vnd.openxmlformats-officedocument.drawing+xml"/>
  <Override PartName="/xl/comments17.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drawings/drawing12.xml" ContentType="application/vnd.openxmlformats-officedocument.drawing+xml"/>
  <Override PartName="/xl/comments18.xml" ContentType="application/vnd.openxmlformats-officedocument.spreadsheetml.comments+xml"/>
  <Override PartName="/xl/charts/chart7.xml" ContentType="application/vnd.openxmlformats-officedocument.drawingml.chart+xml"/>
  <Override PartName="/xl/drawings/drawing1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omments19.xml" ContentType="application/vnd.openxmlformats-officedocument.spreadsheetml.comments+xml"/>
  <Override PartName="/xl/drawings/drawing14.xml" ContentType="application/vnd.openxmlformats-officedocument.drawing+xml"/>
  <Override PartName="/xl/comments20.xml" ContentType="application/vnd.openxmlformats-officedocument.spreadsheetml.comments+xml"/>
  <Override PartName="/xl/charts/chart10.xml" ContentType="application/vnd.openxmlformats-officedocument.drawingml.chart+xml"/>
  <Override PartName="/xl/drawings/drawing15.xml" ContentType="application/vnd.openxmlformats-officedocument.drawing+xml"/>
  <Override PartName="/xl/comments2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codeName="{28389E77-7640-9E18-AD5C-E98E2F4A8B83}"/>
  <workbookPr updateLinks="never" codeName="ThisWorkbook"/>
  <mc:AlternateContent xmlns:mc="http://schemas.openxmlformats.org/markup-compatibility/2006">
    <mc:Choice Requires="x15">
      <x15ac:absPath xmlns:x15ac="http://schemas.microsoft.com/office/spreadsheetml/2010/11/ac" url="https://gesza.sharepoint.com/sites/Clients/Shared Documents/UK PACT/Projects/2025-GESI-1005 CC Act Subnational Support/Implementation/MP GHG inventories/MP Inventory Training 8 May/Materials for participants/For printing/"/>
    </mc:Choice>
  </mc:AlternateContent>
  <xr:revisionPtr revIDLastSave="16" documentId="8_{D3046426-97D3-41A1-84C0-A753EA77F161}" xr6:coauthVersionLast="47" xr6:coauthVersionMax="47" xr10:uidLastSave="{7AFB667E-EC9F-46EB-98A9-F4D361CF6967}"/>
  <bookViews>
    <workbookView xWindow="-120" yWindow="-120" windowWidth="29040" windowHeight="15720" tabRatio="909" firstSheet="7" activeTab="7" xr2:uid="{00000000-000D-0000-FFFF-FFFF00000000}"/>
  </bookViews>
  <sheets>
    <sheet name="Main Menu" sheetId="13" state="hidden" r:id="rId1"/>
    <sheet name="ReportCover" sheetId="89" state="veryHidden" r:id="rId2"/>
    <sheet name="TableOfContents" sheetId="86" state="hidden" r:id="rId3"/>
    <sheet name="Definitions" sheetId="11" state="hidden" r:id="rId4"/>
    <sheet name="Definitions_ProdLang" sheetId="84" state="veryHidden" r:id="rId5"/>
    <sheet name="Definitions_FlowLang" sheetId="85" state="veryHidden" r:id="rId6"/>
    <sheet name="Exceptions" sheetId="32" state="veryHidden" r:id="rId7"/>
    <sheet name="For printing" sheetId="5" r:id="rId8"/>
    <sheet name="Conversion factors" sheetId="7" state="hidden" r:id="rId9"/>
    <sheet name="Disaggregated Balance" sheetId="29" state="hidden" r:id="rId10"/>
    <sheet name="CF formulas" sheetId="78" state="veryHidden" r:id="rId11"/>
    <sheet name="DPU formulas" sheetId="75" state="veryHidden" r:id="rId12"/>
    <sheet name="Aggregated Balance" sheetId="81" state="hidden" r:id="rId13"/>
    <sheet name="Published Balance" sheetId="91" state="hidden" r:id="rId14"/>
    <sheet name="BAL_Reading_Exercise" sheetId="99" state="veryHidden" r:id="rId15"/>
    <sheet name="BAL_Checking_Exercise" sheetId="100" state="veryHidden" r:id="rId16"/>
    <sheet name="BAL_Comparison" sheetId="103" state="veryHidden" r:id="rId17"/>
    <sheet name="Balance Summary" sheetId="90" state="hidden" r:id="rId18"/>
    <sheet name="Coal_Table_1" sheetId="53" state="hidden" r:id="rId19"/>
    <sheet name="Coal_Table_4" sheetId="54" state="hidden" r:id="rId20"/>
    <sheet name="Gas_Table_1" sheetId="59" state="hidden" r:id="rId21"/>
    <sheet name="Gas_Table_2a" sheetId="60" state="hidden" r:id="rId22"/>
    <sheet name="Gas_Table_2b" sheetId="61" state="hidden" r:id="rId23"/>
    <sheet name="Oil_Table_1" sheetId="55" state="hidden" r:id="rId24"/>
    <sheet name="Oil_Table_2a" sheetId="56" state="hidden" r:id="rId25"/>
    <sheet name="Oil_Table_3a" sheetId="58" state="hidden" r:id="rId26"/>
    <sheet name="Oil_Table_3b" sheetId="80" state="hidden" r:id="rId27"/>
    <sheet name="Ren_Table_1" sheetId="69" state="hidden" r:id="rId28"/>
    <sheet name="Ren_Table_2a" sheetId="70" state="hidden" r:id="rId29"/>
    <sheet name="Ren_Table_3a" sheetId="71" state="hidden" r:id="rId30"/>
    <sheet name="Ele_Table_1" sheetId="62" state="hidden" r:id="rId31"/>
    <sheet name="Ele_Table_3" sheetId="63" state="hidden" r:id="rId32"/>
    <sheet name="Ele_Table_4" sheetId="64" state="hidden" r:id="rId33"/>
    <sheet name="Ele_Table_6a" sheetId="65" state="hidden" r:id="rId34"/>
    <sheet name="Ele_Table_6b" sheetId="66" state="hidden" r:id="rId35"/>
    <sheet name="Ele_Table_6c" sheetId="72" state="hidden" r:id="rId36"/>
    <sheet name="Ele_Table_6d" sheetId="68" state="hidden" r:id="rId37"/>
    <sheet name="Ele_Table_7a" sheetId="94" state="hidden" r:id="rId38"/>
    <sheet name="IronSteel_CokeOven" sheetId="82" state="hidden" r:id="rId39"/>
    <sheet name="IronSteel_BlastFurnace" sheetId="88" state="hidden" r:id="rId40"/>
    <sheet name="Refinery" sheetId="87" state="hidden" r:id="rId41"/>
    <sheet name="Electricity_Heat_II" sheetId="98" state="hidden" r:id="rId42"/>
    <sheet name="CapacityFactor" sheetId="96" state="hidden" r:id="rId43"/>
    <sheet name="Electricity_Heat_I" sheetId="95" state="hidden" r:id="rId44"/>
    <sheet name="VersionHistory" sheetId="101" state="hidden" r:id="rId45"/>
  </sheets>
  <definedNames>
    <definedName name="aa"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DDITIVE">Definitions!$C$35</definedName>
    <definedName name="AGRICULT">Definitions!$C$167</definedName>
    <definedName name="ANTCOAL">Definitions!$C$13</definedName>
    <definedName name="AUTOCHP">Definitions!$C$103</definedName>
    <definedName name="AUTOELEC">Definitions!$C$101</definedName>
    <definedName name="AUTOHEAT">Definitions!$C$105</definedName>
    <definedName name="AVBUNK">Definitions!$C$92</definedName>
    <definedName name="AVGAS">Definitions!$C$42</definedName>
    <definedName name="bb"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IGBAL">'Disaggregated Balance'!$E$5:$BP$99</definedName>
    <definedName name="BIODIESEL">Definitions!$C$65</definedName>
    <definedName name="BIOGASES">Definitions!$C$62</definedName>
    <definedName name="BIOGASOL">Definitions!$C$63</definedName>
    <definedName name="BIOJETKERO">Definitions!$C$64</definedName>
    <definedName name="BITCOAL">Definitions!$C$15</definedName>
    <definedName name="BITUMEN">Definitions!$C$51</definedName>
    <definedName name="BKB">Definitions!$C$22</definedName>
    <definedName name="BLFURGS">Definitions!$C$25</definedName>
    <definedName name="BOILER">Definitions!$C$78</definedName>
    <definedName name="CFHeadings">'Conversion factors'!$B$4:$Q$4</definedName>
    <definedName name="CHARCOAL">Definitions!$C$68</definedName>
    <definedName name="CHEMHEAT">Definitions!$C$79</definedName>
    <definedName name="CHEMICAL">Definitions!$C$145</definedName>
    <definedName name="COALTAR">Definitions!$C$21</definedName>
    <definedName name="COKCOAL">Definitions!$C$14</definedName>
    <definedName name="COKEOVGS">Definitions!$C$24</definedName>
    <definedName name="COMMPUB">Definitions!$C$166</definedName>
    <definedName name="CONSTRUC">Definitions!$C$154</definedName>
    <definedName name="ConversionFactors" localSheetId="10">OFFSET('CF formulas'!$B$5,0,0,100,16)</definedName>
    <definedName name="ConversionFactors">OFFSET('Conversion factors'!$B$5,0,0,100,16)</definedName>
    <definedName name="Countries">'Main Menu'!$C$65:$C$133</definedName>
    <definedName name="CountryName">'Main Menu'!$D$10</definedName>
    <definedName name="CRUDEOIL">Definitions!$C$32</definedName>
    <definedName name="DataYear">'Main Menu'!$D$12</definedName>
    <definedName name="DISTLOSS">Definitions!$C$140</definedName>
    <definedName name="DOMESAIR">Definitions!$C$158</definedName>
    <definedName name="DOMESNAV">Definitions!$C$162</definedName>
    <definedName name="DOMSUP">Definitions!$C$94</definedName>
    <definedName name="EBIOGAS">Definitions!$C$128</definedName>
    <definedName name="EBKB">Definitions!$C$130</definedName>
    <definedName name="EBLASTFUR">Definitions!$C$129</definedName>
    <definedName name="ECHARCOAL">Definitions!$C$138</definedName>
    <definedName name="ECOALLIQ">Definitions!$C$132</definedName>
    <definedName name="ECOKEOVS">Definitions!$C$126</definedName>
    <definedName name="EGASWKS">Definitions!$C$127</definedName>
    <definedName name="EGTL">Definitions!$C$134</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Definitions!$C$81</definedName>
    <definedName name="ELNG">Definitions!$C$133</definedName>
    <definedName name="ELOUTPUT">Definitions!$C$176</definedName>
    <definedName name="EMINES">Definitions!$C$123</definedName>
    <definedName name="ENONSPEC">Definitions!$C$139</definedName>
    <definedName name="ENUC">Definitions!$C$137</definedName>
    <definedName name="EOILGASEX">Definitions!$C$124</definedName>
    <definedName name="EPATFUEL">Definitions!$C$125</definedName>
    <definedName name="EPOWERPLT">Definitions!$C$135</definedName>
    <definedName name="EPUMPST">Definitions!$C$136</definedName>
    <definedName name="EREFINER">Definitions!$C$131</definedName>
    <definedName name="ETHANE">Definitions!$C$39</definedName>
    <definedName name="Exceptions">OFFSET(Exceptions!$B$8,1,0,COUNTA(Exceptions!$B$8:$B$100)-1,6)</definedName>
    <definedName name="EXPORTS">Definitions!$C$90</definedName>
    <definedName name="file_coal">'Main Menu'!$D$19</definedName>
    <definedName name="file_electricity">'Main Menu'!$D$23</definedName>
    <definedName name="file_gas">'Main Menu'!$D$21</definedName>
    <definedName name="file_oil">'Main Menu'!$D$20</definedName>
    <definedName name="file_renewables">'Main Menu'!$D$22</definedName>
    <definedName name="FINCONS">Definitions!$C$142</definedName>
    <definedName name="FISHING">Definitions!$C$168</definedName>
    <definedName name="FOODPRO">Definitions!$C$151</definedName>
    <definedName name="gas_file">'Main Menu'!$D$21</definedName>
    <definedName name="GASCOKE">Definitions!$C$20</definedName>
    <definedName name="GASWKSGS">Definitions!$C$23</definedName>
    <definedName name="GBIOMASS">Definitions!$C$62</definedName>
    <definedName name="GEOTHERM">Definitions!$C$72</definedName>
    <definedName name="GWh_to_ktoe">'Conversion factors'!$C$58</definedName>
    <definedName name="HEAT">Definitions!$C$82</definedName>
    <definedName name="HEATNS">Definitions!$C$83</definedName>
    <definedName name="HEATOUT">Definitions!$C$177</definedName>
    <definedName name="HEATPUMP">Definitions!$C$77</definedName>
    <definedName name="HYDRO">Definitions!$C$71</definedName>
    <definedName name="IMPORTS">Definitions!$C$89</definedName>
    <definedName name="INDPROD">Definitions!$C$87</definedName>
    <definedName name="INDWASTE">Definitions!$C$58</definedName>
    <definedName name="INONSPEC">Definitions!$C$156</definedName>
    <definedName name="IRONSTL">Definitions!$C$144</definedName>
    <definedName name="JETGAS">Definitions!$C$43</definedName>
    <definedName name="JETKERO">Definitions!$C$44</definedName>
    <definedName name="kJ_to_ktoe">'Conversion factors'!$C$57</definedName>
    <definedName name="kJ_to_TJ">'Conversion factors'!$C$55</definedName>
    <definedName name="kt_to_kg">'Conversion factors'!$C$54</definedName>
    <definedName name="LangChoice" comment="Range to define which language to display.">'Main Menu'!$L$3</definedName>
    <definedName name="LatestYear">'Main Menu'!$D$65</definedName>
    <definedName name="LIGNITE">Definitions!$C$17</definedName>
    <definedName name="LPG">Definitions!$C$40</definedName>
    <definedName name="LUBRIC">Definitions!$C$50</definedName>
    <definedName name="MACHINE">Definitions!$C$149</definedName>
    <definedName name="MAINCHP">Definitions!$C$102</definedName>
    <definedName name="MAINELEC">Definitions!$C$100</definedName>
    <definedName name="MAINHEAT">Definitions!$C$104</definedName>
    <definedName name="MANGAS">Definitions!$C$27</definedName>
    <definedName name="MARBUNK">Definitions!$C$91</definedName>
    <definedName name="MINING">Definitions!$C$150</definedName>
    <definedName name="MJ_per_toe">41868</definedName>
    <definedName name="MUNWASTEN">Definitions!$C$60</definedName>
    <definedName name="MUNWASTER">Definitions!$C$59</definedName>
    <definedName name="NAPHTHA">Definitions!$C$48</definedName>
    <definedName name="NATGAS">Definitions!$C$56</definedName>
    <definedName name="NECHEM">Definitions!$C$174</definedName>
    <definedName name="NEINTREN">Definitions!$C$171</definedName>
    <definedName name="NEOTHER">Definitions!$C$173</definedName>
    <definedName name="NETRANS">Definitions!$C$172</definedName>
    <definedName name="NGL">Definitions!$C$33</definedName>
    <definedName name="NONBIODIES">Definitions!$C$46</definedName>
    <definedName name="NONBIOGASO">Definitions!$C$41</definedName>
    <definedName name="NONBIOJETK">Definitions!$C$44</definedName>
    <definedName name="NONCRUDE">Definitions!$C$36</definedName>
    <definedName name="NONENUSE">Definitions!$C$170</definedName>
    <definedName name="NONFERR">Definitions!$C$146</definedName>
    <definedName name="NONMET">Definitions!$C$147</definedName>
    <definedName name="nonno">Exceptions!$C$30:$C$31</definedName>
    <definedName name="NUCLEAR">Definitions!$C$70</definedName>
    <definedName name="OBIOLIQ">Definitions!$C$66</definedName>
    <definedName name="OGASES">Definitions!$C$26</definedName>
    <definedName name="oil_file">'Main Menu'!$D$20</definedName>
    <definedName name="OILSHALE">Definitions!$C$30</definedName>
    <definedName name="ONONSPEC">Definitions!$C$54</definedName>
    <definedName name="OSOURCES">Definitions!$C$88</definedName>
    <definedName name="OTHER">Definitions!$C$80</definedName>
    <definedName name="OTHKERO">Definitions!$C$45</definedName>
    <definedName name="OTHNONSPEC">Definitions!$C$169</definedName>
    <definedName name="OVENCOKE">Definitions!$C$19</definedName>
    <definedName name="OXYSTGS">Definitions!$C$26</definedName>
    <definedName name="PAPERPRO">Definitions!$C$152</definedName>
    <definedName name="PARWAX">Definitions!$C$52</definedName>
    <definedName name="PATFUEL">Definitions!$C$18</definedName>
    <definedName name="PEAT">Definitions!$C$28</definedName>
    <definedName name="PEATPROD">Definitions!$C$29</definedName>
    <definedName name="PETCOKE">Definitions!$C$53</definedName>
    <definedName name="PIPELINE">Definitions!$C$161</definedName>
    <definedName name="PRIMSBIO">Definitions!$C$61</definedName>
    <definedName name="_xlnm.Print_Area" localSheetId="17">'Balance Summary'!$A$1:$I$39</definedName>
    <definedName name="_xlnm.Print_Area" localSheetId="42">CapacityFactor!$A$1:$M$61</definedName>
    <definedName name="_xlnm.Print_Area" localSheetId="8">'Conversion factors'!$A$1:$Q$52</definedName>
    <definedName name="_xlnm.Print_Area" localSheetId="43">Electricity_Heat_I!$A$1:$J$53</definedName>
    <definedName name="_xlnm.Print_Area" localSheetId="41">Electricity_Heat_II!$A$1:$Q$66</definedName>
    <definedName name="_xlnm.Print_Area" localSheetId="7">'For printing'!$A$1:$BP$107</definedName>
    <definedName name="_xlnm.Print_Area" localSheetId="39">IronSteel_BlastFurnace!$A$1:$P$46</definedName>
    <definedName name="_xlnm.Print_Area" localSheetId="38">IronSteel_CokeOven!$A$1:$Q$43</definedName>
    <definedName name="_xlnm.Print_Area" localSheetId="13">'Published Balance'!$A$1:$L$67</definedName>
    <definedName name="_xlnm.Print_Area" localSheetId="40">Refinery!$A$1:$L$61</definedName>
    <definedName name="_xlnm.Print_Area" localSheetId="1">ReportCover!$A$1:$I$45</definedName>
    <definedName name="_xlnm.Print_Titles" localSheetId="42">CapacityFactor!$1:$1</definedName>
    <definedName name="_xlnm.Print_Titles" localSheetId="8">'Conversion factors'!$A:$A,'Conversion factors'!$3:$3</definedName>
    <definedName name="_xlnm.Print_Titles" localSheetId="43">Electricity_Heat_I!$1:$1</definedName>
    <definedName name="_xlnm.Print_Titles" localSheetId="41">Electricity_Heat_II!$1:$1</definedName>
    <definedName name="_xlnm.Print_Titles" localSheetId="7">'For printing'!$A:$A,'For printing'!$3:$3</definedName>
    <definedName name="_xlnm.Print_Titles" localSheetId="38">IronSteel_CokeOven!$1:$1</definedName>
    <definedName name="_xlnm.Print_Titles" localSheetId="40">Refinery!$1:$1</definedName>
    <definedName name="RAIL">Definitions!$C$160</definedName>
    <definedName name="RawCFData" localSheetId="11">OFFSET(#REF!,0,0,COUNTA(#REF!),COUNTA('DPU formulas'!RawCFDataHeadings)+2)</definedName>
    <definedName name="RawCFDataHeadings" localSheetId="11">OFFSET(#REF!,0,0,1,COUNTA(#REF!)+2)</definedName>
    <definedName name="RawData">'For printing'!$B$5:$BP$106</definedName>
    <definedName name="RawDataHeadings">'For printing'!$B$4:$BP$4</definedName>
    <definedName name="REFFEEDS">Definitions!$C$34</definedName>
    <definedName name="REFINGAS">Definitions!$C$38</definedName>
    <definedName name="renewables_file">'Main Menu'!$D$22</definedName>
    <definedName name="RENEWNS">Definitions!$C$67</definedName>
    <definedName name="RESFUEL">Definitions!$C$47</definedName>
    <definedName name="RESIDENT">Definitions!$C$165</definedName>
    <definedName name="ROAD">Definitions!$C$159</definedName>
    <definedName name="SBIOMASS">Definitions!$C$61</definedName>
    <definedName name="SOLARPV">Definitions!$C$73</definedName>
    <definedName name="SOLARTH">Definitions!$C$74</definedName>
    <definedName name="STATDIFF">Definitions!$C$97</definedName>
    <definedName name="STOCKCHA">Definitions!$C$93</definedName>
    <definedName name="SUBCOAL">Definitions!$C$16</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BKB">Definitions!$C$114</definedName>
    <definedName name="TBLASTFUR">Definitions!$C$112</definedName>
    <definedName name="TBLENDGAS">Definitions!$C$118</definedName>
    <definedName name="TBOILER">Definitions!$C$107</definedName>
    <definedName name="TCHARCOAL">Definitions!$C$119</definedName>
    <definedName name="TCOALLIQ">Definitions!$C$116</definedName>
    <definedName name="TCOKEOVS">Definitions!$C$110</definedName>
    <definedName name="TELE">Definitions!$C$108</definedName>
    <definedName name="TEXTILES">Definitions!$C$155</definedName>
    <definedName name="TGASWKS">Definitions!$C$111</definedName>
    <definedName name="TGTL">Definitions!$C$117</definedName>
    <definedName name="THEAT">Definitions!$C$106</definedName>
    <definedName name="TIDE">Definitions!$C$75</definedName>
    <definedName name="TJ_to_ktoe">'Conversion factors'!$C$56</definedName>
    <definedName name="TNONSPEC">Definitions!$C$120</definedName>
    <definedName name="TOTENGY">Definitions!$C$122</definedName>
    <definedName name="TOTIND">Definitions!$C$143</definedName>
    <definedName name="TOTOTHER">Definitions!$C$164</definedName>
    <definedName name="TOTTRANF">Definitions!$C$99</definedName>
    <definedName name="TOTTRANS">Definitions!$C$157</definedName>
    <definedName name="TPATFUEL">Definitions!$C$109</definedName>
    <definedName name="TPES">Definitions!$C$95</definedName>
    <definedName name="TPETCHEM">Definitions!$C$113</definedName>
    <definedName name="TRANSEQ">Definitions!$C$148</definedName>
    <definedName name="TRANSFER">Definitions!$C$96</definedName>
    <definedName name="TREFINER">Definitions!$C$115</definedName>
    <definedName name="TRNONSPE">Definitions!$C$163</definedName>
    <definedName name="WHITESP">Definitions!$C$49</definedName>
    <definedName name="WIND">Definitions!$C$76</definedName>
    <definedName name="WOODPRO">Definitions!$C$153</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78" i="5" l="1"/>
  <c r="AD16" i="5"/>
  <c r="AA82" i="5"/>
  <c r="AB82" i="5"/>
  <c r="AC82" i="5"/>
  <c r="AD82" i="5"/>
  <c r="AE82" i="5"/>
  <c r="AF82" i="5"/>
  <c r="AG82" i="5"/>
  <c r="AH82" i="5"/>
  <c r="AJ82" i="5"/>
  <c r="AO12" i="5"/>
  <c r="AN12" i="5"/>
  <c r="AM12" i="5"/>
  <c r="AL12" i="5"/>
  <c r="AO11" i="5"/>
  <c r="AN11" i="5"/>
  <c r="AM11" i="5"/>
  <c r="AL11" i="5"/>
  <c r="AP5" i="5"/>
  <c r="AO5" i="5"/>
  <c r="AN5" i="5"/>
  <c r="AM5" i="5"/>
  <c r="AL5" i="5"/>
  <c r="A3" i="5"/>
  <c r="C2" i="5"/>
  <c r="AI84" i="5"/>
  <c r="AI82" i="5" s="1"/>
  <c r="P3" i="5"/>
  <c r="Y3" i="5"/>
  <c r="G19" i="5"/>
  <c r="M16" i="5"/>
  <c r="N16" i="5"/>
  <c r="C39" i="82"/>
  <c r="O16" i="5"/>
  <c r="C40" i="88"/>
  <c r="C24" i="7"/>
  <c r="C25" i="7"/>
  <c r="C26" i="7"/>
  <c r="C27" i="7"/>
  <c r="C28" i="7"/>
  <c r="C29" i="7"/>
  <c r="C30" i="7"/>
  <c r="C31" i="7"/>
  <c r="C32" i="7"/>
  <c r="C33" i="7"/>
  <c r="C34" i="7"/>
  <c r="C23" i="7"/>
  <c r="C27" i="87"/>
  <c r="C31" i="87"/>
  <c r="C29" i="87"/>
  <c r="U16" i="5"/>
  <c r="C41" i="87"/>
  <c r="C53" i="87"/>
  <c r="C52" i="87"/>
  <c r="C51" i="87"/>
  <c r="C54" i="87"/>
  <c r="C50" i="87"/>
  <c r="C48" i="87"/>
  <c r="C47" i="87"/>
  <c r="C43" i="87"/>
  <c r="C46" i="87"/>
  <c r="C44" i="87"/>
  <c r="C40" i="87"/>
  <c r="AQ19" i="5"/>
  <c r="AR19" i="5"/>
  <c r="BO102" i="5"/>
  <c r="BN93" i="5"/>
  <c r="AQ16" i="5"/>
  <c r="AH16" i="5"/>
  <c r="AD75" i="5"/>
  <c r="AE16" i="5"/>
  <c r="AC16" i="5"/>
  <c r="AG16" i="5"/>
  <c r="BN16" i="5"/>
  <c r="AY88" i="5"/>
  <c r="BC16" i="5"/>
  <c r="BD16" i="5"/>
  <c r="BE16" i="5"/>
  <c r="BF16" i="5"/>
  <c r="BG16" i="5"/>
  <c r="BH16" i="5"/>
  <c r="BI16" i="5"/>
  <c r="BC19" i="5"/>
  <c r="F61" i="7" l="1"/>
  <c r="F62" i="7"/>
  <c r="F63" i="7"/>
  <c r="F64" i="7"/>
  <c r="F65" i="7"/>
  <c r="F66" i="7"/>
  <c r="F67" i="7"/>
  <c r="F68" i="7"/>
  <c r="F69" i="7"/>
  <c r="F70" i="7"/>
  <c r="F71" i="7"/>
  <c r="F72" i="7"/>
  <c r="E41" i="5" l="1"/>
  <c r="D41" i="5"/>
  <c r="D16" i="5"/>
  <c r="F16" i="5"/>
  <c r="C93" i="5"/>
  <c r="D102" i="5"/>
  <c r="C88" i="5"/>
  <c r="C75" i="5"/>
  <c r="D75" i="5"/>
  <c r="E75" i="5"/>
  <c r="F75" i="5"/>
  <c r="G75" i="5"/>
  <c r="H75" i="5"/>
  <c r="I75" i="5"/>
  <c r="J75" i="5"/>
  <c r="K75" i="5"/>
  <c r="L75" i="5"/>
  <c r="M75" i="5"/>
  <c r="C82" i="5"/>
  <c r="D82" i="5"/>
  <c r="E82" i="5"/>
  <c r="F82" i="5"/>
  <c r="G82" i="5"/>
  <c r="H82" i="5"/>
  <c r="I82" i="5"/>
  <c r="J82" i="5"/>
  <c r="K82" i="5"/>
  <c r="L82" i="5"/>
  <c r="M82" i="5"/>
  <c r="AQ41" i="5"/>
  <c r="AQ61" i="5"/>
  <c r="AQ75" i="5"/>
  <c r="AQ82" i="5"/>
  <c r="AQ88" i="5"/>
  <c r="AQ93" i="5"/>
  <c r="AQ102" i="5"/>
  <c r="C16" i="7"/>
  <c r="C5" i="7"/>
  <c r="E16" i="5"/>
  <c r="AR16" i="5"/>
  <c r="AS16" i="5"/>
  <c r="AK41" i="5"/>
  <c r="D19" i="5"/>
  <c r="E19" i="5"/>
  <c r="F19" i="5"/>
  <c r="C16" i="5"/>
  <c r="G16" i="5"/>
  <c r="H16" i="5"/>
  <c r="I16" i="5"/>
  <c r="J16" i="5"/>
  <c r="AV16" i="5"/>
  <c r="BM102" i="5"/>
  <c r="BL102" i="5"/>
  <c r="BK102" i="5"/>
  <c r="BJ102" i="5"/>
  <c r="BG102" i="5"/>
  <c r="BE102" i="5"/>
  <c r="BC102" i="5"/>
  <c r="AZ102" i="5"/>
  <c r="AY102" i="5"/>
  <c r="AW102" i="5"/>
  <c r="AV102" i="5"/>
  <c r="AU102" i="5"/>
  <c r="AT102" i="5"/>
  <c r="AS102" i="5"/>
  <c r="AR102" i="5"/>
  <c r="AP102" i="5"/>
  <c r="AO102" i="5"/>
  <c r="AM102" i="5"/>
  <c r="AJ102" i="5"/>
  <c r="AI102" i="5"/>
  <c r="AH102" i="5"/>
  <c r="AG102" i="5"/>
  <c r="AF102" i="5"/>
  <c r="AB102" i="5"/>
  <c r="Z102" i="5"/>
  <c r="V102" i="5"/>
  <c r="U102" i="5"/>
  <c r="T102" i="5"/>
  <c r="S102" i="5"/>
  <c r="R102" i="5"/>
  <c r="Q102" i="5"/>
  <c r="P102" i="5"/>
  <c r="O102" i="5"/>
  <c r="N102" i="5"/>
  <c r="M102" i="5"/>
  <c r="L102" i="5"/>
  <c r="K102" i="5"/>
  <c r="J102" i="5"/>
  <c r="I102" i="5"/>
  <c r="H102" i="5"/>
  <c r="G102" i="5"/>
  <c r="F102" i="5"/>
  <c r="E102" i="5"/>
  <c r="C102" i="5"/>
  <c r="BM93" i="5"/>
  <c r="BL93" i="5"/>
  <c r="BI93" i="5"/>
  <c r="BH93" i="5"/>
  <c r="BG93" i="5"/>
  <c r="BF93" i="5"/>
  <c r="BE93" i="5"/>
  <c r="BD93" i="5"/>
  <c r="BC93" i="5"/>
  <c r="AZ93" i="5"/>
  <c r="AW93" i="5"/>
  <c r="AV93" i="5"/>
  <c r="AU93" i="5"/>
  <c r="AT93" i="5"/>
  <c r="AS93" i="5"/>
  <c r="AR93" i="5"/>
  <c r="AP93" i="5"/>
  <c r="AO93" i="5"/>
  <c r="AM93" i="5"/>
  <c r="AJ93" i="5"/>
  <c r="AI93" i="5"/>
  <c r="AH93" i="5"/>
  <c r="AG93" i="5"/>
  <c r="AF93" i="5"/>
  <c r="AB93" i="5"/>
  <c r="Z93" i="5"/>
  <c r="V93" i="5"/>
  <c r="U93" i="5"/>
  <c r="T93" i="5"/>
  <c r="S93" i="5"/>
  <c r="R93" i="5"/>
  <c r="Q93" i="5"/>
  <c r="P93" i="5"/>
  <c r="O93" i="5"/>
  <c r="N93" i="5"/>
  <c r="M93" i="5"/>
  <c r="L93" i="5"/>
  <c r="K93" i="5"/>
  <c r="J93" i="5"/>
  <c r="I93" i="5"/>
  <c r="H93" i="5"/>
  <c r="G93" i="5"/>
  <c r="F93" i="5"/>
  <c r="E93" i="5"/>
  <c r="D93" i="5"/>
  <c r="AZ88" i="5"/>
  <c r="AX88" i="5"/>
  <c r="AW88" i="5"/>
  <c r="AP88" i="5"/>
  <c r="AO88" i="5"/>
  <c r="AN88" i="5"/>
  <c r="AM88" i="5"/>
  <c r="AL88" i="5"/>
  <c r="AK88" i="5"/>
  <c r="AJ88" i="5"/>
  <c r="AI88" i="5"/>
  <c r="AH88" i="5"/>
  <c r="AG88" i="5"/>
  <c r="AF88" i="5"/>
  <c r="AE88" i="5"/>
  <c r="AD88" i="5"/>
  <c r="AC88" i="5"/>
  <c r="AB88" i="5"/>
  <c r="AA88" i="5"/>
  <c r="Z88" i="5"/>
  <c r="V88" i="5"/>
  <c r="U88" i="5"/>
  <c r="T88" i="5"/>
  <c r="S88" i="5"/>
  <c r="R88" i="5"/>
  <c r="Q88" i="5"/>
  <c r="P88" i="5"/>
  <c r="O88" i="5"/>
  <c r="N88" i="5"/>
  <c r="M88" i="5"/>
  <c r="L88" i="5"/>
  <c r="K88" i="5"/>
  <c r="J88" i="5"/>
  <c r="I88" i="5"/>
  <c r="H88" i="5"/>
  <c r="G88" i="5"/>
  <c r="F88" i="5"/>
  <c r="E88" i="5"/>
  <c r="D88" i="5"/>
  <c r="BO82" i="5"/>
  <c r="BN82" i="5"/>
  <c r="BG82" i="5"/>
  <c r="BE82" i="5"/>
  <c r="BB82" i="5"/>
  <c r="AZ82" i="5"/>
  <c r="AY82" i="5"/>
  <c r="AX82" i="5"/>
  <c r="AW82" i="5"/>
  <c r="AV82" i="5"/>
  <c r="AU82" i="5"/>
  <c r="AT82" i="5"/>
  <c r="AS82" i="5"/>
  <c r="AR82" i="5"/>
  <c r="AP82" i="5"/>
  <c r="AO82" i="5"/>
  <c r="AN82" i="5"/>
  <c r="AM82" i="5"/>
  <c r="AL82" i="5"/>
  <c r="AK82" i="5"/>
  <c r="Z82" i="5"/>
  <c r="V82" i="5"/>
  <c r="U82" i="5"/>
  <c r="T82" i="5"/>
  <c r="S82" i="5"/>
  <c r="R82" i="5"/>
  <c r="Q82" i="5"/>
  <c r="P82" i="5"/>
  <c r="O82" i="5"/>
  <c r="N82" i="5"/>
  <c r="BN75" i="5"/>
  <c r="BG75" i="5"/>
  <c r="BE75" i="5"/>
  <c r="BB75" i="5"/>
  <c r="AZ75" i="5"/>
  <c r="AY75" i="5"/>
  <c r="AX75" i="5"/>
  <c r="AW75" i="5"/>
  <c r="AV75" i="5"/>
  <c r="AU75" i="5"/>
  <c r="AT75" i="5"/>
  <c r="AS75" i="5"/>
  <c r="AR75" i="5"/>
  <c r="AP75" i="5"/>
  <c r="AO75" i="5"/>
  <c r="AN75" i="5"/>
  <c r="AM75" i="5"/>
  <c r="AL75" i="5"/>
  <c r="AK75" i="5"/>
  <c r="AJ75" i="5"/>
  <c r="AI75" i="5"/>
  <c r="AH75" i="5"/>
  <c r="AG75" i="5"/>
  <c r="AF75" i="5"/>
  <c r="AE75" i="5"/>
  <c r="AC75" i="5"/>
  <c r="AB75" i="5"/>
  <c r="AA75" i="5"/>
  <c r="Z75" i="5"/>
  <c r="V75" i="5"/>
  <c r="U75" i="5"/>
  <c r="T75" i="5"/>
  <c r="S75" i="5"/>
  <c r="R75" i="5"/>
  <c r="Q75" i="5"/>
  <c r="P75" i="5"/>
  <c r="O75" i="5"/>
  <c r="N75" i="5"/>
  <c r="BO61" i="5"/>
  <c r="BN61" i="5"/>
  <c r="BN60" i="5" s="1"/>
  <c r="BG61" i="5"/>
  <c r="BE61" i="5"/>
  <c r="BB61" i="5"/>
  <c r="BB60" i="5" s="1"/>
  <c r="AZ61" i="5"/>
  <c r="AY61" i="5"/>
  <c r="AX61" i="5"/>
  <c r="AW61" i="5"/>
  <c r="AW60" i="5" s="1"/>
  <c r="AV61" i="5"/>
  <c r="AV60" i="5" s="1"/>
  <c r="AU61" i="5"/>
  <c r="AT61" i="5"/>
  <c r="AS61" i="5"/>
  <c r="AR61" i="5"/>
  <c r="AR60" i="5" s="1"/>
  <c r="AP61" i="5"/>
  <c r="AO61" i="5"/>
  <c r="AO60" i="5" s="1"/>
  <c r="AN61" i="5"/>
  <c r="AM61" i="5"/>
  <c r="AM60" i="5" s="1"/>
  <c r="AL61" i="5"/>
  <c r="AK61" i="5"/>
  <c r="AJ61" i="5"/>
  <c r="AJ60" i="5" s="1"/>
  <c r="AI61" i="5"/>
  <c r="AH61" i="5"/>
  <c r="AG61" i="5"/>
  <c r="AF61" i="5"/>
  <c r="AF60" i="5" s="1"/>
  <c r="AE61" i="5"/>
  <c r="AE60" i="5" s="1"/>
  <c r="AD61" i="5"/>
  <c r="AC61" i="5"/>
  <c r="AB61" i="5"/>
  <c r="AA61" i="5"/>
  <c r="AA60" i="5" s="1"/>
  <c r="Z61" i="5"/>
  <c r="V61" i="5"/>
  <c r="V60" i="5" s="1"/>
  <c r="U61" i="5"/>
  <c r="T61" i="5"/>
  <c r="T60" i="5" s="1"/>
  <c r="S61" i="5"/>
  <c r="R61" i="5"/>
  <c r="Q61" i="5"/>
  <c r="Q60" i="5" s="1"/>
  <c r="P61" i="5"/>
  <c r="O61" i="5"/>
  <c r="N61" i="5"/>
  <c r="M61" i="5"/>
  <c r="M60" i="5" s="1"/>
  <c r="L61" i="5"/>
  <c r="L60" i="5" s="1"/>
  <c r="K61" i="5"/>
  <c r="J61" i="5"/>
  <c r="I61" i="5"/>
  <c r="H61" i="5"/>
  <c r="H60" i="5" s="1"/>
  <c r="G61" i="5"/>
  <c r="F61" i="5"/>
  <c r="F60" i="5" s="1"/>
  <c r="E61" i="5"/>
  <c r="D61" i="5"/>
  <c r="D60" i="5" s="1"/>
  <c r="C61" i="5"/>
  <c r="BE60" i="5"/>
  <c r="AU60" i="5"/>
  <c r="AT60" i="5"/>
  <c r="AS60" i="5"/>
  <c r="AP60" i="5"/>
  <c r="AK60" i="5"/>
  <c r="C45" i="87" s="1"/>
  <c r="AD60" i="5"/>
  <c r="AC60" i="5"/>
  <c r="AB60" i="5"/>
  <c r="Z60" i="5"/>
  <c r="R60" i="5"/>
  <c r="J60" i="5"/>
  <c r="I60" i="5"/>
  <c r="G60" i="5"/>
  <c r="BO41" i="5"/>
  <c r="BN41" i="5"/>
  <c r="BG41" i="5"/>
  <c r="BE41" i="5"/>
  <c r="BB41" i="5"/>
  <c r="AZ41" i="5"/>
  <c r="AY41" i="5"/>
  <c r="AX41" i="5"/>
  <c r="AW41" i="5"/>
  <c r="AV41" i="5"/>
  <c r="AU41" i="5"/>
  <c r="AT41" i="5"/>
  <c r="AS41" i="5"/>
  <c r="AR41" i="5"/>
  <c r="AP41" i="5"/>
  <c r="AO41" i="5"/>
  <c r="AN41" i="5"/>
  <c r="AM41" i="5"/>
  <c r="AL41" i="5"/>
  <c r="AJ41" i="5"/>
  <c r="AI41" i="5"/>
  <c r="AH41" i="5"/>
  <c r="AG41" i="5"/>
  <c r="AF41" i="5"/>
  <c r="AE41" i="5"/>
  <c r="AD41" i="5"/>
  <c r="AC41" i="5"/>
  <c r="AB41" i="5"/>
  <c r="AA41" i="5"/>
  <c r="Z41" i="5"/>
  <c r="V41" i="5"/>
  <c r="U41" i="5"/>
  <c r="T41" i="5"/>
  <c r="S41" i="5"/>
  <c r="R41" i="5"/>
  <c r="Q41" i="5"/>
  <c r="P41" i="5"/>
  <c r="O41" i="5"/>
  <c r="N41" i="5"/>
  <c r="M41" i="5"/>
  <c r="L41" i="5"/>
  <c r="K41" i="5"/>
  <c r="J41" i="5"/>
  <c r="I41" i="5"/>
  <c r="H41" i="5"/>
  <c r="G41" i="5"/>
  <c r="F41" i="5"/>
  <c r="C41" i="5"/>
  <c r="BG19" i="5"/>
  <c r="BE19" i="5"/>
  <c r="BB19" i="5"/>
  <c r="AZ19" i="5"/>
  <c r="AY19" i="5"/>
  <c r="AX19" i="5"/>
  <c r="AW19" i="5"/>
  <c r="AV19" i="5"/>
  <c r="AV18" i="5" s="1"/>
  <c r="AU19" i="5"/>
  <c r="AT19" i="5"/>
  <c r="AS19" i="5"/>
  <c r="AP19" i="5"/>
  <c r="AO19" i="5"/>
  <c r="AN19" i="5"/>
  <c r="AM19" i="5"/>
  <c r="AL19" i="5"/>
  <c r="AK19" i="5"/>
  <c r="AJ19" i="5"/>
  <c r="AI19" i="5"/>
  <c r="AH19" i="5"/>
  <c r="AG19" i="5"/>
  <c r="AF19" i="5"/>
  <c r="AE19" i="5"/>
  <c r="AD19" i="5"/>
  <c r="AC19" i="5"/>
  <c r="AC18" i="5" s="1"/>
  <c r="AB19" i="5"/>
  <c r="AA19" i="5"/>
  <c r="Z19" i="5"/>
  <c r="Y19" i="5"/>
  <c r="X19" i="5"/>
  <c r="W19" i="5"/>
  <c r="V19" i="5"/>
  <c r="U19" i="5"/>
  <c r="T19" i="5"/>
  <c r="S19" i="5"/>
  <c r="R19" i="5"/>
  <c r="Q19" i="5"/>
  <c r="P19" i="5"/>
  <c r="O19" i="5"/>
  <c r="N19" i="5"/>
  <c r="M19" i="5"/>
  <c r="L19" i="5"/>
  <c r="K19" i="5"/>
  <c r="J19" i="5"/>
  <c r="I19" i="5"/>
  <c r="H19" i="5"/>
  <c r="H18" i="5" s="1"/>
  <c r="C19" i="5"/>
  <c r="BM18" i="5"/>
  <c r="BL18" i="5"/>
  <c r="BK18" i="5"/>
  <c r="BJ18" i="5"/>
  <c r="BI18" i="5"/>
  <c r="BH18" i="5"/>
  <c r="BF18" i="5"/>
  <c r="BD18" i="5"/>
  <c r="BC18" i="5"/>
  <c r="BA18" i="5"/>
  <c r="BO16" i="5"/>
  <c r="BB16" i="5"/>
  <c r="AZ16" i="5"/>
  <c r="AY16" i="5"/>
  <c r="AX16" i="5"/>
  <c r="AW16" i="5"/>
  <c r="AU16" i="5"/>
  <c r="AT16" i="5"/>
  <c r="AP16" i="5"/>
  <c r="AO16" i="5"/>
  <c r="AN16" i="5"/>
  <c r="AM16" i="5"/>
  <c r="AL16" i="5"/>
  <c r="AK16" i="5"/>
  <c r="AJ16" i="5"/>
  <c r="AI16" i="5"/>
  <c r="AF16" i="5"/>
  <c r="AB16" i="5"/>
  <c r="AA16" i="5"/>
  <c r="Z16" i="5"/>
  <c r="Y16" i="5"/>
  <c r="X16" i="5"/>
  <c r="X18" i="5" s="1"/>
  <c r="W16" i="5"/>
  <c r="V16" i="5"/>
  <c r="T16" i="5"/>
  <c r="S16" i="5"/>
  <c r="R16" i="5"/>
  <c r="Q16" i="5"/>
  <c r="P16" i="5"/>
  <c r="L16" i="5"/>
  <c r="K16" i="5"/>
  <c r="J18" i="5"/>
  <c r="G18" i="5"/>
  <c r="A5" i="91"/>
  <c r="A2" i="81"/>
  <c r="S104" i="29"/>
  <c r="S103" i="29"/>
  <c r="S102" i="29"/>
  <c r="S101" i="29"/>
  <c r="BM23" i="29"/>
  <c r="BN21" i="29"/>
  <c r="BN5" i="29"/>
  <c r="S106" i="29"/>
  <c r="S105" i="29"/>
  <c r="BN22" i="29"/>
  <c r="A2" i="29"/>
  <c r="Y18" i="5" l="1"/>
  <c r="N60" i="5"/>
  <c r="O60" i="5"/>
  <c r="P60" i="5"/>
  <c r="S60" i="5"/>
  <c r="U60" i="5"/>
  <c r="AG60" i="5"/>
  <c r="AG18" i="5" s="1"/>
  <c r="AH60" i="5"/>
  <c r="AI60" i="5"/>
  <c r="AL60" i="5"/>
  <c r="AN60" i="5"/>
  <c r="AX60" i="5"/>
  <c r="AY60" i="5"/>
  <c r="AZ60" i="5"/>
  <c r="BG60" i="5"/>
  <c r="BO60" i="5"/>
  <c r="E60" i="5"/>
  <c r="E18" i="5" s="1"/>
  <c r="C60" i="5"/>
  <c r="K60" i="5"/>
  <c r="F18" i="5"/>
  <c r="AS18" i="5"/>
  <c r="C18" i="5"/>
  <c r="AR18" i="5"/>
  <c r="K18" i="5"/>
  <c r="AA18" i="5"/>
  <c r="L18" i="5"/>
  <c r="AB18" i="5"/>
  <c r="AJ18" i="5"/>
  <c r="U18" i="5"/>
  <c r="AK18" i="5"/>
  <c r="BE18" i="5"/>
  <c r="Q18" i="5"/>
  <c r="AX18" i="5"/>
  <c r="S18" i="5"/>
  <c r="AZ18" i="5"/>
  <c r="BO18" i="5"/>
  <c r="BB18" i="5"/>
  <c r="AI18" i="5"/>
  <c r="T18" i="5"/>
  <c r="V18" i="5"/>
  <c r="AL18" i="5"/>
  <c r="BG18" i="5"/>
  <c r="I18" i="5"/>
  <c r="W18" i="5"/>
  <c r="AM18" i="5"/>
  <c r="BN18" i="5"/>
  <c r="AN18" i="5"/>
  <c r="AO18" i="5"/>
  <c r="M18" i="5"/>
  <c r="AT18" i="5"/>
  <c r="N18" i="5"/>
  <c r="AD18" i="5"/>
  <c r="AU18" i="5"/>
  <c r="O18" i="5"/>
  <c r="AE18" i="5"/>
  <c r="P18" i="5"/>
  <c r="AF18" i="5"/>
  <c r="AW18" i="5"/>
  <c r="Z18" i="5"/>
  <c r="AP18" i="5"/>
  <c r="R18" i="5"/>
  <c r="AH18" i="5"/>
  <c r="AY18" i="5"/>
  <c r="D18" i="5"/>
  <c r="AQ60" i="5"/>
  <c r="AQ18" i="5" s="1"/>
  <c r="AC7" i="13"/>
  <c r="C17" i="7" l="1"/>
  <c r="C15" i="7"/>
  <c r="C14" i="7"/>
  <c r="C13" i="7"/>
  <c r="C12" i="7"/>
  <c r="C11" i="7"/>
  <c r="C10" i="7"/>
  <c r="C9" i="7"/>
  <c r="C8" i="7"/>
  <c r="C7" i="7"/>
  <c r="C6" i="7"/>
  <c r="AD7" i="13" l="1"/>
  <c r="D3" i="13"/>
  <c r="C58" i="7" l="1"/>
  <c r="C4" i="69" l="1"/>
  <c r="C5" i="70"/>
  <c r="C3" i="64" l="1"/>
  <c r="C3" i="63"/>
  <c r="C1" i="62"/>
  <c r="C3" i="53"/>
  <c r="C51" i="96" l="1"/>
  <c r="C50" i="96"/>
  <c r="C49" i="96"/>
  <c r="C48" i="96"/>
  <c r="E48" i="96"/>
  <c r="E49" i="96"/>
  <c r="E50" i="96"/>
  <c r="E51" i="96"/>
  <c r="AZ87" i="75"/>
  <c r="AZ86" i="75"/>
  <c r="AZ85" i="75"/>
  <c r="AZ84" i="75"/>
  <c r="AZ83" i="75"/>
  <c r="AZ81" i="75"/>
  <c r="AZ80" i="75"/>
  <c r="AZ78" i="75"/>
  <c r="AZ76" i="75"/>
  <c r="AZ74" i="75"/>
  <c r="AZ73" i="75"/>
  <c r="AZ72" i="75"/>
  <c r="AZ71" i="75"/>
  <c r="AZ70" i="75"/>
  <c r="AZ69" i="75"/>
  <c r="AZ68" i="75"/>
  <c r="AZ67" i="75"/>
  <c r="AZ66" i="75"/>
  <c r="AZ65" i="75"/>
  <c r="AZ64" i="75"/>
  <c r="AZ63" i="75"/>
  <c r="AZ62" i="75"/>
  <c r="AZ59" i="75"/>
  <c r="AZ58" i="75"/>
  <c r="AZ57" i="75"/>
  <c r="AZ54" i="75"/>
  <c r="AZ50" i="75"/>
  <c r="AZ49" i="75"/>
  <c r="AZ48" i="75"/>
  <c r="AZ47" i="75"/>
  <c r="AZ46" i="75"/>
  <c r="AZ45" i="75"/>
  <c r="AZ44" i="75"/>
  <c r="AZ42" i="75"/>
  <c r="AZ40" i="75"/>
  <c r="AZ39" i="75"/>
  <c r="AZ38" i="75"/>
  <c r="AZ34" i="75"/>
  <c r="AZ32" i="75"/>
  <c r="AZ31" i="75"/>
  <c r="AZ29" i="75"/>
  <c r="AZ25" i="75"/>
  <c r="AZ24" i="75"/>
  <c r="AZ23" i="75"/>
  <c r="AZ22" i="75"/>
  <c r="AZ21" i="75"/>
  <c r="AZ20" i="75"/>
  <c r="AZ15" i="75"/>
  <c r="AZ12" i="75"/>
  <c r="AZ11" i="75"/>
  <c r="AZ5" i="75"/>
  <c r="AY87" i="75"/>
  <c r="AY86" i="75"/>
  <c r="AY85" i="75"/>
  <c r="AY84" i="75"/>
  <c r="AY83" i="75"/>
  <c r="AY81" i="75"/>
  <c r="AY80" i="75"/>
  <c r="AY79" i="75"/>
  <c r="AY78" i="75"/>
  <c r="AY77" i="75"/>
  <c r="AY76" i="75"/>
  <c r="AY74" i="75"/>
  <c r="AY73" i="75"/>
  <c r="AY72" i="75"/>
  <c r="AY71" i="75"/>
  <c r="AY70" i="75"/>
  <c r="AY69" i="75"/>
  <c r="AY68" i="75"/>
  <c r="AY67" i="75"/>
  <c r="AY66" i="75"/>
  <c r="AY65" i="75"/>
  <c r="AY64" i="75"/>
  <c r="AY63" i="75"/>
  <c r="AY62" i="75"/>
  <c r="AY59" i="75"/>
  <c r="AY58" i="75"/>
  <c r="AY57" i="75"/>
  <c r="AY54" i="75"/>
  <c r="AY50" i="75"/>
  <c r="AY49" i="75"/>
  <c r="AY48" i="75"/>
  <c r="AY47" i="75"/>
  <c r="AY46" i="75"/>
  <c r="AY45" i="75"/>
  <c r="AY44" i="75"/>
  <c r="AY43" i="75"/>
  <c r="AY42" i="75"/>
  <c r="AY40" i="75"/>
  <c r="AY39" i="75"/>
  <c r="AY38" i="75"/>
  <c r="AY34" i="75"/>
  <c r="AY33" i="75"/>
  <c r="AY32" i="75"/>
  <c r="AY31" i="75"/>
  <c r="AY30" i="75"/>
  <c r="AY29" i="75"/>
  <c r="AY25" i="75"/>
  <c r="AY24" i="75"/>
  <c r="AY23" i="75"/>
  <c r="AY22" i="75"/>
  <c r="AY21" i="75"/>
  <c r="AY20" i="75"/>
  <c r="AY15" i="75"/>
  <c r="AY12" i="75"/>
  <c r="AY11" i="75"/>
  <c r="AY5" i="75"/>
  <c r="AX87" i="75"/>
  <c r="AX86" i="75"/>
  <c r="AX85" i="75"/>
  <c r="AX84" i="75"/>
  <c r="AX83" i="75"/>
  <c r="AX81" i="75"/>
  <c r="AX80" i="75"/>
  <c r="AX79" i="75"/>
  <c r="AX78" i="75"/>
  <c r="AX77" i="75"/>
  <c r="AX76" i="75"/>
  <c r="AX74" i="75"/>
  <c r="AX73" i="75"/>
  <c r="AX72" i="75"/>
  <c r="AX71" i="75"/>
  <c r="AX70" i="75"/>
  <c r="AX69" i="75"/>
  <c r="AX68" i="75"/>
  <c r="AX67" i="75"/>
  <c r="AX66" i="75"/>
  <c r="AX65" i="75"/>
  <c r="AX64" i="75"/>
  <c r="AX63" i="75"/>
  <c r="AX62" i="75"/>
  <c r="AX59" i="75"/>
  <c r="AX58" i="75"/>
  <c r="AX57" i="75"/>
  <c r="AX54" i="75"/>
  <c r="AX50" i="75"/>
  <c r="AX49" i="75"/>
  <c r="AX48" i="75"/>
  <c r="AX47" i="75"/>
  <c r="AX46" i="75"/>
  <c r="AX45" i="75"/>
  <c r="AX44" i="75"/>
  <c r="AX43" i="75"/>
  <c r="AX42" i="75"/>
  <c r="AX40" i="75"/>
  <c r="AX39" i="75"/>
  <c r="AX38" i="75"/>
  <c r="AX34" i="75"/>
  <c r="AX33" i="75"/>
  <c r="AX32" i="75"/>
  <c r="AX31" i="75"/>
  <c r="AX29" i="75"/>
  <c r="AX25" i="75"/>
  <c r="AX24" i="75"/>
  <c r="AX23" i="75"/>
  <c r="AX22" i="75"/>
  <c r="AX21" i="75"/>
  <c r="AX20" i="75"/>
  <c r="AX15" i="75"/>
  <c r="AX12" i="75"/>
  <c r="AX11" i="75"/>
  <c r="AX5" i="75"/>
  <c r="AW87" i="75"/>
  <c r="AW86" i="75"/>
  <c r="AW85" i="75"/>
  <c r="AW84" i="75"/>
  <c r="AW83" i="75"/>
  <c r="AW81" i="75"/>
  <c r="AW80" i="75"/>
  <c r="AW79" i="75"/>
  <c r="AW78" i="75"/>
  <c r="AW77" i="75"/>
  <c r="AW76" i="75"/>
  <c r="AW74" i="75"/>
  <c r="AW73" i="75"/>
  <c r="AW72" i="75"/>
  <c r="AW71" i="75"/>
  <c r="AW70" i="75"/>
  <c r="AW69" i="75"/>
  <c r="AW68" i="75"/>
  <c r="AW67" i="75"/>
  <c r="AW66" i="75"/>
  <c r="AW65" i="75"/>
  <c r="AW64" i="75"/>
  <c r="AW63" i="75"/>
  <c r="AW62" i="75"/>
  <c r="AW59" i="75"/>
  <c r="AW58" i="75"/>
  <c r="AW57" i="75"/>
  <c r="AW54" i="75"/>
  <c r="AW50" i="75"/>
  <c r="AW49" i="75"/>
  <c r="AW48" i="75"/>
  <c r="AW47" i="75"/>
  <c r="AW46" i="75"/>
  <c r="AW45" i="75"/>
  <c r="AW44" i="75"/>
  <c r="AW43" i="75"/>
  <c r="AW42" i="75"/>
  <c r="AW40" i="75"/>
  <c r="AW39" i="75"/>
  <c r="AW38" i="75"/>
  <c r="AW34" i="75"/>
  <c r="AW33" i="75"/>
  <c r="AW32" i="75"/>
  <c r="AW31" i="75"/>
  <c r="AW30" i="75"/>
  <c r="AW29" i="75"/>
  <c r="AW25" i="75"/>
  <c r="AW24" i="75"/>
  <c r="AW23" i="75"/>
  <c r="AW22" i="75"/>
  <c r="AW21" i="75"/>
  <c r="AW20" i="75"/>
  <c r="AW15" i="75"/>
  <c r="AW12" i="75"/>
  <c r="AW11" i="75"/>
  <c r="AW5" i="75"/>
  <c r="BG97" i="75"/>
  <c r="BG96" i="75"/>
  <c r="BG95" i="75"/>
  <c r="BG94" i="75"/>
  <c r="BF94" i="75"/>
  <c r="BF95" i="75"/>
  <c r="C3" i="62" l="1"/>
  <c r="C4" i="63"/>
  <c r="C4" i="64"/>
  <c r="AW101" i="75" l="1"/>
  <c r="AW100" i="75"/>
  <c r="AW99" i="75"/>
  <c r="AW98" i="75"/>
  <c r="AW97" i="75"/>
  <c r="AW96" i="75"/>
  <c r="AW95" i="75"/>
  <c r="AW94" i="75"/>
  <c r="AV94" i="75"/>
  <c r="AW102" i="75" l="1"/>
  <c r="AW93" i="75"/>
  <c r="BO87" i="75"/>
  <c r="BO86" i="75"/>
  <c r="BO85" i="75"/>
  <c r="BO84" i="75"/>
  <c r="BO83" i="75"/>
  <c r="BO59" i="75"/>
  <c r="BO28" i="75"/>
  <c r="BO18" i="75"/>
  <c r="BN87" i="75"/>
  <c r="BN86" i="75"/>
  <c r="BN85" i="75"/>
  <c r="BN84" i="75"/>
  <c r="BN83" i="75"/>
  <c r="BN81" i="75"/>
  <c r="BN79" i="75"/>
  <c r="BN78" i="75"/>
  <c r="BN76" i="75"/>
  <c r="BN59" i="75"/>
  <c r="BN55" i="75"/>
  <c r="BN18" i="75"/>
  <c r="AQ59" i="75" l="1"/>
  <c r="AQ58" i="75"/>
  <c r="AQ54" i="75"/>
  <c r="AQ53" i="75"/>
  <c r="AQ52" i="75"/>
  <c r="AQ50" i="75"/>
  <c r="AQ48" i="75"/>
  <c r="AQ46" i="75"/>
  <c r="AQ45" i="75"/>
  <c r="AQ43" i="75"/>
  <c r="AQ42" i="75"/>
  <c r="AQ40" i="75"/>
  <c r="B6" i="13" l="1"/>
  <c r="A7" i="5" l="1"/>
  <c r="A8" i="5"/>
  <c r="C55" i="7"/>
  <c r="C56" i="7" l="1"/>
  <c r="C57" i="7" l="1"/>
  <c r="K67" i="103" l="1"/>
  <c r="K66" i="103"/>
  <c r="K65" i="103"/>
  <c r="K64" i="103"/>
  <c r="K63" i="103"/>
  <c r="K62" i="103"/>
  <c r="K61" i="103"/>
  <c r="K60" i="103"/>
  <c r="K59" i="103"/>
  <c r="K58" i="103"/>
  <c r="K57" i="103"/>
  <c r="K56" i="103"/>
  <c r="K55" i="103"/>
  <c r="K54" i="103"/>
  <c r="K53" i="103"/>
  <c r="K52" i="103"/>
  <c r="K51" i="103"/>
  <c r="K50" i="103"/>
  <c r="K49" i="103"/>
  <c r="K48" i="103"/>
  <c r="K47" i="103"/>
  <c r="K46" i="103"/>
  <c r="K45" i="103"/>
  <c r="K44" i="103"/>
  <c r="K43" i="103"/>
  <c r="K42" i="103"/>
  <c r="K41" i="103"/>
  <c r="K40" i="103"/>
  <c r="K39" i="103"/>
  <c r="K38" i="103"/>
  <c r="K37" i="103"/>
  <c r="K36" i="103"/>
  <c r="K35" i="103"/>
  <c r="K34" i="103"/>
  <c r="K33" i="103"/>
  <c r="K32" i="103"/>
  <c r="K31" i="103"/>
  <c r="K30" i="103"/>
  <c r="K29" i="103"/>
  <c r="K28" i="103"/>
  <c r="K27" i="103"/>
  <c r="K26" i="103"/>
  <c r="K25" i="103"/>
  <c r="K24" i="103"/>
  <c r="K23" i="103"/>
  <c r="K22" i="103"/>
  <c r="K21" i="103"/>
  <c r="K20" i="103"/>
  <c r="K19" i="103"/>
  <c r="K18" i="103"/>
  <c r="K17" i="103"/>
  <c r="K16" i="103"/>
  <c r="K15" i="103"/>
  <c r="K14" i="103"/>
  <c r="K13" i="103"/>
  <c r="K12" i="103"/>
  <c r="K11" i="103"/>
  <c r="K10" i="103"/>
  <c r="K9" i="103"/>
  <c r="K8" i="103"/>
  <c r="K7" i="103"/>
  <c r="AI67" i="103"/>
  <c r="AI66" i="103"/>
  <c r="AI65" i="103"/>
  <c r="AI64" i="103"/>
  <c r="AI63" i="103"/>
  <c r="AI62" i="103"/>
  <c r="AI60" i="103"/>
  <c r="AI59" i="103"/>
  <c r="AI58" i="103"/>
  <c r="AI57" i="103"/>
  <c r="AI56" i="103"/>
  <c r="AI55" i="103"/>
  <c r="AI54" i="103"/>
  <c r="AI53" i="103"/>
  <c r="AI52" i="103"/>
  <c r="AI51" i="103"/>
  <c r="AI50" i="103"/>
  <c r="AI49" i="103"/>
  <c r="AI48" i="103"/>
  <c r="AI47" i="103"/>
  <c r="AI46" i="103"/>
  <c r="AI45" i="103"/>
  <c r="AI44" i="103"/>
  <c r="AI43" i="103"/>
  <c r="AI42" i="103"/>
  <c r="AI41" i="103"/>
  <c r="AI40" i="103"/>
  <c r="AI39" i="103"/>
  <c r="AI38" i="103"/>
  <c r="AI37" i="103"/>
  <c r="AI36" i="103"/>
  <c r="AI35" i="103"/>
  <c r="AI34" i="103"/>
  <c r="AI33" i="103"/>
  <c r="AI32" i="103"/>
  <c r="AI31" i="103"/>
  <c r="AI30" i="103"/>
  <c r="AI29" i="103"/>
  <c r="AI28" i="103"/>
  <c r="AI27" i="103"/>
  <c r="AI26" i="103"/>
  <c r="AI25" i="103"/>
  <c r="AI24" i="103"/>
  <c r="AI23" i="103"/>
  <c r="AI22" i="103"/>
  <c r="AI21" i="103"/>
  <c r="AI20" i="103"/>
  <c r="AI19" i="103"/>
  <c r="AI18" i="103"/>
  <c r="AI17" i="103"/>
  <c r="AI16" i="103"/>
  <c r="AI15" i="103"/>
  <c r="AI14" i="103"/>
  <c r="AI13" i="103"/>
  <c r="AI12" i="103"/>
  <c r="AI11" i="103"/>
  <c r="AI10" i="103"/>
  <c r="AI9" i="103"/>
  <c r="AI8" i="103"/>
  <c r="AI7" i="103"/>
  <c r="AF67" i="103"/>
  <c r="AF66" i="103"/>
  <c r="AF65" i="103"/>
  <c r="AF64" i="103"/>
  <c r="AF63" i="103"/>
  <c r="AF62" i="103"/>
  <c r="AF60" i="103"/>
  <c r="AF59" i="103"/>
  <c r="AF58" i="103"/>
  <c r="AF57" i="103"/>
  <c r="AF56" i="103"/>
  <c r="AF55" i="103"/>
  <c r="AF54" i="103"/>
  <c r="AF53" i="103"/>
  <c r="AF52" i="103"/>
  <c r="AF51" i="103"/>
  <c r="AF50" i="103"/>
  <c r="AF49" i="103"/>
  <c r="AF48" i="103"/>
  <c r="AF47" i="103"/>
  <c r="AF46" i="103"/>
  <c r="AF45" i="103"/>
  <c r="AF44" i="103"/>
  <c r="AF43" i="103"/>
  <c r="AF42" i="103"/>
  <c r="AF41" i="103"/>
  <c r="AF40" i="103"/>
  <c r="AF39" i="103"/>
  <c r="AF38" i="103"/>
  <c r="AF37" i="103"/>
  <c r="AF36" i="103"/>
  <c r="AF35" i="103"/>
  <c r="AF34" i="103"/>
  <c r="AF33" i="103"/>
  <c r="AF32" i="103"/>
  <c r="AF31" i="103"/>
  <c r="AF30" i="103"/>
  <c r="AF29" i="103"/>
  <c r="AF28" i="103"/>
  <c r="AF27" i="103"/>
  <c r="AF26" i="103"/>
  <c r="AF25" i="103"/>
  <c r="AF24" i="103"/>
  <c r="AF23" i="103"/>
  <c r="AF22" i="103"/>
  <c r="AF21" i="103"/>
  <c r="AF20" i="103"/>
  <c r="AF19" i="103"/>
  <c r="AF18" i="103"/>
  <c r="AF17" i="103"/>
  <c r="AF16" i="103"/>
  <c r="AF15" i="103"/>
  <c r="AF14" i="103"/>
  <c r="AF13" i="103"/>
  <c r="AF12" i="103"/>
  <c r="AF11" i="103"/>
  <c r="AF10" i="103"/>
  <c r="AF9" i="103"/>
  <c r="AF8" i="103"/>
  <c r="AF7" i="103"/>
  <c r="AC67" i="103"/>
  <c r="AC66" i="103"/>
  <c r="AC65" i="103"/>
  <c r="AC64" i="103"/>
  <c r="AC63" i="103"/>
  <c r="AC62" i="103"/>
  <c r="AC60" i="103"/>
  <c r="AC59" i="103"/>
  <c r="AC58" i="103"/>
  <c r="AC57" i="103"/>
  <c r="AC56" i="103"/>
  <c r="AC55" i="103"/>
  <c r="AC54" i="103"/>
  <c r="AC53" i="103"/>
  <c r="AC52" i="103"/>
  <c r="AC51" i="103"/>
  <c r="AC50" i="103"/>
  <c r="AC49" i="103"/>
  <c r="AC48" i="103"/>
  <c r="AC47" i="103"/>
  <c r="AC46" i="103"/>
  <c r="AC45" i="103"/>
  <c r="AC44" i="103"/>
  <c r="AC43" i="103"/>
  <c r="AC42" i="103"/>
  <c r="AC41" i="103"/>
  <c r="AC40" i="103"/>
  <c r="AC39" i="103"/>
  <c r="AC38" i="103"/>
  <c r="AC37" i="103"/>
  <c r="AC36" i="103"/>
  <c r="AC35" i="103"/>
  <c r="AC34" i="103"/>
  <c r="AC33" i="103"/>
  <c r="AC32" i="103"/>
  <c r="AC31" i="103"/>
  <c r="AC30" i="103"/>
  <c r="AC29" i="103"/>
  <c r="AC28" i="103"/>
  <c r="AC27" i="103"/>
  <c r="AC26" i="103"/>
  <c r="AC25" i="103"/>
  <c r="AC24" i="103"/>
  <c r="AC23" i="103"/>
  <c r="AC22" i="103"/>
  <c r="AC21" i="103"/>
  <c r="AC20" i="103"/>
  <c r="AC19" i="103"/>
  <c r="AC18" i="103"/>
  <c r="AC17" i="103"/>
  <c r="AC16" i="103"/>
  <c r="AC15" i="103"/>
  <c r="AC14" i="103"/>
  <c r="AC13" i="103"/>
  <c r="AC12" i="103"/>
  <c r="AC11" i="103"/>
  <c r="AC10" i="103"/>
  <c r="AC9" i="103"/>
  <c r="AC8" i="103"/>
  <c r="AC7" i="103"/>
  <c r="Z67" i="103"/>
  <c r="Z66" i="103"/>
  <c r="Z65" i="103"/>
  <c r="Z64" i="103"/>
  <c r="Z63" i="103"/>
  <c r="Z62" i="103"/>
  <c r="Z60" i="103"/>
  <c r="Z59" i="103"/>
  <c r="Z58" i="103"/>
  <c r="Z57" i="103"/>
  <c r="Z56" i="103"/>
  <c r="Z55" i="103"/>
  <c r="Z54" i="103"/>
  <c r="Z53" i="103"/>
  <c r="Z52" i="103"/>
  <c r="Z51" i="103"/>
  <c r="Z50" i="103"/>
  <c r="Z49" i="103"/>
  <c r="Z48" i="103"/>
  <c r="Z47" i="103"/>
  <c r="Z46" i="103"/>
  <c r="Z45" i="103"/>
  <c r="Z44" i="103"/>
  <c r="Z43" i="103"/>
  <c r="Z42" i="103"/>
  <c r="Z41" i="103"/>
  <c r="Z40" i="103"/>
  <c r="Z39" i="103"/>
  <c r="Z38" i="103"/>
  <c r="Z37" i="103"/>
  <c r="Z36" i="103"/>
  <c r="Z35" i="103"/>
  <c r="Z34" i="103"/>
  <c r="Z33" i="103"/>
  <c r="Z32" i="103"/>
  <c r="Z31" i="103"/>
  <c r="Z30" i="103"/>
  <c r="Z29" i="103"/>
  <c r="Z28" i="103"/>
  <c r="Z27" i="103"/>
  <c r="Z26" i="103"/>
  <c r="Z25" i="103"/>
  <c r="Z24" i="103"/>
  <c r="Z23" i="103"/>
  <c r="Z22" i="103"/>
  <c r="Z21" i="103"/>
  <c r="Z20" i="103"/>
  <c r="Z19" i="103"/>
  <c r="Z18" i="103"/>
  <c r="Z17" i="103"/>
  <c r="Z16" i="103"/>
  <c r="Z15" i="103"/>
  <c r="Z14" i="103"/>
  <c r="Z13" i="103"/>
  <c r="Z12" i="103"/>
  <c r="Z11" i="103"/>
  <c r="Z10" i="103"/>
  <c r="Z9" i="103"/>
  <c r="Z8" i="103"/>
  <c r="Z7" i="103"/>
  <c r="W67" i="103"/>
  <c r="W66" i="103"/>
  <c r="W65" i="103"/>
  <c r="W64" i="103"/>
  <c r="W63" i="103"/>
  <c r="W62" i="103"/>
  <c r="W60" i="103"/>
  <c r="W59" i="103"/>
  <c r="W58" i="103"/>
  <c r="W57" i="103"/>
  <c r="W56" i="103"/>
  <c r="W55" i="103"/>
  <c r="W54" i="103"/>
  <c r="W53" i="103"/>
  <c r="W52" i="103"/>
  <c r="W51" i="103"/>
  <c r="W50" i="103"/>
  <c r="W49" i="103"/>
  <c r="W48" i="103"/>
  <c r="W47" i="103"/>
  <c r="W46" i="103"/>
  <c r="W45" i="103"/>
  <c r="W44" i="103"/>
  <c r="W43" i="103"/>
  <c r="W42" i="103"/>
  <c r="W41" i="103"/>
  <c r="W40" i="103"/>
  <c r="W39" i="103"/>
  <c r="W38" i="103"/>
  <c r="W37" i="103"/>
  <c r="W36" i="103"/>
  <c r="W35" i="103"/>
  <c r="W34" i="103"/>
  <c r="W33" i="103"/>
  <c r="W32" i="103"/>
  <c r="W31" i="103"/>
  <c r="W30" i="103"/>
  <c r="W29" i="103"/>
  <c r="W28" i="103"/>
  <c r="W27" i="103"/>
  <c r="W26" i="103"/>
  <c r="W25" i="103"/>
  <c r="W24" i="103"/>
  <c r="W23" i="103"/>
  <c r="W22" i="103"/>
  <c r="W21" i="103"/>
  <c r="W20" i="103"/>
  <c r="W19" i="103"/>
  <c r="W18" i="103"/>
  <c r="W17" i="103"/>
  <c r="W16" i="103"/>
  <c r="W15" i="103"/>
  <c r="W14" i="103"/>
  <c r="W13" i="103"/>
  <c r="W12" i="103"/>
  <c r="W11" i="103"/>
  <c r="W10" i="103"/>
  <c r="W9" i="103"/>
  <c r="W8" i="103"/>
  <c r="W7" i="103"/>
  <c r="T67" i="103"/>
  <c r="T66" i="103"/>
  <c r="T65" i="103"/>
  <c r="T64" i="103"/>
  <c r="T63" i="103"/>
  <c r="T62" i="103"/>
  <c r="T60" i="103"/>
  <c r="T59" i="103"/>
  <c r="T58" i="103"/>
  <c r="T57" i="103"/>
  <c r="T56" i="103"/>
  <c r="T55" i="103"/>
  <c r="T54" i="103"/>
  <c r="T53" i="103"/>
  <c r="T52" i="103"/>
  <c r="T51" i="103"/>
  <c r="T50" i="103"/>
  <c r="T49" i="103"/>
  <c r="T48" i="103"/>
  <c r="T47" i="103"/>
  <c r="T46" i="103"/>
  <c r="T45" i="103"/>
  <c r="T44" i="103"/>
  <c r="T43" i="103"/>
  <c r="T42" i="103"/>
  <c r="T41" i="103"/>
  <c r="T40" i="103"/>
  <c r="T39" i="103"/>
  <c r="T38" i="103"/>
  <c r="T37" i="103"/>
  <c r="T36" i="103"/>
  <c r="T35" i="103"/>
  <c r="T34" i="103"/>
  <c r="T33" i="103"/>
  <c r="T32" i="103"/>
  <c r="T31" i="103"/>
  <c r="T30" i="103"/>
  <c r="T29" i="103"/>
  <c r="T28" i="103"/>
  <c r="T27" i="103"/>
  <c r="T26" i="103"/>
  <c r="T25" i="103"/>
  <c r="T24" i="103"/>
  <c r="T23" i="103"/>
  <c r="T22" i="103"/>
  <c r="T21" i="103"/>
  <c r="T20" i="103"/>
  <c r="T19" i="103"/>
  <c r="T18" i="103"/>
  <c r="T17" i="103"/>
  <c r="T16" i="103"/>
  <c r="T15" i="103"/>
  <c r="T14" i="103"/>
  <c r="T13" i="103"/>
  <c r="T12" i="103"/>
  <c r="T11" i="103"/>
  <c r="T10" i="103"/>
  <c r="T9" i="103"/>
  <c r="T8" i="103"/>
  <c r="T7" i="103"/>
  <c r="Q67" i="103"/>
  <c r="Q66" i="103"/>
  <c r="Q65" i="103"/>
  <c r="Q64" i="103"/>
  <c r="Q63" i="103"/>
  <c r="Q62" i="103"/>
  <c r="Q60" i="103"/>
  <c r="Q59" i="103"/>
  <c r="Q58" i="103"/>
  <c r="Q57" i="103"/>
  <c r="Q56" i="103"/>
  <c r="Q55" i="103"/>
  <c r="Q54" i="103"/>
  <c r="Q53" i="103"/>
  <c r="Q52" i="103"/>
  <c r="Q51" i="103"/>
  <c r="Q50" i="103"/>
  <c r="Q49" i="103"/>
  <c r="Q48" i="103"/>
  <c r="Q47" i="103"/>
  <c r="Q46" i="103"/>
  <c r="Q45" i="103"/>
  <c r="Q44" i="103"/>
  <c r="Q43" i="103"/>
  <c r="Q42" i="103"/>
  <c r="Q41" i="103"/>
  <c r="Q40" i="103"/>
  <c r="Q39" i="103"/>
  <c r="Q38" i="103"/>
  <c r="Q37" i="103"/>
  <c r="Q36" i="103"/>
  <c r="Q35" i="103"/>
  <c r="Q34" i="103"/>
  <c r="Q33" i="103"/>
  <c r="Q32" i="103"/>
  <c r="Q31" i="103"/>
  <c r="Q30" i="103"/>
  <c r="Q29" i="103"/>
  <c r="Q28" i="103"/>
  <c r="Q27" i="103"/>
  <c r="Q26" i="103"/>
  <c r="Q25" i="103"/>
  <c r="Q24" i="103"/>
  <c r="Q23" i="103"/>
  <c r="Q22" i="103"/>
  <c r="Q21" i="103"/>
  <c r="Q20" i="103"/>
  <c r="Q19" i="103"/>
  <c r="Q18" i="103"/>
  <c r="Q17" i="103"/>
  <c r="Q16" i="103"/>
  <c r="Q15" i="103"/>
  <c r="Q14" i="103"/>
  <c r="Q13" i="103"/>
  <c r="Q12" i="103"/>
  <c r="Q11" i="103"/>
  <c r="Q10" i="103"/>
  <c r="Q9" i="103"/>
  <c r="Q8" i="103"/>
  <c r="Q7" i="103"/>
  <c r="N67" i="103"/>
  <c r="N66" i="103"/>
  <c r="N65" i="103"/>
  <c r="N64" i="103"/>
  <c r="N63" i="103"/>
  <c r="N62" i="103"/>
  <c r="N60" i="103"/>
  <c r="N59" i="103"/>
  <c r="N58" i="103"/>
  <c r="N57" i="103"/>
  <c r="N56" i="103"/>
  <c r="N55" i="103"/>
  <c r="N54" i="103"/>
  <c r="N53" i="103"/>
  <c r="N52" i="103"/>
  <c r="N51" i="103"/>
  <c r="N50" i="103"/>
  <c r="N49" i="103"/>
  <c r="N48" i="103"/>
  <c r="N47" i="103"/>
  <c r="N46" i="103"/>
  <c r="N45" i="103"/>
  <c r="N44" i="103"/>
  <c r="N43" i="103"/>
  <c r="N42" i="103"/>
  <c r="N41" i="103"/>
  <c r="N40" i="103"/>
  <c r="N39" i="103"/>
  <c r="N38" i="103"/>
  <c r="N37" i="103"/>
  <c r="N36" i="103"/>
  <c r="N35" i="103"/>
  <c r="N34" i="103"/>
  <c r="N33" i="103"/>
  <c r="N32" i="103"/>
  <c r="N31" i="103"/>
  <c r="N30" i="103"/>
  <c r="N29" i="103"/>
  <c r="N28" i="103"/>
  <c r="N27" i="103"/>
  <c r="N26" i="103"/>
  <c r="N25" i="103"/>
  <c r="N24" i="103"/>
  <c r="N23" i="103"/>
  <c r="N22" i="103"/>
  <c r="N21" i="103"/>
  <c r="N20" i="103"/>
  <c r="N19" i="103"/>
  <c r="N18" i="103"/>
  <c r="N17" i="103"/>
  <c r="N16" i="103"/>
  <c r="N15" i="103"/>
  <c r="N14" i="103"/>
  <c r="N13" i="103"/>
  <c r="N12" i="103"/>
  <c r="N11" i="103"/>
  <c r="N10" i="103"/>
  <c r="N9" i="103"/>
  <c r="N8" i="103"/>
  <c r="N7" i="103"/>
  <c r="J67" i="103"/>
  <c r="J66" i="103"/>
  <c r="J65" i="103"/>
  <c r="J64" i="103"/>
  <c r="J63" i="103"/>
  <c r="J62" i="103"/>
  <c r="J60" i="103"/>
  <c r="J59" i="103"/>
  <c r="J58" i="103"/>
  <c r="J57" i="103"/>
  <c r="J56" i="103"/>
  <c r="J55" i="103"/>
  <c r="J54" i="103"/>
  <c r="J53" i="103"/>
  <c r="J52" i="103"/>
  <c r="J51" i="103"/>
  <c r="J50" i="103"/>
  <c r="J49" i="103"/>
  <c r="J48" i="103"/>
  <c r="J47" i="103"/>
  <c r="J46" i="103"/>
  <c r="J45" i="103"/>
  <c r="J44" i="103"/>
  <c r="J43" i="103"/>
  <c r="J42" i="103"/>
  <c r="J41" i="103"/>
  <c r="J40" i="103"/>
  <c r="J39" i="103"/>
  <c r="J38" i="103"/>
  <c r="J37" i="103"/>
  <c r="J36" i="103"/>
  <c r="J35" i="103"/>
  <c r="J34" i="103"/>
  <c r="J33" i="103"/>
  <c r="J32" i="103"/>
  <c r="J31" i="103"/>
  <c r="J30" i="103"/>
  <c r="J29" i="103"/>
  <c r="J28" i="103"/>
  <c r="J27" i="103"/>
  <c r="J26" i="103"/>
  <c r="J25" i="103"/>
  <c r="J24" i="103"/>
  <c r="J23" i="103"/>
  <c r="J22" i="103"/>
  <c r="J21" i="103"/>
  <c r="J20" i="103"/>
  <c r="J19" i="103"/>
  <c r="J18" i="103"/>
  <c r="J17" i="103"/>
  <c r="J16" i="103"/>
  <c r="J15" i="103"/>
  <c r="J14" i="103"/>
  <c r="J13" i="103"/>
  <c r="J12" i="103"/>
  <c r="J11" i="103"/>
  <c r="J10" i="103"/>
  <c r="J9" i="103"/>
  <c r="J8" i="103"/>
  <c r="J7" i="103"/>
  <c r="G67" i="103"/>
  <c r="G66" i="103"/>
  <c r="G65" i="103"/>
  <c r="G64" i="103"/>
  <c r="G63" i="103"/>
  <c r="G62" i="103"/>
  <c r="G60" i="103"/>
  <c r="G59" i="103"/>
  <c r="G58" i="103"/>
  <c r="G57" i="103"/>
  <c r="G56" i="103"/>
  <c r="G55" i="103"/>
  <c r="G54" i="103"/>
  <c r="G53" i="103"/>
  <c r="G52" i="103"/>
  <c r="G51" i="103"/>
  <c r="G50" i="103"/>
  <c r="G49" i="103"/>
  <c r="G48" i="103"/>
  <c r="G47" i="103"/>
  <c r="G46" i="103"/>
  <c r="G45" i="103"/>
  <c r="G44" i="103"/>
  <c r="G43" i="103"/>
  <c r="G42" i="103"/>
  <c r="G41" i="103"/>
  <c r="G40" i="103"/>
  <c r="G39" i="103"/>
  <c r="G38" i="103"/>
  <c r="G37" i="103"/>
  <c r="G36" i="103"/>
  <c r="G35" i="103"/>
  <c r="G34" i="103"/>
  <c r="G33" i="103"/>
  <c r="G32" i="103"/>
  <c r="G31" i="103"/>
  <c r="G30" i="103"/>
  <c r="G29" i="103"/>
  <c r="G28" i="103"/>
  <c r="G27" i="103"/>
  <c r="G26" i="103"/>
  <c r="G25" i="103"/>
  <c r="G24" i="103"/>
  <c r="G23" i="103"/>
  <c r="G22" i="103"/>
  <c r="G21" i="103"/>
  <c r="G20" i="103"/>
  <c r="G19" i="103"/>
  <c r="G18" i="103"/>
  <c r="G17" i="103"/>
  <c r="G16" i="103"/>
  <c r="G15" i="103"/>
  <c r="G14" i="103"/>
  <c r="G13" i="103"/>
  <c r="G12" i="103"/>
  <c r="G11" i="103"/>
  <c r="G10" i="103"/>
  <c r="G9" i="103"/>
  <c r="G8" i="103"/>
  <c r="G7" i="103"/>
  <c r="D67" i="103"/>
  <c r="D66" i="103"/>
  <c r="D65" i="103"/>
  <c r="D64" i="103"/>
  <c r="D63" i="103"/>
  <c r="D62" i="103"/>
  <c r="D60" i="103"/>
  <c r="D59" i="103"/>
  <c r="D58" i="103"/>
  <c r="D57" i="103"/>
  <c r="D56" i="103"/>
  <c r="D55" i="103"/>
  <c r="D54" i="103"/>
  <c r="D53" i="103"/>
  <c r="D52" i="103"/>
  <c r="D51" i="103"/>
  <c r="D50" i="103"/>
  <c r="D49" i="103"/>
  <c r="D48" i="103"/>
  <c r="D47" i="103"/>
  <c r="D46" i="103"/>
  <c r="D45" i="103"/>
  <c r="D44" i="103"/>
  <c r="D43" i="103"/>
  <c r="D42" i="103"/>
  <c r="D41" i="103"/>
  <c r="D40" i="103"/>
  <c r="D39" i="103"/>
  <c r="D38" i="103"/>
  <c r="D37" i="103"/>
  <c r="D36" i="103"/>
  <c r="D35" i="103"/>
  <c r="D34" i="103"/>
  <c r="D33" i="103"/>
  <c r="D32" i="103"/>
  <c r="D31" i="103"/>
  <c r="D30" i="103"/>
  <c r="D29" i="103"/>
  <c r="D28" i="103"/>
  <c r="D27" i="103"/>
  <c r="D26" i="103"/>
  <c r="D25" i="103"/>
  <c r="D24" i="103"/>
  <c r="D23" i="103"/>
  <c r="D22" i="103"/>
  <c r="D21" i="103"/>
  <c r="D20" i="103"/>
  <c r="D19" i="103"/>
  <c r="D18" i="103"/>
  <c r="D17" i="103"/>
  <c r="D16" i="103"/>
  <c r="D15" i="103"/>
  <c r="D14" i="103"/>
  <c r="D13" i="103"/>
  <c r="D12" i="103"/>
  <c r="D11" i="103"/>
  <c r="D10" i="103"/>
  <c r="D9" i="103"/>
  <c r="D8" i="103"/>
  <c r="D7" i="103"/>
  <c r="A4" i="103"/>
  <c r="I5" i="103" l="1"/>
  <c r="H5" i="103"/>
  <c r="F5" i="103"/>
  <c r="E5" i="103"/>
  <c r="AH5" i="103"/>
  <c r="AG5" i="103"/>
  <c r="AE5" i="103"/>
  <c r="AD5" i="103"/>
  <c r="AB5" i="103"/>
  <c r="AA5" i="103"/>
  <c r="Y5" i="103"/>
  <c r="X5" i="103"/>
  <c r="V5" i="103"/>
  <c r="U5" i="103"/>
  <c r="S5" i="103"/>
  <c r="R5" i="103"/>
  <c r="P5" i="103"/>
  <c r="O5" i="103"/>
  <c r="M5" i="103"/>
  <c r="L5" i="103"/>
  <c r="B5" i="103"/>
  <c r="C5" i="103"/>
  <c r="A67" i="103"/>
  <c r="A66" i="103"/>
  <c r="AY65" i="103"/>
  <c r="AX65" i="103"/>
  <c r="A65" i="103"/>
  <c r="A64" i="103"/>
  <c r="A63" i="103"/>
  <c r="AY62" i="103"/>
  <c r="AX62" i="103"/>
  <c r="A62" i="103"/>
  <c r="AY61" i="103"/>
  <c r="AX61" i="103"/>
  <c r="AW61" i="103"/>
  <c r="AY60" i="103"/>
  <c r="AX60" i="103"/>
  <c r="A60" i="103"/>
  <c r="AY59" i="103"/>
  <c r="AX59" i="103"/>
  <c r="A59" i="103"/>
  <c r="AY58" i="103"/>
  <c r="AX58" i="103"/>
  <c r="A58" i="103"/>
  <c r="AY57" i="103"/>
  <c r="AX57" i="103"/>
  <c r="A57" i="103"/>
  <c r="AY56" i="103"/>
  <c r="AX56" i="103"/>
  <c r="AW56" i="103"/>
  <c r="A56" i="103" s="1"/>
  <c r="A55" i="103"/>
  <c r="AY54" i="103"/>
  <c r="AX54" i="103"/>
  <c r="AW54" i="103"/>
  <c r="A54" i="103" s="1"/>
  <c r="AY53" i="103"/>
  <c r="AX53" i="103"/>
  <c r="AW53" i="103"/>
  <c r="A53" i="103" s="1"/>
  <c r="AY52" i="103"/>
  <c r="AX52" i="103"/>
  <c r="A52" i="103"/>
  <c r="AY51" i="103"/>
  <c r="AX51" i="103"/>
  <c r="AW51" i="103"/>
  <c r="A51" i="103" s="1"/>
  <c r="AY50" i="103"/>
  <c r="AX50" i="103"/>
  <c r="AW50" i="103"/>
  <c r="A50" i="103" s="1"/>
  <c r="A49" i="103"/>
  <c r="AY48" i="103"/>
  <c r="AX48" i="103"/>
  <c r="AW48" i="103"/>
  <c r="A48" i="103" s="1"/>
  <c r="AY47" i="103"/>
  <c r="AX47" i="103"/>
  <c r="AW47" i="103"/>
  <c r="A47" i="103" s="1"/>
  <c r="AY46" i="103"/>
  <c r="AX46" i="103"/>
  <c r="AW46" i="103"/>
  <c r="A46" i="103" s="1"/>
  <c r="AY45" i="103"/>
  <c r="AX45" i="103"/>
  <c r="AW45" i="103"/>
  <c r="A45" i="103" s="1"/>
  <c r="AY44" i="103"/>
  <c r="AX44" i="103"/>
  <c r="AW44" i="103"/>
  <c r="A44" i="103" s="1"/>
  <c r="AY43" i="103"/>
  <c r="AX43" i="103"/>
  <c r="AW43" i="103"/>
  <c r="A43" i="103" s="1"/>
  <c r="A42" i="103"/>
  <c r="AY41" i="103"/>
  <c r="AX41" i="103"/>
  <c r="A41" i="103"/>
  <c r="AY40" i="103"/>
  <c r="AX40" i="103"/>
  <c r="AW40" i="103"/>
  <c r="A40" i="103" s="1"/>
  <c r="AY39" i="103"/>
  <c r="AX39" i="103"/>
  <c r="AW39" i="103"/>
  <c r="A39" i="103" s="1"/>
  <c r="AY38" i="103"/>
  <c r="AX38" i="103"/>
  <c r="A38" i="103"/>
  <c r="AY37" i="103"/>
  <c r="AX37" i="103"/>
  <c r="A37" i="103"/>
  <c r="AY36" i="103"/>
  <c r="AX36" i="103"/>
  <c r="AW36" i="103"/>
  <c r="A36" i="103" s="1"/>
  <c r="AY35" i="103"/>
  <c r="AX35" i="103"/>
  <c r="AW35" i="103"/>
  <c r="A35" i="103" s="1"/>
  <c r="AY34" i="103"/>
  <c r="AX34" i="103"/>
  <c r="AW34" i="103"/>
  <c r="A34" i="103" s="1"/>
  <c r="AY33" i="103"/>
  <c r="AX33" i="103"/>
  <c r="AW33" i="103"/>
  <c r="A33" i="103" s="1"/>
  <c r="AY32" i="103"/>
  <c r="AX32" i="103"/>
  <c r="AW32" i="103"/>
  <c r="A32" i="103" s="1"/>
  <c r="AY31" i="103"/>
  <c r="AX31" i="103"/>
  <c r="AW31" i="103"/>
  <c r="A31" i="103" s="1"/>
  <c r="AY30" i="103"/>
  <c r="AX30" i="103"/>
  <c r="AW30" i="103"/>
  <c r="A30" i="103" s="1"/>
  <c r="AY29" i="103"/>
  <c r="AX29" i="103"/>
  <c r="AW29" i="103"/>
  <c r="A29" i="103" s="1"/>
  <c r="AY28" i="103"/>
  <c r="AX28" i="103"/>
  <c r="A28" i="103"/>
  <c r="AY27" i="103"/>
  <c r="AX27" i="103"/>
  <c r="AW27" i="103"/>
  <c r="A27" i="103" s="1"/>
  <c r="AY26" i="103"/>
  <c r="AX26" i="103"/>
  <c r="AW26" i="103"/>
  <c r="A26" i="103" s="1"/>
  <c r="AY25" i="103"/>
  <c r="A25" i="103"/>
  <c r="A24" i="103"/>
  <c r="AY23" i="103"/>
  <c r="AX23" i="103"/>
  <c r="AW23" i="103"/>
  <c r="A23" i="103" s="1"/>
  <c r="AY22" i="103"/>
  <c r="AX22" i="103"/>
  <c r="AW22" i="103"/>
  <c r="A22" i="103" s="1"/>
  <c r="A21" i="103"/>
  <c r="AY20" i="103"/>
  <c r="AX20" i="103"/>
  <c r="AW20" i="103"/>
  <c r="A20" i="103" s="1"/>
  <c r="AY19" i="103"/>
  <c r="AX19" i="103"/>
  <c r="AW19" i="103"/>
  <c r="A19" i="103" s="1"/>
  <c r="A18" i="103"/>
  <c r="A17" i="103"/>
  <c r="A16" i="103"/>
  <c r="AY15" i="103"/>
  <c r="AX15" i="103"/>
  <c r="AW15" i="103"/>
  <c r="A15" i="103" s="1"/>
  <c r="AY14" i="103"/>
  <c r="AX14" i="103"/>
  <c r="AW14" i="103"/>
  <c r="A14" i="103" s="1"/>
  <c r="AY13" i="103"/>
  <c r="AX13" i="103"/>
  <c r="A13" i="103"/>
  <c r="AY12" i="103"/>
  <c r="AX12" i="103"/>
  <c r="AW12" i="103"/>
  <c r="A12" i="103"/>
  <c r="AY11" i="103"/>
  <c r="AX11" i="103"/>
  <c r="A11" i="103"/>
  <c r="AY10" i="103"/>
  <c r="AX10" i="103"/>
  <c r="A10" i="103"/>
  <c r="AY9" i="103"/>
  <c r="AX9" i="103"/>
  <c r="AW9" i="103"/>
  <c r="A9" i="103" s="1"/>
  <c r="AY8" i="103"/>
  <c r="AX8" i="103"/>
  <c r="AW8" i="103"/>
  <c r="A8" i="103" s="1"/>
  <c r="AY7" i="103"/>
  <c r="AX7" i="103"/>
  <c r="AW7" i="103"/>
  <c r="A7" i="103" s="1"/>
  <c r="BK6" i="103"/>
  <c r="BJ6" i="103"/>
  <c r="BG6" i="103"/>
  <c r="BE6" i="103"/>
  <c r="AG6" i="103"/>
  <c r="AD6" i="103"/>
  <c r="AA6" i="103"/>
  <c r="X6" i="103"/>
  <c r="U6" i="103"/>
  <c r="R6" i="103"/>
  <c r="O6" i="103"/>
  <c r="L6" i="103"/>
  <c r="H6" i="103"/>
  <c r="E6" i="103"/>
  <c r="B6" i="103"/>
  <c r="A6" i="103"/>
  <c r="A3" i="103"/>
  <c r="A61" i="103" l="1"/>
  <c r="AB51" i="82"/>
  <c r="AB52" i="82" s="1"/>
  <c r="A1" i="90" l="1"/>
  <c r="AL6" i="91"/>
  <c r="AP6" i="91"/>
  <c r="AO6" i="91"/>
  <c r="AJ6" i="91"/>
  <c r="A1" i="91"/>
  <c r="C37" i="90" l="1"/>
  <c r="C36" i="90"/>
  <c r="H26" i="95" l="1"/>
  <c r="I11" i="98" s="1"/>
  <c r="I39" i="98" s="1"/>
  <c r="G26" i="95"/>
  <c r="E11" i="98" s="1"/>
  <c r="A33" i="82" l="1"/>
  <c r="J14" i="87"/>
  <c r="B35" i="82"/>
  <c r="AH68" i="90"/>
  <c r="AH67" i="90"/>
  <c r="AD45" i="90"/>
  <c r="B28" i="89"/>
  <c r="B4" i="89"/>
  <c r="A2" i="89"/>
  <c r="AC66" i="87" l="1"/>
  <c r="A51" i="87" s="1"/>
  <c r="AC63" i="87"/>
  <c r="A44" i="87" s="1"/>
  <c r="AC61" i="87"/>
  <c r="A40" i="87" l="1"/>
  <c r="A41" i="87"/>
  <c r="A39" i="87"/>
  <c r="A45" i="87"/>
  <c r="A53" i="87"/>
  <c r="A49" i="87"/>
  <c r="A38" i="87"/>
  <c r="A52" i="87"/>
  <c r="A54" i="87"/>
  <c r="AG35" i="95"/>
  <c r="AC35" i="95" s="1"/>
  <c r="AB35" i="95" l="1"/>
  <c r="AD25" i="91"/>
  <c r="AB61" i="91"/>
  <c r="AB56" i="91"/>
  <c r="AB53" i="91"/>
  <c r="AB54" i="91"/>
  <c r="AB50" i="91"/>
  <c r="AB51" i="91"/>
  <c r="AB44" i="91"/>
  <c r="AB45" i="91"/>
  <c r="AB46" i="91"/>
  <c r="AB47" i="91"/>
  <c r="AB48" i="91"/>
  <c r="AB43" i="91"/>
  <c r="AB39" i="91"/>
  <c r="AB40" i="91"/>
  <c r="AB30" i="91"/>
  <c r="AB31" i="91"/>
  <c r="AB32" i="91"/>
  <c r="AB33" i="91"/>
  <c r="AB34" i="91"/>
  <c r="AB35" i="91"/>
  <c r="AB36" i="91"/>
  <c r="AB29" i="91"/>
  <c r="AB27" i="91"/>
  <c r="AB26" i="91"/>
  <c r="AB23" i="91"/>
  <c r="AB22" i="91"/>
  <c r="AB20" i="91"/>
  <c r="AB19" i="91"/>
  <c r="AB15" i="91"/>
  <c r="AB14" i="91"/>
  <c r="AB12" i="91"/>
  <c r="AB9" i="91"/>
  <c r="AB8" i="91"/>
  <c r="AB7" i="91"/>
  <c r="AD65" i="91"/>
  <c r="AD62" i="91"/>
  <c r="AC65" i="91"/>
  <c r="AC62" i="91"/>
  <c r="AD61" i="91"/>
  <c r="AC61" i="91"/>
  <c r="AD57" i="91"/>
  <c r="AD58" i="91"/>
  <c r="AD59" i="91"/>
  <c r="AD60" i="91"/>
  <c r="AC60" i="91"/>
  <c r="AC59" i="91"/>
  <c r="AC58" i="91"/>
  <c r="AC57" i="91"/>
  <c r="AD56" i="91"/>
  <c r="AC56" i="91"/>
  <c r="AD50" i="91"/>
  <c r="AD51" i="91"/>
  <c r="AD52" i="91"/>
  <c r="AD53" i="91"/>
  <c r="AD54" i="91"/>
  <c r="AC54" i="91"/>
  <c r="AC53" i="91"/>
  <c r="AC52" i="91"/>
  <c r="AC51" i="91"/>
  <c r="AC50" i="91"/>
  <c r="AD45" i="91"/>
  <c r="AD46" i="91"/>
  <c r="AD47" i="91"/>
  <c r="AD48" i="91"/>
  <c r="AC48" i="91"/>
  <c r="AC47" i="91"/>
  <c r="AC46" i="91"/>
  <c r="AC45" i="91"/>
  <c r="AD44" i="91"/>
  <c r="AC44" i="91"/>
  <c r="AD43" i="91"/>
  <c r="AC43" i="91"/>
  <c r="AD13" i="91"/>
  <c r="AC13" i="91"/>
  <c r="AD28" i="91"/>
  <c r="AC28" i="91"/>
  <c r="AD38" i="91"/>
  <c r="AC38" i="91"/>
  <c r="AD37" i="91"/>
  <c r="AD39" i="91"/>
  <c r="AD40" i="91"/>
  <c r="AD41" i="91"/>
  <c r="AD30" i="91"/>
  <c r="AD31" i="91"/>
  <c r="AD32" i="91"/>
  <c r="AD33" i="91"/>
  <c r="AD34" i="91"/>
  <c r="AD35" i="91"/>
  <c r="AD36" i="91"/>
  <c r="AC41" i="91"/>
  <c r="AC40" i="91"/>
  <c r="AC39" i="91"/>
  <c r="AC37" i="91"/>
  <c r="AC36" i="91"/>
  <c r="AC35" i="91"/>
  <c r="AC34" i="91"/>
  <c r="AC33" i="91"/>
  <c r="AC32" i="91"/>
  <c r="AC31" i="91"/>
  <c r="AC30" i="91"/>
  <c r="AD29" i="91"/>
  <c r="AC29" i="91"/>
  <c r="AD26" i="91"/>
  <c r="AD27" i="91"/>
  <c r="AD22" i="91"/>
  <c r="AD23" i="91"/>
  <c r="AD19" i="91"/>
  <c r="AD20" i="91"/>
  <c r="AC26" i="91"/>
  <c r="AC27" i="91"/>
  <c r="AC23" i="91"/>
  <c r="AC22" i="91"/>
  <c r="AC20" i="91"/>
  <c r="AC19" i="91"/>
  <c r="AD15" i="91"/>
  <c r="AD14" i="91"/>
  <c r="AC15" i="91"/>
  <c r="AC14" i="91"/>
  <c r="AD12" i="91"/>
  <c r="AC12" i="91"/>
  <c r="AD10" i="91"/>
  <c r="AD11" i="91"/>
  <c r="AC11" i="91"/>
  <c r="AC10" i="91"/>
  <c r="AD7" i="91"/>
  <c r="AD8" i="91"/>
  <c r="AD9" i="91"/>
  <c r="AC9" i="91"/>
  <c r="AC8" i="91"/>
  <c r="AC7" i="91"/>
  <c r="C47" i="96" l="1"/>
  <c r="E47" i="96" s="1"/>
  <c r="AB28" i="98"/>
  <c r="AB27" i="98"/>
  <c r="K32" i="96"/>
  <c r="K31" i="96"/>
  <c r="G31" i="96"/>
  <c r="C31" i="96"/>
  <c r="AA39" i="96"/>
  <c r="AA38" i="96"/>
  <c r="H18" i="96"/>
  <c r="H16" i="96"/>
  <c r="AB34" i="96"/>
  <c r="AB33" i="96"/>
  <c r="A10" i="96"/>
  <c r="A8" i="96"/>
  <c r="B6" i="96"/>
  <c r="B5" i="96"/>
  <c r="B4" i="96"/>
  <c r="B3" i="96"/>
  <c r="A1" i="96"/>
  <c r="Q11" i="98"/>
  <c r="Q39" i="98" s="1"/>
  <c r="P11" i="98"/>
  <c r="P39" i="98" s="1"/>
  <c r="O11" i="98"/>
  <c r="O39" i="98" s="1"/>
  <c r="O9" i="98"/>
  <c r="O37" i="98" s="1"/>
  <c r="F10" i="98"/>
  <c r="A35" i="98"/>
  <c r="B4" i="98"/>
  <c r="B3" i="98"/>
  <c r="A7" i="98" s="1"/>
  <c r="J52" i="95"/>
  <c r="J50" i="95"/>
  <c r="J48" i="95"/>
  <c r="C52" i="95"/>
  <c r="C50" i="95"/>
  <c r="C48" i="95"/>
  <c r="B44" i="95"/>
  <c r="B43" i="95"/>
  <c r="B42" i="95"/>
  <c r="B41" i="95"/>
  <c r="B40" i="95"/>
  <c r="E44" i="95"/>
  <c r="E42" i="95"/>
  <c r="E41" i="95"/>
  <c r="E40" i="95"/>
  <c r="E39" i="95"/>
  <c r="B52" i="95"/>
  <c r="B50" i="95"/>
  <c r="B48" i="95"/>
  <c r="A33" i="95"/>
  <c r="J26" i="95"/>
  <c r="I26" i="95"/>
  <c r="A8" i="95"/>
  <c r="B4" i="95"/>
  <c r="B5" i="95"/>
  <c r="B3" i="95"/>
  <c r="A1" i="95"/>
  <c r="A1" i="98" s="1"/>
  <c r="B37" i="88"/>
  <c r="AC64" i="87"/>
  <c r="AC62" i="87"/>
  <c r="F28" i="87"/>
  <c r="B34" i="87" s="1"/>
  <c r="A23" i="87"/>
  <c r="K21" i="87"/>
  <c r="A9" i="87"/>
  <c r="B7" i="87"/>
  <c r="B6" i="87"/>
  <c r="B5" i="87"/>
  <c r="B4" i="87"/>
  <c r="B3" i="87"/>
  <c r="A1" i="87"/>
  <c r="B43" i="88"/>
  <c r="B42" i="88"/>
  <c r="B38" i="88"/>
  <c r="AB48" i="88"/>
  <c r="A7" i="88"/>
  <c r="B4" i="88"/>
  <c r="B3" i="88"/>
  <c r="A1" i="88"/>
  <c r="K19" i="82"/>
  <c r="J17" i="87" s="1"/>
  <c r="M23" i="82"/>
  <c r="K18" i="87" s="1"/>
  <c r="M22" i="82"/>
  <c r="M22" i="88" s="1"/>
  <c r="M21" i="82"/>
  <c r="K19" i="87" s="1"/>
  <c r="M20" i="82"/>
  <c r="M20" i="88" s="1"/>
  <c r="A41" i="82"/>
  <c r="H33" i="82"/>
  <c r="F33" i="82"/>
  <c r="A37" i="82"/>
  <c r="E10" i="98" s="1"/>
  <c r="D10" i="98"/>
  <c r="E32" i="82"/>
  <c r="G32" i="82"/>
  <c r="H32" i="82"/>
  <c r="C32" i="82"/>
  <c r="D32" i="82"/>
  <c r="A7" i="82"/>
  <c r="Q7" i="82"/>
  <c r="P7" i="82"/>
  <c r="O7" i="82"/>
  <c r="N7" i="82"/>
  <c r="M7" i="82"/>
  <c r="L7" i="82"/>
  <c r="K7" i="82"/>
  <c r="J7" i="82"/>
  <c r="I7" i="82"/>
  <c r="H7" i="82"/>
  <c r="G7" i="82"/>
  <c r="F7" i="82"/>
  <c r="E7" i="82"/>
  <c r="D7" i="82"/>
  <c r="C7" i="82"/>
  <c r="B7" i="82"/>
  <c r="B5" i="82"/>
  <c r="B4" i="82"/>
  <c r="B3" i="82"/>
  <c r="A2" i="82"/>
  <c r="A2" i="87" s="1"/>
  <c r="E2" i="82"/>
  <c r="D2" i="87" s="1"/>
  <c r="A1" i="82"/>
  <c r="AH9" i="90"/>
  <c r="AH4" i="90"/>
  <c r="A39" i="90"/>
  <c r="A38" i="90"/>
  <c r="C25" i="90"/>
  <c r="C18" i="90"/>
  <c r="C11" i="90"/>
  <c r="A28" i="90"/>
  <c r="A26" i="90"/>
  <c r="A19" i="90"/>
  <c r="A12" i="90"/>
  <c r="A5" i="90"/>
  <c r="A3" i="90"/>
  <c r="D28" i="89"/>
  <c r="B24" i="89"/>
  <c r="B23" i="89"/>
  <c r="B22" i="89"/>
  <c r="B21" i="89"/>
  <c r="B20" i="89"/>
  <c r="B19" i="89"/>
  <c r="B12" i="89"/>
  <c r="B11" i="89"/>
  <c r="D11" i="89"/>
  <c r="C11" i="89"/>
  <c r="B9" i="89"/>
  <c r="B8" i="89"/>
  <c r="B7" i="89"/>
  <c r="B6" i="89"/>
  <c r="B5" i="89"/>
  <c r="A1" i="89"/>
  <c r="E33" i="86"/>
  <c r="D33" i="86"/>
  <c r="C33" i="86"/>
  <c r="B33" i="86"/>
  <c r="A33" i="86"/>
  <c r="E32" i="86"/>
  <c r="D32" i="86"/>
  <c r="C32" i="86"/>
  <c r="B32" i="86"/>
  <c r="A32" i="86"/>
  <c r="E31" i="86"/>
  <c r="D31" i="86"/>
  <c r="C31" i="86"/>
  <c r="B31" i="86"/>
  <c r="A31" i="86"/>
  <c r="E30" i="86"/>
  <c r="D30" i="86"/>
  <c r="C30" i="86"/>
  <c r="B30" i="86"/>
  <c r="A30" i="86"/>
  <c r="E29" i="86"/>
  <c r="D29" i="86"/>
  <c r="C29" i="86"/>
  <c r="B29" i="86"/>
  <c r="A29" i="86"/>
  <c r="A28" i="86"/>
  <c r="E26" i="86"/>
  <c r="D26" i="86"/>
  <c r="C26" i="86"/>
  <c r="B26" i="86"/>
  <c r="A26" i="86"/>
  <c r="E25" i="86"/>
  <c r="D25" i="86"/>
  <c r="C25" i="86"/>
  <c r="B25" i="86"/>
  <c r="A25" i="86"/>
  <c r="E24" i="86"/>
  <c r="D24" i="86"/>
  <c r="C24" i="86"/>
  <c r="B24" i="86"/>
  <c r="A24" i="86"/>
  <c r="E23" i="86"/>
  <c r="D23" i="86"/>
  <c r="C23" i="86"/>
  <c r="B23" i="86"/>
  <c r="A23" i="86"/>
  <c r="E22" i="86"/>
  <c r="D22" i="86"/>
  <c r="C22" i="86"/>
  <c r="B22" i="86"/>
  <c r="A22" i="86"/>
  <c r="E21" i="86"/>
  <c r="D21" i="86"/>
  <c r="C21" i="86"/>
  <c r="B21" i="86"/>
  <c r="A21" i="86"/>
  <c r="E20" i="86"/>
  <c r="D20" i="86"/>
  <c r="C20" i="86"/>
  <c r="B20" i="86"/>
  <c r="A20" i="86"/>
  <c r="A19" i="86"/>
  <c r="A11" i="86"/>
  <c r="A7" i="86"/>
  <c r="A5" i="86"/>
  <c r="E7" i="86"/>
  <c r="E10" i="86" s="1"/>
  <c r="E5" i="86"/>
  <c r="E6" i="86" s="1"/>
  <c r="D5" i="86"/>
  <c r="D6" i="86"/>
  <c r="D7" i="86"/>
  <c r="D8" i="86"/>
  <c r="D9" i="86"/>
  <c r="D10" i="86"/>
  <c r="D11" i="86"/>
  <c r="D12" i="86"/>
  <c r="D13" i="86"/>
  <c r="D14" i="86"/>
  <c r="D15" i="86"/>
  <c r="D16" i="86"/>
  <c r="D4" i="86"/>
  <c r="E3" i="86"/>
  <c r="D3" i="86"/>
  <c r="B3" i="86"/>
  <c r="B1" i="86"/>
  <c r="H27" i="87" l="1"/>
  <c r="F35" i="87" s="1"/>
  <c r="D11" i="98"/>
  <c r="U2" i="5"/>
  <c r="AJ63" i="90"/>
  <c r="A48" i="87"/>
  <c r="A47" i="87"/>
  <c r="A43" i="87"/>
  <c r="A42" i="87"/>
  <c r="A46" i="87"/>
  <c r="A2" i="95"/>
  <c r="D2" i="95"/>
  <c r="A2" i="98"/>
  <c r="A2" i="96"/>
  <c r="G2" i="98"/>
  <c r="H31" i="96"/>
  <c r="M21" i="88"/>
  <c r="K20" i="87"/>
  <c r="A2" i="88"/>
  <c r="D2" i="88"/>
  <c r="K19" i="88"/>
  <c r="M23" i="88"/>
  <c r="B36" i="87"/>
  <c r="E15" i="86"/>
  <c r="E16" i="86"/>
  <c r="E11" i="86"/>
  <c r="E12" i="86"/>
  <c r="E8" i="86"/>
  <c r="E13" i="86"/>
  <c r="E9" i="86"/>
  <c r="E14" i="86"/>
  <c r="C35" i="95"/>
  <c r="D32" i="96" s="1"/>
  <c r="E32" i="96" s="1"/>
  <c r="E38" i="82" l="1"/>
  <c r="E37" i="82"/>
  <c r="E36" i="88" l="1"/>
  <c r="AC29" i="100" l="1"/>
  <c r="AC20" i="100"/>
  <c r="AC15" i="100"/>
  <c r="AC32" i="13" l="1"/>
  <c r="AC46" i="89" l="1" a="1"/>
  <c r="AC49" i="89" s="1"/>
  <c r="AC108" i="89" l="1"/>
  <c r="AC104" i="89"/>
  <c r="AC100" i="89"/>
  <c r="AC96" i="89"/>
  <c r="AC92" i="89"/>
  <c r="AC88" i="89"/>
  <c r="AC84" i="89"/>
  <c r="AC80" i="89"/>
  <c r="AC76" i="89"/>
  <c r="AC72" i="89"/>
  <c r="AC68" i="89"/>
  <c r="AC64" i="89"/>
  <c r="AC60" i="89"/>
  <c r="AC56" i="89"/>
  <c r="AC52" i="89"/>
  <c r="AC48" i="89"/>
  <c r="AC107" i="89"/>
  <c r="AC103" i="89"/>
  <c r="AC99" i="89"/>
  <c r="AC95" i="89"/>
  <c r="AC91" i="89"/>
  <c r="AC87" i="89"/>
  <c r="AC83" i="89"/>
  <c r="AC79" i="89"/>
  <c r="AC75" i="89"/>
  <c r="AC71" i="89"/>
  <c r="AC67" i="89"/>
  <c r="AC63" i="89"/>
  <c r="AC59" i="89"/>
  <c r="AC55" i="89"/>
  <c r="AC51" i="89"/>
  <c r="AC47" i="89"/>
  <c r="AC110" i="89"/>
  <c r="AC106" i="89"/>
  <c r="AC102" i="89"/>
  <c r="AC98" i="89"/>
  <c r="AC94" i="89"/>
  <c r="AC90" i="89"/>
  <c r="AC86" i="89"/>
  <c r="AC82" i="89"/>
  <c r="AC78" i="89"/>
  <c r="AC74" i="89"/>
  <c r="AC70" i="89"/>
  <c r="AC66" i="89"/>
  <c r="AC62" i="89"/>
  <c r="AC58" i="89"/>
  <c r="AC54" i="89"/>
  <c r="AC50" i="89"/>
  <c r="AC46" i="89"/>
  <c r="AC109" i="89"/>
  <c r="AC105" i="89"/>
  <c r="AC101" i="89"/>
  <c r="AC97" i="89"/>
  <c r="AC93" i="89"/>
  <c r="AC89" i="89"/>
  <c r="AC85" i="89"/>
  <c r="AC81" i="89"/>
  <c r="AC77" i="89"/>
  <c r="AC73" i="89"/>
  <c r="AC69" i="89"/>
  <c r="AC65" i="89"/>
  <c r="AC61" i="89"/>
  <c r="AC57" i="89"/>
  <c r="AC53" i="89"/>
  <c r="AL50" i="75" l="1"/>
  <c r="AM50" i="75"/>
  <c r="AN50" i="75"/>
  <c r="AO50" i="75"/>
  <c r="AP50" i="75"/>
  <c r="AK50" i="75"/>
  <c r="AJ50" i="75"/>
  <c r="AI50" i="75"/>
  <c r="AH50" i="75"/>
  <c r="AG50" i="75"/>
  <c r="AF50" i="75"/>
  <c r="AD50" i="75"/>
  <c r="AE50" i="75"/>
  <c r="AC50" i="75"/>
  <c r="AA50" i="75"/>
  <c r="AB50" i="75"/>
  <c r="Z50" i="75"/>
  <c r="AE46" i="89" l="1" a="1"/>
  <c r="M67" i="100"/>
  <c r="M66" i="100"/>
  <c r="M65" i="100"/>
  <c r="M64" i="100"/>
  <c r="M63" i="100"/>
  <c r="M62" i="100"/>
  <c r="M61" i="100"/>
  <c r="M60" i="100"/>
  <c r="M59" i="100"/>
  <c r="M58" i="100"/>
  <c r="M57" i="100"/>
  <c r="M56" i="100"/>
  <c r="M55" i="100"/>
  <c r="M54" i="100"/>
  <c r="M37" i="100"/>
  <c r="M36" i="100"/>
  <c r="M35" i="100"/>
  <c r="M34" i="100"/>
  <c r="M33" i="100"/>
  <c r="M32" i="100"/>
  <c r="M31" i="100"/>
  <c r="M13" i="100"/>
  <c r="M14" i="100"/>
  <c r="M15" i="100"/>
  <c r="M16" i="100"/>
  <c r="M17" i="100"/>
  <c r="M18" i="100"/>
  <c r="M12" i="100"/>
  <c r="AD46" i="89" l="1" a="1"/>
  <c r="AE47" i="89"/>
  <c r="AE108" i="89"/>
  <c r="AE92" i="89"/>
  <c r="AE76" i="89"/>
  <c r="AE60" i="89"/>
  <c r="AE110" i="89"/>
  <c r="AE94" i="89"/>
  <c r="AE78" i="89"/>
  <c r="AE62" i="89"/>
  <c r="AE46" i="89"/>
  <c r="AE97" i="89"/>
  <c r="AE81" i="89"/>
  <c r="AE65" i="89"/>
  <c r="AE49" i="89"/>
  <c r="AE95" i="89"/>
  <c r="AE79" i="89"/>
  <c r="AE63" i="89"/>
  <c r="AE104" i="89"/>
  <c r="AE88" i="89"/>
  <c r="AE72" i="89"/>
  <c r="AE56" i="89"/>
  <c r="AE106" i="89"/>
  <c r="AE90" i="89"/>
  <c r="AE74" i="89"/>
  <c r="AE58" i="89"/>
  <c r="AE109" i="89"/>
  <c r="AE93" i="89"/>
  <c r="AE77" i="89"/>
  <c r="AE61" i="89"/>
  <c r="AE107" i="89"/>
  <c r="AE91" i="89"/>
  <c r="AE75" i="89"/>
  <c r="AE59" i="89"/>
  <c r="AE100" i="89"/>
  <c r="AE84" i="89"/>
  <c r="AE68" i="89"/>
  <c r="AE52" i="89"/>
  <c r="AE102" i="89"/>
  <c r="AE86" i="89"/>
  <c r="AE70" i="89"/>
  <c r="AE54" i="89"/>
  <c r="AE105" i="89"/>
  <c r="AE89" i="89"/>
  <c r="AE73" i="89"/>
  <c r="AE57" i="89"/>
  <c r="AE103" i="89"/>
  <c r="AE87" i="89"/>
  <c r="AE71" i="89"/>
  <c r="AE55" i="89"/>
  <c r="AE96" i="89"/>
  <c r="AE80" i="89"/>
  <c r="AE64" i="89"/>
  <c r="AE48" i="89"/>
  <c r="AE98" i="89"/>
  <c r="AE82" i="89"/>
  <c r="AE66" i="89"/>
  <c r="AE50" i="89"/>
  <c r="AE101" i="89"/>
  <c r="AE85" i="89"/>
  <c r="AE69" i="89"/>
  <c r="AE53" i="89"/>
  <c r="AE99" i="89"/>
  <c r="AE83" i="89"/>
  <c r="AE67" i="89"/>
  <c r="AE51" i="89"/>
  <c r="AB47" i="82"/>
  <c r="B29" i="95"/>
  <c r="B28" i="95"/>
  <c r="B27" i="95"/>
  <c r="H35" i="82"/>
  <c r="F34" i="82"/>
  <c r="H34" i="82"/>
  <c r="E34" i="82"/>
  <c r="D34" i="82"/>
  <c r="C34" i="82"/>
  <c r="C33" i="82"/>
  <c r="AD47" i="89" l="1"/>
  <c r="AD108" i="89"/>
  <c r="AD92" i="89"/>
  <c r="AD76" i="89"/>
  <c r="AD60" i="89"/>
  <c r="AD110" i="89"/>
  <c r="AD94" i="89"/>
  <c r="AD78" i="89"/>
  <c r="AD62" i="89"/>
  <c r="AD46" i="89"/>
  <c r="AD97" i="89"/>
  <c r="AD81" i="89"/>
  <c r="AD65" i="89"/>
  <c r="AD49" i="89"/>
  <c r="AD95" i="89"/>
  <c r="AD79" i="89"/>
  <c r="AD63" i="89"/>
  <c r="AD104" i="89"/>
  <c r="AD88" i="89"/>
  <c r="AD72" i="89"/>
  <c r="AD56" i="89"/>
  <c r="AD106" i="89"/>
  <c r="AD90" i="89"/>
  <c r="AD74" i="89"/>
  <c r="AD58" i="89"/>
  <c r="AD109" i="89"/>
  <c r="AD93" i="89"/>
  <c r="AD77" i="89"/>
  <c r="AD61" i="89"/>
  <c r="AD107" i="89"/>
  <c r="AD91" i="89"/>
  <c r="AD75" i="89"/>
  <c r="AD59" i="89"/>
  <c r="AD100" i="89"/>
  <c r="AD84" i="89"/>
  <c r="AD68" i="89"/>
  <c r="AD52" i="89"/>
  <c r="AD102" i="89"/>
  <c r="AD86" i="89"/>
  <c r="AD70" i="89"/>
  <c r="AD54" i="89"/>
  <c r="AD105" i="89"/>
  <c r="AD89" i="89"/>
  <c r="AD73" i="89"/>
  <c r="AD57" i="89"/>
  <c r="AD103" i="89"/>
  <c r="AD87" i="89"/>
  <c r="AD71" i="89"/>
  <c r="AD55" i="89"/>
  <c r="AD96" i="89"/>
  <c r="AD80" i="89"/>
  <c r="AD64" i="89"/>
  <c r="AD98" i="89"/>
  <c r="AD82" i="89"/>
  <c r="AD85" i="89"/>
  <c r="AD83" i="89"/>
  <c r="AD66" i="89"/>
  <c r="AD69" i="89"/>
  <c r="AD67" i="89"/>
  <c r="AD48" i="89"/>
  <c r="AD50" i="89"/>
  <c r="AD53" i="89"/>
  <c r="AD51" i="89"/>
  <c r="AD101" i="89"/>
  <c r="AD99" i="89"/>
  <c r="J11" i="82"/>
  <c r="AF109" i="89" l="1"/>
  <c r="AF110" i="89"/>
  <c r="AL2" i="90"/>
  <c r="AK2" i="90"/>
  <c r="AJ2" i="90"/>
  <c r="AG109" i="89" l="1"/>
  <c r="AG110" i="89"/>
  <c r="N3" i="100" l="1"/>
  <c r="N1" i="100"/>
  <c r="AF4" i="100"/>
  <c r="N9" i="100"/>
  <c r="N19" i="100"/>
  <c r="N20" i="100"/>
  <c r="N21" i="100"/>
  <c r="N26" i="100"/>
  <c r="N28" i="100"/>
  <c r="N38" i="100"/>
  <c r="N39" i="100"/>
  <c r="N40" i="100"/>
  <c r="N41" i="100"/>
  <c r="N42" i="100"/>
  <c r="N43" i="100"/>
  <c r="N44" i="100"/>
  <c r="N49" i="100"/>
  <c r="N51" i="100"/>
  <c r="N68" i="100"/>
  <c r="N69" i="100"/>
  <c r="N70" i="100"/>
  <c r="N7" i="100"/>
  <c r="A1" i="100"/>
  <c r="C17" i="99" l="1"/>
  <c r="C18" i="99"/>
  <c r="B4" i="99"/>
  <c r="BF66" i="100" l="1"/>
  <c r="BF64" i="100"/>
  <c r="BC63" i="100"/>
  <c r="AU66" i="100"/>
  <c r="AU64" i="100"/>
  <c r="AR63" i="100"/>
  <c r="D32" i="100" l="1"/>
  <c r="BC4" i="100"/>
  <c r="AR4" i="100"/>
  <c r="AG4" i="100"/>
  <c r="AG63" i="100"/>
  <c r="AQ63" i="100" s="1"/>
  <c r="AJ64" i="100"/>
  <c r="AJ66" i="100"/>
  <c r="AJ65" i="100" s="1"/>
  <c r="AG65" i="100"/>
  <c r="BM67" i="100"/>
  <c r="BM66" i="100"/>
  <c r="BL65" i="100"/>
  <c r="BK65" i="100"/>
  <c r="BJ65" i="100"/>
  <c r="BI65" i="100"/>
  <c r="BH65" i="100"/>
  <c r="BG65" i="100"/>
  <c r="BF65" i="100"/>
  <c r="BE65" i="100"/>
  <c r="BD65" i="100"/>
  <c r="BC65" i="100"/>
  <c r="BM64" i="100"/>
  <c r="BM63" i="100"/>
  <c r="BL62" i="100"/>
  <c r="BK62" i="100"/>
  <c r="BJ62" i="100"/>
  <c r="BI62" i="100"/>
  <c r="BH62" i="100"/>
  <c r="BG62" i="100"/>
  <c r="BF62" i="100"/>
  <c r="BE62" i="100"/>
  <c r="BD62" i="100"/>
  <c r="BC62" i="100"/>
  <c r="BM60" i="100"/>
  <c r="BM59" i="100"/>
  <c r="BM58" i="100"/>
  <c r="BM57" i="100"/>
  <c r="BL56" i="100"/>
  <c r="BK56" i="100"/>
  <c r="BJ56" i="100"/>
  <c r="BI56" i="100"/>
  <c r="BH56" i="100"/>
  <c r="BG56" i="100"/>
  <c r="BF56" i="100"/>
  <c r="BE56" i="100"/>
  <c r="BD56" i="100"/>
  <c r="BC56" i="100"/>
  <c r="BM55" i="100"/>
  <c r="BM54" i="100"/>
  <c r="BM53" i="100"/>
  <c r="BM52" i="100"/>
  <c r="BM51" i="100"/>
  <c r="BL50" i="100"/>
  <c r="BK50" i="100"/>
  <c r="BJ50" i="100"/>
  <c r="BI50" i="100"/>
  <c r="BH50" i="100"/>
  <c r="BG50" i="100"/>
  <c r="BF50" i="100"/>
  <c r="BE50" i="100"/>
  <c r="BD50" i="100"/>
  <c r="BC50" i="100"/>
  <c r="BM49" i="100"/>
  <c r="BM48" i="100"/>
  <c r="BM47" i="100"/>
  <c r="BM46" i="100"/>
  <c r="BM45" i="100"/>
  <c r="BM44" i="100"/>
  <c r="BL43" i="100"/>
  <c r="BK43" i="100"/>
  <c r="BJ43" i="100"/>
  <c r="BI43" i="100"/>
  <c r="BH43" i="100"/>
  <c r="BG43" i="100"/>
  <c r="BF43" i="100"/>
  <c r="BE43" i="100"/>
  <c r="BD43" i="100"/>
  <c r="BC43" i="100"/>
  <c r="BM42" i="100"/>
  <c r="BM41" i="100"/>
  <c r="BM40" i="100"/>
  <c r="BM39" i="100"/>
  <c r="BM38" i="100"/>
  <c r="BM37" i="100"/>
  <c r="BM36" i="100"/>
  <c r="BM35" i="100"/>
  <c r="BM34" i="100"/>
  <c r="BM33" i="100"/>
  <c r="BM32" i="100"/>
  <c r="BM31" i="100"/>
  <c r="BM30" i="100"/>
  <c r="BL29" i="100"/>
  <c r="BK29" i="100"/>
  <c r="BJ29" i="100"/>
  <c r="BI29" i="100"/>
  <c r="BH29" i="100"/>
  <c r="BG29" i="100"/>
  <c r="BF29" i="100"/>
  <c r="BE29" i="100"/>
  <c r="BD29" i="100"/>
  <c r="BC29" i="100"/>
  <c r="BM27" i="100"/>
  <c r="BM26" i="100"/>
  <c r="BM25" i="100"/>
  <c r="BM24" i="100"/>
  <c r="BM23" i="100"/>
  <c r="BM22" i="100"/>
  <c r="BM21" i="100"/>
  <c r="BM20" i="100"/>
  <c r="BM19" i="100"/>
  <c r="BM18" i="100"/>
  <c r="BM17" i="100"/>
  <c r="BM16" i="100"/>
  <c r="BM14" i="100"/>
  <c r="BL13" i="100"/>
  <c r="BK13" i="100"/>
  <c r="BJ13" i="100"/>
  <c r="BI13" i="100"/>
  <c r="BH13" i="100"/>
  <c r="BG13" i="100"/>
  <c r="BF13" i="100"/>
  <c r="BE13" i="100"/>
  <c r="BD13" i="100"/>
  <c r="BC13" i="100"/>
  <c r="BM12" i="100"/>
  <c r="BM11" i="100"/>
  <c r="BM10" i="100"/>
  <c r="BM9" i="100"/>
  <c r="BM8" i="100"/>
  <c r="BM7" i="100"/>
  <c r="BB67" i="100"/>
  <c r="BB66" i="100"/>
  <c r="BA65" i="100"/>
  <c r="AZ65" i="100"/>
  <c r="AY65" i="100"/>
  <c r="AX65" i="100"/>
  <c r="AW65" i="100"/>
  <c r="AV65" i="100"/>
  <c r="AU65" i="100"/>
  <c r="AT65" i="100"/>
  <c r="AS65" i="100"/>
  <c r="AR65" i="100"/>
  <c r="BB64" i="100"/>
  <c r="BB63" i="100"/>
  <c r="BA62" i="100"/>
  <c r="AZ62" i="100"/>
  <c r="AY62" i="100"/>
  <c r="AX62" i="100"/>
  <c r="AW62" i="100"/>
  <c r="AV62" i="100"/>
  <c r="AU62" i="100"/>
  <c r="AT62" i="100"/>
  <c r="AS62" i="100"/>
  <c r="AR62" i="100"/>
  <c r="BB60" i="100"/>
  <c r="BB59" i="100"/>
  <c r="BB58" i="100"/>
  <c r="BB57" i="100"/>
  <c r="BA56" i="100"/>
  <c r="AZ56" i="100"/>
  <c r="AY56" i="100"/>
  <c r="AX56" i="100"/>
  <c r="AW56" i="100"/>
  <c r="AV56" i="100"/>
  <c r="AU56" i="100"/>
  <c r="AT56" i="100"/>
  <c r="AS56" i="100"/>
  <c r="AR56" i="100"/>
  <c r="BB55" i="100"/>
  <c r="BB54" i="100"/>
  <c r="BB53" i="100"/>
  <c r="BB52" i="100"/>
  <c r="BB51" i="100"/>
  <c r="BA50" i="100"/>
  <c r="AZ50" i="100"/>
  <c r="AY50" i="100"/>
  <c r="AX50" i="100"/>
  <c r="AW50" i="100"/>
  <c r="AV50" i="100"/>
  <c r="AU50" i="100"/>
  <c r="AT50" i="100"/>
  <c r="AS50" i="100"/>
  <c r="AR50" i="100"/>
  <c r="BB49" i="100"/>
  <c r="BB48" i="100"/>
  <c r="BB47" i="100"/>
  <c r="BB46" i="100"/>
  <c r="BB45" i="100"/>
  <c r="BB44" i="100"/>
  <c r="BA43" i="100"/>
  <c r="AZ43" i="100"/>
  <c r="AY43" i="100"/>
  <c r="AX43" i="100"/>
  <c r="AW43" i="100"/>
  <c r="AV43" i="100"/>
  <c r="AU43" i="100"/>
  <c r="AT43" i="100"/>
  <c r="AS43" i="100"/>
  <c r="AR43" i="100"/>
  <c r="BB42" i="100"/>
  <c r="BB41" i="100"/>
  <c r="BB40" i="100"/>
  <c r="BB39" i="100"/>
  <c r="BB38" i="100"/>
  <c r="BB37" i="100"/>
  <c r="BB36" i="100"/>
  <c r="BB35" i="100"/>
  <c r="BB34" i="100"/>
  <c r="BB33" i="100"/>
  <c r="BB32" i="100"/>
  <c r="BB31" i="100"/>
  <c r="BB30" i="100"/>
  <c r="BA29" i="100"/>
  <c r="AZ29" i="100"/>
  <c r="AY29" i="100"/>
  <c r="AX29" i="100"/>
  <c r="AW29" i="100"/>
  <c r="AV29" i="100"/>
  <c r="AU29" i="100"/>
  <c r="AT29" i="100"/>
  <c r="AS29" i="100"/>
  <c r="AR29" i="100"/>
  <c r="BB27" i="100"/>
  <c r="BB26" i="100"/>
  <c r="BB25" i="100"/>
  <c r="BB24" i="100"/>
  <c r="BB23" i="100"/>
  <c r="BB22" i="100"/>
  <c r="BB21" i="100"/>
  <c r="BB20" i="100"/>
  <c r="BB19" i="100"/>
  <c r="BB18" i="100"/>
  <c r="BB17" i="100"/>
  <c r="BB16" i="100"/>
  <c r="BB14" i="100"/>
  <c r="BA13" i="100"/>
  <c r="AZ13" i="100"/>
  <c r="AY13" i="100"/>
  <c r="AX13" i="100"/>
  <c r="AW13" i="100"/>
  <c r="AV13" i="100"/>
  <c r="AU13" i="100"/>
  <c r="AT13" i="100"/>
  <c r="AS13" i="100"/>
  <c r="AR13" i="100"/>
  <c r="BB12" i="100"/>
  <c r="BB11" i="100"/>
  <c r="BB10" i="100"/>
  <c r="BB9" i="100"/>
  <c r="BB8" i="100"/>
  <c r="BB7" i="100"/>
  <c r="AQ67" i="100"/>
  <c r="AH65" i="100"/>
  <c r="AI65" i="100"/>
  <c r="AK65" i="100"/>
  <c r="AL65" i="100"/>
  <c r="AM65" i="100"/>
  <c r="AN65" i="100"/>
  <c r="AO65" i="100"/>
  <c r="AP65" i="100"/>
  <c r="AH62" i="100"/>
  <c r="AI62" i="100"/>
  <c r="AJ62" i="100"/>
  <c r="AK62" i="100"/>
  <c r="AL62" i="100"/>
  <c r="AM62" i="100"/>
  <c r="AN62" i="100"/>
  <c r="AO62" i="100"/>
  <c r="AP62" i="100"/>
  <c r="BG28" i="100" l="1"/>
  <c r="BG15" i="100" s="1"/>
  <c r="AX28" i="100"/>
  <c r="AX15" i="100" s="1"/>
  <c r="AT28" i="100"/>
  <c r="BH28" i="100"/>
  <c r="BH15" i="100" s="1"/>
  <c r="BL28" i="100"/>
  <c r="BL15" i="100" s="1"/>
  <c r="BB65" i="100"/>
  <c r="BK28" i="100"/>
  <c r="BK15" i="100" s="1"/>
  <c r="BD28" i="100"/>
  <c r="BD15" i="100" s="1"/>
  <c r="BF28" i="100"/>
  <c r="BF15" i="100" s="1"/>
  <c r="BJ28" i="100"/>
  <c r="BJ15" i="100" s="1"/>
  <c r="BM43" i="100"/>
  <c r="BE28" i="100"/>
  <c r="BE15" i="100" s="1"/>
  <c r="BI28" i="100"/>
  <c r="BI15" i="100" s="1"/>
  <c r="AT15" i="100"/>
  <c r="G19" i="100"/>
  <c r="F14" i="100"/>
  <c r="E17" i="100"/>
  <c r="D20" i="100"/>
  <c r="C23" i="100"/>
  <c r="K27" i="100"/>
  <c r="B18" i="100"/>
  <c r="K23" i="100"/>
  <c r="J18" i="100"/>
  <c r="I21" i="100"/>
  <c r="J30" i="100"/>
  <c r="H16" i="100"/>
  <c r="F22" i="100"/>
  <c r="F26" i="100"/>
  <c r="B8" i="100"/>
  <c r="K67" i="100"/>
  <c r="G67" i="100"/>
  <c r="C67" i="100"/>
  <c r="J66" i="100"/>
  <c r="F66" i="100"/>
  <c r="B66" i="100"/>
  <c r="I65" i="100"/>
  <c r="E65" i="100"/>
  <c r="H64" i="100"/>
  <c r="D64" i="100"/>
  <c r="K63" i="100"/>
  <c r="G63" i="100"/>
  <c r="C63" i="100"/>
  <c r="J62" i="100"/>
  <c r="F62" i="100"/>
  <c r="I60" i="100"/>
  <c r="E60" i="100"/>
  <c r="H59" i="100"/>
  <c r="D59" i="100"/>
  <c r="K58" i="100"/>
  <c r="G58" i="100"/>
  <c r="C58" i="100"/>
  <c r="J57" i="100"/>
  <c r="F57" i="100"/>
  <c r="B57" i="100"/>
  <c r="H55" i="100"/>
  <c r="D55" i="100"/>
  <c r="K54" i="100"/>
  <c r="G54" i="100"/>
  <c r="C54" i="100"/>
  <c r="J53" i="100"/>
  <c r="F53" i="100"/>
  <c r="B53" i="100"/>
  <c r="J67" i="100"/>
  <c r="F67" i="100"/>
  <c r="B67" i="100"/>
  <c r="I66" i="100"/>
  <c r="E66" i="100"/>
  <c r="H65" i="100"/>
  <c r="D65" i="100"/>
  <c r="K64" i="100"/>
  <c r="G64" i="100"/>
  <c r="C64" i="100"/>
  <c r="J63" i="100"/>
  <c r="F63" i="100"/>
  <c r="B63" i="100"/>
  <c r="I62" i="100"/>
  <c r="E62" i="100"/>
  <c r="H60" i="100"/>
  <c r="D60" i="100"/>
  <c r="K59" i="100"/>
  <c r="G59" i="100"/>
  <c r="C59" i="100"/>
  <c r="J58" i="100"/>
  <c r="F58" i="100"/>
  <c r="B58" i="100"/>
  <c r="I57" i="100"/>
  <c r="E57" i="100"/>
  <c r="K55" i="100"/>
  <c r="G55" i="100"/>
  <c r="C55" i="100"/>
  <c r="J54" i="100"/>
  <c r="F54" i="100"/>
  <c r="B54" i="100"/>
  <c r="I53" i="100"/>
  <c r="E53" i="100"/>
  <c r="H52" i="100"/>
  <c r="D52" i="100"/>
  <c r="K51" i="100"/>
  <c r="G51" i="100"/>
  <c r="C51" i="100"/>
  <c r="I49" i="100"/>
  <c r="E49" i="100"/>
  <c r="H48" i="100"/>
  <c r="D48" i="100"/>
  <c r="K47" i="100"/>
  <c r="G47" i="100"/>
  <c r="C47" i="100"/>
  <c r="J46" i="100"/>
  <c r="F46" i="100"/>
  <c r="B46" i="100"/>
  <c r="I45" i="100"/>
  <c r="E45" i="100"/>
  <c r="H44" i="100"/>
  <c r="D44" i="100"/>
  <c r="J42" i="100"/>
  <c r="F42" i="100"/>
  <c r="B42" i="100"/>
  <c r="L67" i="100"/>
  <c r="H67" i="100"/>
  <c r="D67" i="100"/>
  <c r="K66" i="100"/>
  <c r="G66" i="100"/>
  <c r="C66" i="100"/>
  <c r="J65" i="100"/>
  <c r="F65" i="100"/>
  <c r="B65" i="100"/>
  <c r="I64" i="100"/>
  <c r="E64" i="100"/>
  <c r="L63" i="100"/>
  <c r="H63" i="100"/>
  <c r="D63" i="100"/>
  <c r="K62" i="100"/>
  <c r="G62" i="100"/>
  <c r="C62" i="100"/>
  <c r="J60" i="100"/>
  <c r="F60" i="100"/>
  <c r="B60" i="100"/>
  <c r="I59" i="100"/>
  <c r="E59" i="100"/>
  <c r="H58" i="100"/>
  <c r="D58" i="100"/>
  <c r="K57" i="100"/>
  <c r="G57" i="100"/>
  <c r="C57" i="100"/>
  <c r="I55" i="100"/>
  <c r="E55" i="100"/>
  <c r="H54" i="100"/>
  <c r="D54" i="100"/>
  <c r="K53" i="100"/>
  <c r="G53" i="100"/>
  <c r="C53" i="100"/>
  <c r="J52" i="100"/>
  <c r="F52" i="100"/>
  <c r="B52" i="100"/>
  <c r="I51" i="100"/>
  <c r="E51" i="100"/>
  <c r="K49" i="100"/>
  <c r="G49" i="100"/>
  <c r="C49" i="100"/>
  <c r="J48" i="100"/>
  <c r="F48" i="100"/>
  <c r="B48" i="100"/>
  <c r="I47" i="100"/>
  <c r="E47" i="100"/>
  <c r="H46" i="100"/>
  <c r="D46" i="100"/>
  <c r="K45" i="100"/>
  <c r="G45" i="100"/>
  <c r="C45" i="100"/>
  <c r="J44" i="100"/>
  <c r="F44" i="100"/>
  <c r="B44" i="100"/>
  <c r="H42" i="100"/>
  <c r="D42" i="100"/>
  <c r="K41" i="100"/>
  <c r="G41" i="100"/>
  <c r="C41" i="100"/>
  <c r="J40" i="100"/>
  <c r="F40" i="100"/>
  <c r="B40" i="100"/>
  <c r="I39" i="100"/>
  <c r="E39" i="100"/>
  <c r="H38" i="100"/>
  <c r="D38" i="100"/>
  <c r="K37" i="100"/>
  <c r="G37" i="100"/>
  <c r="C37" i="100"/>
  <c r="G65" i="100"/>
  <c r="B64" i="100"/>
  <c r="H62" i="100"/>
  <c r="C60" i="100"/>
  <c r="I58" i="100"/>
  <c r="D57" i="100"/>
  <c r="J55" i="100"/>
  <c r="E54" i="100"/>
  <c r="K52" i="100"/>
  <c r="C52" i="100"/>
  <c r="F51" i="100"/>
  <c r="D49" i="100"/>
  <c r="G48" i="100"/>
  <c r="J47" i="100"/>
  <c r="B47" i="100"/>
  <c r="E46" i="100"/>
  <c r="H45" i="100"/>
  <c r="K44" i="100"/>
  <c r="C44" i="100"/>
  <c r="I42" i="100"/>
  <c r="F41" i="100"/>
  <c r="G40" i="100"/>
  <c r="G39" i="100"/>
  <c r="B39" i="100"/>
  <c r="G38" i="100"/>
  <c r="B38" i="100"/>
  <c r="H37" i="100"/>
  <c r="B37" i="100"/>
  <c r="I36" i="100"/>
  <c r="E36" i="100"/>
  <c r="H35" i="100"/>
  <c r="D35" i="100"/>
  <c r="K34" i="100"/>
  <c r="G34" i="100"/>
  <c r="C34" i="100"/>
  <c r="J33" i="100"/>
  <c r="F33" i="100"/>
  <c r="B33" i="100"/>
  <c r="I32" i="100"/>
  <c r="E32" i="100"/>
  <c r="H31" i="100"/>
  <c r="D31" i="100"/>
  <c r="K30" i="100"/>
  <c r="G30" i="100"/>
  <c r="C30" i="100"/>
  <c r="H27" i="100"/>
  <c r="D27" i="100"/>
  <c r="K26" i="100"/>
  <c r="G26" i="100"/>
  <c r="C26" i="100"/>
  <c r="J25" i="100"/>
  <c r="F25" i="100"/>
  <c r="B25" i="100"/>
  <c r="E24" i="100"/>
  <c r="H23" i="100"/>
  <c r="K22" i="100"/>
  <c r="C22" i="100"/>
  <c r="F21" i="100"/>
  <c r="I20" i="100"/>
  <c r="D19" i="100"/>
  <c r="G18" i="100"/>
  <c r="J17" i="100"/>
  <c r="B17" i="100"/>
  <c r="E16" i="100"/>
  <c r="G14" i="100"/>
  <c r="K39" i="100"/>
  <c r="J34" i="100"/>
  <c r="B34" i="100"/>
  <c r="H66" i="100"/>
  <c r="C65" i="100"/>
  <c r="I63" i="100"/>
  <c r="D62" i="100"/>
  <c r="J59" i="100"/>
  <c r="E58" i="100"/>
  <c r="F55" i="100"/>
  <c r="I52" i="100"/>
  <c r="D51" i="100"/>
  <c r="J49" i="100"/>
  <c r="B49" i="100"/>
  <c r="E48" i="100"/>
  <c r="H47" i="100"/>
  <c r="K46" i="100"/>
  <c r="C46" i="100"/>
  <c r="F45" i="100"/>
  <c r="I44" i="100"/>
  <c r="G42" i="100"/>
  <c r="J41" i="100"/>
  <c r="E41" i="100"/>
  <c r="K40" i="100"/>
  <c r="F39" i="100"/>
  <c r="K38" i="100"/>
  <c r="F38" i="100"/>
  <c r="F37" i="100"/>
  <c r="H36" i="100"/>
  <c r="D36" i="100"/>
  <c r="K35" i="100"/>
  <c r="G35" i="100"/>
  <c r="F34" i="100"/>
  <c r="E33" i="100"/>
  <c r="I67" i="100"/>
  <c r="D66" i="100"/>
  <c r="J64" i="100"/>
  <c r="E63" i="100"/>
  <c r="K60" i="100"/>
  <c r="F59" i="100"/>
  <c r="B55" i="100"/>
  <c r="H53" i="100"/>
  <c r="G52" i="100"/>
  <c r="J51" i="100"/>
  <c r="B51" i="100"/>
  <c r="H49" i="100"/>
  <c r="K48" i="100"/>
  <c r="C48" i="100"/>
  <c r="F47" i="100"/>
  <c r="I46" i="100"/>
  <c r="D45" i="100"/>
  <c r="G44" i="100"/>
  <c r="E42" i="100"/>
  <c r="I41" i="100"/>
  <c r="D41" i="100"/>
  <c r="I40" i="100"/>
  <c r="D40" i="100"/>
  <c r="J39" i="100"/>
  <c r="D39" i="100"/>
  <c r="J38" i="100"/>
  <c r="E38" i="100"/>
  <c r="J37" i="100"/>
  <c r="E37" i="100"/>
  <c r="K36" i="100"/>
  <c r="G36" i="100"/>
  <c r="C36" i="100"/>
  <c r="J35" i="100"/>
  <c r="F35" i="100"/>
  <c r="B35" i="100"/>
  <c r="I34" i="100"/>
  <c r="E34" i="100"/>
  <c r="H33" i="100"/>
  <c r="D33" i="100"/>
  <c r="K32" i="100"/>
  <c r="G32" i="100"/>
  <c r="C32" i="100"/>
  <c r="J31" i="100"/>
  <c r="F31" i="100"/>
  <c r="B31" i="100"/>
  <c r="I30" i="100"/>
  <c r="E30" i="100"/>
  <c r="J27" i="100"/>
  <c r="F27" i="100"/>
  <c r="B27" i="100"/>
  <c r="I26" i="100"/>
  <c r="E26" i="100"/>
  <c r="H25" i="100"/>
  <c r="D25" i="100"/>
  <c r="K24" i="100"/>
  <c r="G24" i="100"/>
  <c r="E67" i="100"/>
  <c r="K65" i="100"/>
  <c r="F64" i="100"/>
  <c r="G60" i="100"/>
  <c r="B59" i="100"/>
  <c r="H57" i="100"/>
  <c r="I54" i="100"/>
  <c r="D53" i="100"/>
  <c r="E52" i="100"/>
  <c r="H51" i="100"/>
  <c r="F49" i="100"/>
  <c r="I48" i="100"/>
  <c r="D47" i="100"/>
  <c r="G46" i="100"/>
  <c r="J45" i="100"/>
  <c r="B45" i="100"/>
  <c r="E44" i="100"/>
  <c r="K42" i="100"/>
  <c r="C42" i="100"/>
  <c r="H41" i="100"/>
  <c r="B41" i="100"/>
  <c r="H40" i="100"/>
  <c r="C40" i="100"/>
  <c r="H39" i="100"/>
  <c r="C39" i="100"/>
  <c r="I38" i="100"/>
  <c r="C38" i="100"/>
  <c r="I37" i="100"/>
  <c r="D37" i="100"/>
  <c r="J36" i="100"/>
  <c r="F36" i="100"/>
  <c r="B36" i="100"/>
  <c r="I35" i="100"/>
  <c r="E35" i="100"/>
  <c r="H34" i="100"/>
  <c r="D34" i="100"/>
  <c r="K33" i="100"/>
  <c r="G33" i="100"/>
  <c r="C33" i="100"/>
  <c r="J32" i="100"/>
  <c r="F32" i="100"/>
  <c r="B32" i="100"/>
  <c r="I31" i="100"/>
  <c r="E31" i="100"/>
  <c r="H30" i="100"/>
  <c r="D30" i="100"/>
  <c r="I27" i="100"/>
  <c r="E27" i="100"/>
  <c r="H26" i="100"/>
  <c r="D26" i="100"/>
  <c r="K25" i="100"/>
  <c r="G25" i="100"/>
  <c r="C25" i="100"/>
  <c r="J24" i="100"/>
  <c r="F24" i="100"/>
  <c r="B24" i="100"/>
  <c r="I23" i="100"/>
  <c r="E23" i="100"/>
  <c r="H22" i="100"/>
  <c r="D22" i="100"/>
  <c r="K21" i="100"/>
  <c r="G21" i="100"/>
  <c r="C21" i="100"/>
  <c r="J20" i="100"/>
  <c r="F20" i="100"/>
  <c r="B20" i="100"/>
  <c r="I19" i="100"/>
  <c r="E19" i="100"/>
  <c r="H18" i="100"/>
  <c r="D18" i="100"/>
  <c r="K17" i="100"/>
  <c r="G17" i="100"/>
  <c r="C17" i="100"/>
  <c r="J16" i="100"/>
  <c r="F16" i="100"/>
  <c r="B16" i="100"/>
  <c r="H14" i="100"/>
  <c r="D14" i="100"/>
  <c r="I24" i="100"/>
  <c r="D23" i="100"/>
  <c r="G22" i="100"/>
  <c r="J21" i="100"/>
  <c r="B21" i="100"/>
  <c r="E20" i="100"/>
  <c r="H19" i="100"/>
  <c r="K18" i="100"/>
  <c r="C18" i="100"/>
  <c r="F17" i="100"/>
  <c r="I16" i="100"/>
  <c r="K14" i="100"/>
  <c r="C14" i="100"/>
  <c r="E40" i="100"/>
  <c r="C35" i="100"/>
  <c r="I33" i="100"/>
  <c r="I14" i="100"/>
  <c r="C16" i="100"/>
  <c r="K16" i="100"/>
  <c r="H17" i="100"/>
  <c r="E18" i="100"/>
  <c r="B19" i="100"/>
  <c r="J19" i="100"/>
  <c r="G20" i="100"/>
  <c r="D21" i="100"/>
  <c r="I22" i="100"/>
  <c r="F23" i="100"/>
  <c r="C24" i="100"/>
  <c r="E25" i="100"/>
  <c r="J26" i="100"/>
  <c r="C31" i="100"/>
  <c r="H32" i="100"/>
  <c r="B14" i="100"/>
  <c r="J14" i="100"/>
  <c r="D16" i="100"/>
  <c r="I17" i="100"/>
  <c r="F18" i="100"/>
  <c r="C19" i="100"/>
  <c r="K19" i="100"/>
  <c r="H20" i="100"/>
  <c r="E21" i="100"/>
  <c r="B22" i="100"/>
  <c r="J22" i="100"/>
  <c r="G23" i="100"/>
  <c r="D24" i="100"/>
  <c r="I25" i="100"/>
  <c r="C27" i="100"/>
  <c r="B30" i="100"/>
  <c r="G31" i="100"/>
  <c r="E14" i="100"/>
  <c r="G16" i="100"/>
  <c r="D17" i="100"/>
  <c r="I18" i="100"/>
  <c r="F19" i="100"/>
  <c r="C20" i="100"/>
  <c r="K20" i="100"/>
  <c r="H21" i="100"/>
  <c r="E22" i="100"/>
  <c r="B23" i="100"/>
  <c r="J23" i="100"/>
  <c r="H24" i="100"/>
  <c r="B26" i="100"/>
  <c r="G27" i="100"/>
  <c r="F30" i="100"/>
  <c r="K31" i="100"/>
  <c r="K7" i="100"/>
  <c r="G7" i="100"/>
  <c r="C7" i="100"/>
  <c r="I12" i="100"/>
  <c r="E12" i="100"/>
  <c r="H11" i="100"/>
  <c r="D11" i="100"/>
  <c r="K10" i="100"/>
  <c r="G10" i="100"/>
  <c r="C10" i="100"/>
  <c r="J9" i="100"/>
  <c r="F9" i="100"/>
  <c r="B9" i="100"/>
  <c r="I8" i="100"/>
  <c r="E8" i="100"/>
  <c r="J7" i="100"/>
  <c r="F7" i="100"/>
  <c r="H12" i="100"/>
  <c r="D12" i="100"/>
  <c r="K11" i="100"/>
  <c r="G11" i="100"/>
  <c r="C11" i="100"/>
  <c r="J10" i="100"/>
  <c r="F10" i="100"/>
  <c r="B10" i="100"/>
  <c r="I9" i="100"/>
  <c r="E9" i="100"/>
  <c r="H8" i="100"/>
  <c r="D8" i="100"/>
  <c r="B7" i="100"/>
  <c r="I7" i="100"/>
  <c r="E7" i="100"/>
  <c r="K12" i="100"/>
  <c r="G12" i="100"/>
  <c r="C12" i="100"/>
  <c r="J11" i="100"/>
  <c r="F11" i="100"/>
  <c r="B11" i="100"/>
  <c r="I10" i="100"/>
  <c r="E10" i="100"/>
  <c r="H9" i="100"/>
  <c r="D9" i="100"/>
  <c r="K8" i="100"/>
  <c r="G8" i="100"/>
  <c r="C8" i="100"/>
  <c r="H7" i="100"/>
  <c r="D7" i="100"/>
  <c r="J12" i="100"/>
  <c r="F12" i="100"/>
  <c r="B12" i="100"/>
  <c r="I11" i="100"/>
  <c r="E11" i="100"/>
  <c r="H10" i="100"/>
  <c r="D10" i="100"/>
  <c r="K9" i="100"/>
  <c r="G9" i="100"/>
  <c r="C9" i="100"/>
  <c r="J8" i="100"/>
  <c r="F8" i="100"/>
  <c r="AU28" i="100"/>
  <c r="AY28" i="100"/>
  <c r="AY15" i="100" s="1"/>
  <c r="BB43" i="100"/>
  <c r="BM29" i="100"/>
  <c r="BM56" i="100"/>
  <c r="BM62" i="100"/>
  <c r="AV28" i="100"/>
  <c r="AV15" i="100" s="1"/>
  <c r="BB56" i="100"/>
  <c r="BB62" i="100"/>
  <c r="BM13" i="100"/>
  <c r="BM50" i="100"/>
  <c r="AR28" i="100"/>
  <c r="AR15" i="100" s="1"/>
  <c r="AZ28" i="100"/>
  <c r="AZ15" i="100" s="1"/>
  <c r="BB13" i="100"/>
  <c r="AS28" i="100"/>
  <c r="AS15" i="100" s="1"/>
  <c r="AW28" i="100"/>
  <c r="AW15" i="100" s="1"/>
  <c r="BA28" i="100"/>
  <c r="BA15" i="100" s="1"/>
  <c r="BB50" i="100"/>
  <c r="BC28" i="100"/>
  <c r="BM65" i="100"/>
  <c r="AG62" i="100"/>
  <c r="AQ62" i="100" s="1"/>
  <c r="L62" i="100" s="1"/>
  <c r="AQ64" i="100"/>
  <c r="L64" i="100" s="1"/>
  <c r="AQ66" i="100"/>
  <c r="L66" i="100" s="1"/>
  <c r="BB29" i="100"/>
  <c r="AQ65" i="100"/>
  <c r="L65" i="100" s="1"/>
  <c r="AQ16" i="100"/>
  <c r="L16" i="100" s="1"/>
  <c r="AQ17" i="100"/>
  <c r="L17" i="100" s="1"/>
  <c r="AQ18" i="100"/>
  <c r="L18" i="100" s="1"/>
  <c r="AQ19" i="100"/>
  <c r="L19" i="100" s="1"/>
  <c r="AQ20" i="100"/>
  <c r="L20" i="100" s="1"/>
  <c r="AQ21" i="100"/>
  <c r="L21" i="100" s="1"/>
  <c r="AQ22" i="100"/>
  <c r="L22" i="100" s="1"/>
  <c r="AQ23" i="100"/>
  <c r="L23" i="100" s="1"/>
  <c r="AQ24" i="100"/>
  <c r="L24" i="100" s="1"/>
  <c r="AQ25" i="100"/>
  <c r="L25" i="100" s="1"/>
  <c r="AQ26" i="100"/>
  <c r="L26" i="100" s="1"/>
  <c r="AQ27" i="100"/>
  <c r="L27" i="100" s="1"/>
  <c r="AQ30" i="100"/>
  <c r="L30" i="100" s="1"/>
  <c r="AQ31" i="100"/>
  <c r="L31" i="100" s="1"/>
  <c r="AQ32" i="100"/>
  <c r="L32" i="100" s="1"/>
  <c r="AQ33" i="100"/>
  <c r="L33" i="100" s="1"/>
  <c r="AQ34" i="100"/>
  <c r="L34" i="100" s="1"/>
  <c r="AQ35" i="100"/>
  <c r="L35" i="100" s="1"/>
  <c r="AQ36" i="100"/>
  <c r="L36" i="100" s="1"/>
  <c r="AQ37" i="100"/>
  <c r="L37" i="100" s="1"/>
  <c r="AQ38" i="100"/>
  <c r="L38" i="100" s="1"/>
  <c r="AQ39" i="100"/>
  <c r="L39" i="100" s="1"/>
  <c r="AQ40" i="100"/>
  <c r="L40" i="100" s="1"/>
  <c r="AQ41" i="100"/>
  <c r="L41" i="100" s="1"/>
  <c r="AQ42" i="100"/>
  <c r="L42" i="100" s="1"/>
  <c r="AQ44" i="100"/>
  <c r="L44" i="100" s="1"/>
  <c r="AQ45" i="100"/>
  <c r="L45" i="100" s="1"/>
  <c r="AQ46" i="100"/>
  <c r="L46" i="100" s="1"/>
  <c r="AQ47" i="100"/>
  <c r="L47" i="100" s="1"/>
  <c r="AQ48" i="100"/>
  <c r="L48" i="100" s="1"/>
  <c r="AQ49" i="100"/>
  <c r="L49" i="100" s="1"/>
  <c r="AQ51" i="100"/>
  <c r="L51" i="100" s="1"/>
  <c r="AQ52" i="100"/>
  <c r="L52" i="100" s="1"/>
  <c r="AQ53" i="100"/>
  <c r="L53" i="100" s="1"/>
  <c r="AQ54" i="100"/>
  <c r="L54" i="100" s="1"/>
  <c r="AQ55" i="100"/>
  <c r="L55" i="100" s="1"/>
  <c r="AQ57" i="100"/>
  <c r="L57" i="100" s="1"/>
  <c r="AQ58" i="100"/>
  <c r="L58" i="100" s="1"/>
  <c r="AQ59" i="100"/>
  <c r="L59" i="100" s="1"/>
  <c r="AQ60" i="100"/>
  <c r="L60" i="100" s="1"/>
  <c r="AQ14" i="100"/>
  <c r="L14" i="100" s="1"/>
  <c r="AP56" i="100"/>
  <c r="K56" i="100" s="1"/>
  <c r="AH56" i="100"/>
  <c r="C56" i="100" s="1"/>
  <c r="AI56" i="100"/>
  <c r="D56" i="100" s="1"/>
  <c r="AJ56" i="100"/>
  <c r="E56" i="100" s="1"/>
  <c r="AK56" i="100"/>
  <c r="F56" i="100" s="1"/>
  <c r="AL56" i="100"/>
  <c r="G56" i="100" s="1"/>
  <c r="AM56" i="100"/>
  <c r="H56" i="100" s="1"/>
  <c r="AN56" i="100"/>
  <c r="I56" i="100" s="1"/>
  <c r="AO56" i="100"/>
  <c r="J56" i="100" s="1"/>
  <c r="AG56" i="100"/>
  <c r="B56" i="100" s="1"/>
  <c r="AH50" i="100"/>
  <c r="C50" i="100" s="1"/>
  <c r="AI50" i="100"/>
  <c r="D50" i="100" s="1"/>
  <c r="AJ50" i="100"/>
  <c r="E50" i="100" s="1"/>
  <c r="AK50" i="100"/>
  <c r="F50" i="100" s="1"/>
  <c r="AL50" i="100"/>
  <c r="G50" i="100" s="1"/>
  <c r="AM50" i="100"/>
  <c r="H50" i="100" s="1"/>
  <c r="AN50" i="100"/>
  <c r="I50" i="100" s="1"/>
  <c r="AO50" i="100"/>
  <c r="J50" i="100" s="1"/>
  <c r="AP50" i="100"/>
  <c r="K50" i="100" s="1"/>
  <c r="AG50" i="100"/>
  <c r="B50" i="100" s="1"/>
  <c r="AH43" i="100"/>
  <c r="C43" i="100" s="1"/>
  <c r="AI43" i="100"/>
  <c r="D43" i="100" s="1"/>
  <c r="AJ43" i="100"/>
  <c r="E43" i="100" s="1"/>
  <c r="AK43" i="100"/>
  <c r="F43" i="100" s="1"/>
  <c r="AL43" i="100"/>
  <c r="G43" i="100" s="1"/>
  <c r="AM43" i="100"/>
  <c r="H43" i="100" s="1"/>
  <c r="AN43" i="100"/>
  <c r="I43" i="100" s="1"/>
  <c r="AO43" i="100"/>
  <c r="J43" i="100" s="1"/>
  <c r="AP43" i="100"/>
  <c r="K43" i="100" s="1"/>
  <c r="AG43" i="100"/>
  <c r="B43" i="100" s="1"/>
  <c r="AH29" i="100"/>
  <c r="C29" i="100" s="1"/>
  <c r="AI29" i="100"/>
  <c r="D29" i="100" s="1"/>
  <c r="AJ29" i="100"/>
  <c r="E29" i="100" s="1"/>
  <c r="AK29" i="100"/>
  <c r="F29" i="100" s="1"/>
  <c r="AL29" i="100"/>
  <c r="G29" i="100" s="1"/>
  <c r="AM29" i="100"/>
  <c r="H29" i="100" s="1"/>
  <c r="AN29" i="100"/>
  <c r="I29" i="100" s="1"/>
  <c r="AO29" i="100"/>
  <c r="J29" i="100" s="1"/>
  <c r="AP29" i="100"/>
  <c r="K29" i="100" s="1"/>
  <c r="AG29" i="100"/>
  <c r="B29" i="100" s="1"/>
  <c r="AQ8" i="100"/>
  <c r="L8" i="100" s="1"/>
  <c r="AQ9" i="100"/>
  <c r="L9" i="100" s="1"/>
  <c r="AQ10" i="100"/>
  <c r="L10" i="100" s="1"/>
  <c r="AQ11" i="100"/>
  <c r="L11" i="100" s="1"/>
  <c r="AQ12" i="100"/>
  <c r="L12" i="100" s="1"/>
  <c r="AQ7" i="100"/>
  <c r="L7" i="100" s="1"/>
  <c r="AH13" i="100"/>
  <c r="C13" i="100" s="1"/>
  <c r="AI13" i="100"/>
  <c r="D13" i="100" s="1"/>
  <c r="AJ13" i="100"/>
  <c r="E13" i="100" s="1"/>
  <c r="AK13" i="100"/>
  <c r="F13" i="100" s="1"/>
  <c r="AL13" i="100"/>
  <c r="G13" i="100" s="1"/>
  <c r="AM13" i="100"/>
  <c r="H13" i="100" s="1"/>
  <c r="AN13" i="100"/>
  <c r="I13" i="100" s="1"/>
  <c r="AO13" i="100"/>
  <c r="J13" i="100" s="1"/>
  <c r="AP13" i="100"/>
  <c r="K13" i="100" s="1"/>
  <c r="AG13" i="100"/>
  <c r="B13" i="100" s="1"/>
  <c r="A4" i="100"/>
  <c r="BM28" i="100" l="1"/>
  <c r="B62" i="100"/>
  <c r="BC15" i="100"/>
  <c r="BM15" i="100"/>
  <c r="BB28" i="100"/>
  <c r="BB15" i="100" s="1"/>
  <c r="AU15" i="100"/>
  <c r="AQ56" i="100"/>
  <c r="L56" i="100" s="1"/>
  <c r="AO28" i="100"/>
  <c r="J28" i="100" s="1"/>
  <c r="AQ50" i="100"/>
  <c r="L50" i="100" s="1"/>
  <c r="AP28" i="100"/>
  <c r="AL28" i="100"/>
  <c r="G28" i="100" s="1"/>
  <c r="AG28" i="100"/>
  <c r="AN28" i="100"/>
  <c r="I28" i="100" s="1"/>
  <c r="AM28" i="100"/>
  <c r="AK28" i="100"/>
  <c r="F28" i="100" s="1"/>
  <c r="AQ43" i="100"/>
  <c r="L43" i="100" s="1"/>
  <c r="AH28" i="100"/>
  <c r="AJ28" i="100"/>
  <c r="AQ29" i="100"/>
  <c r="L29" i="100" s="1"/>
  <c r="AI28" i="100"/>
  <c r="AQ13" i="100"/>
  <c r="L13" i="100" s="1"/>
  <c r="D7" i="99"/>
  <c r="C22" i="99"/>
  <c r="C21" i="99"/>
  <c r="B20" i="99"/>
  <c r="C16" i="99"/>
  <c r="C15" i="99"/>
  <c r="C13" i="99"/>
  <c r="C9" i="99"/>
  <c r="C8" i="99"/>
  <c r="B3" i="99"/>
  <c r="B2" i="99"/>
  <c r="B1" i="99"/>
  <c r="AI14" i="99"/>
  <c r="AI13" i="99"/>
  <c r="AI12" i="99"/>
  <c r="AH12" i="99"/>
  <c r="C10" i="99" s="1"/>
  <c r="AH14" i="99"/>
  <c r="C12" i="99" s="1"/>
  <c r="AH13" i="99"/>
  <c r="C11" i="99" s="1"/>
  <c r="AL15" i="100" l="1"/>
  <c r="G15" i="100" s="1"/>
  <c r="AG15" i="100"/>
  <c r="B15" i="100" s="1"/>
  <c r="B28" i="100"/>
  <c r="AJ15" i="100"/>
  <c r="E15" i="100" s="1"/>
  <c r="E28" i="100"/>
  <c r="AM15" i="100"/>
  <c r="H15" i="100" s="1"/>
  <c r="H28" i="100"/>
  <c r="AP15" i="100"/>
  <c r="K15" i="100" s="1"/>
  <c r="K28" i="100"/>
  <c r="AN15" i="100"/>
  <c r="I15" i="100" s="1"/>
  <c r="AI15" i="100"/>
  <c r="D15" i="100" s="1"/>
  <c r="D28" i="100"/>
  <c r="AH15" i="100"/>
  <c r="C15" i="100" s="1"/>
  <c r="C28" i="100"/>
  <c r="AK15" i="100"/>
  <c r="F15" i="100" s="1"/>
  <c r="C14" i="99"/>
  <c r="AO15" i="100"/>
  <c r="J15" i="100" s="1"/>
  <c r="AQ28" i="100"/>
  <c r="C44" i="95"/>
  <c r="C45" i="95" s="1"/>
  <c r="G22" i="95"/>
  <c r="E23" i="95"/>
  <c r="D7" i="89"/>
  <c r="AQ15" i="100" l="1"/>
  <c r="L15" i="100" s="1"/>
  <c r="L28" i="100"/>
  <c r="G39" i="95"/>
  <c r="CC2" i="29"/>
  <c r="CD2" i="29"/>
  <c r="CE2" i="29"/>
  <c r="CF2" i="29"/>
  <c r="CG2" i="29"/>
  <c r="CH2" i="29"/>
  <c r="CI2" i="29"/>
  <c r="CJ2" i="29"/>
  <c r="CK2" i="29"/>
  <c r="CL2" i="29"/>
  <c r="CM2" i="29"/>
  <c r="CN2" i="29"/>
  <c r="CO2" i="29"/>
  <c r="CP2" i="29"/>
  <c r="CQ2" i="29"/>
  <c r="CR2" i="29"/>
  <c r="CS2" i="29"/>
  <c r="CT2" i="29"/>
  <c r="CU2" i="29"/>
  <c r="CV2" i="29"/>
  <c r="CW2" i="29"/>
  <c r="CX2" i="29"/>
  <c r="CY2" i="29"/>
  <c r="CZ2" i="29"/>
  <c r="DA2" i="29"/>
  <c r="DB2" i="29"/>
  <c r="DC2" i="29"/>
  <c r="DD2" i="29"/>
  <c r="DE2" i="29"/>
  <c r="DF2" i="29"/>
  <c r="DG2" i="29"/>
  <c r="DH2" i="29"/>
  <c r="DI2" i="29"/>
  <c r="DJ2" i="29"/>
  <c r="DK2" i="29"/>
  <c r="DL2" i="29"/>
  <c r="DM2" i="29"/>
  <c r="DN2" i="29"/>
  <c r="DO2" i="29"/>
  <c r="DP2" i="29"/>
  <c r="DQ2" i="29"/>
  <c r="DR2" i="29"/>
  <c r="DS2" i="29"/>
  <c r="DT2" i="29"/>
  <c r="DU2" i="29"/>
  <c r="DV2" i="29"/>
  <c r="DW2" i="29"/>
  <c r="DX2" i="29"/>
  <c r="DY2" i="29"/>
  <c r="DZ2" i="29"/>
  <c r="EA2" i="29"/>
  <c r="EB2" i="29"/>
  <c r="EC2" i="29"/>
  <c r="ED2" i="29"/>
  <c r="EE2" i="29"/>
  <c r="EF2" i="29"/>
  <c r="EG2" i="29"/>
  <c r="EH2" i="29"/>
  <c r="EI2" i="29"/>
  <c r="EJ2" i="29"/>
  <c r="EK2" i="29"/>
  <c r="CB2" i="29"/>
  <c r="BN96" i="29" l="1"/>
  <c r="N69" i="81" s="1"/>
  <c r="BM96" i="29"/>
  <c r="M69" i="81" s="1"/>
  <c r="BN95" i="29"/>
  <c r="N68" i="81" s="1"/>
  <c r="BM95" i="29"/>
  <c r="M68" i="81" s="1"/>
  <c r="BN94" i="29"/>
  <c r="N67" i="81" s="1"/>
  <c r="BM94" i="29"/>
  <c r="M67" i="81" s="1"/>
  <c r="BN93" i="29"/>
  <c r="N66" i="81" s="1"/>
  <c r="BM93" i="29"/>
  <c r="M66" i="81" s="1"/>
  <c r="BN92" i="29"/>
  <c r="N65" i="81" s="1"/>
  <c r="BM92" i="29"/>
  <c r="M65" i="81" s="1"/>
  <c r="BN91" i="29"/>
  <c r="N64" i="81" s="1"/>
  <c r="BM91" i="29"/>
  <c r="M64" i="81" s="1"/>
  <c r="BN90" i="29"/>
  <c r="N63" i="81" s="1"/>
  <c r="BM90" i="29"/>
  <c r="M63" i="81" s="1"/>
  <c r="BN89" i="29"/>
  <c r="N62" i="81" s="1"/>
  <c r="BM89" i="29"/>
  <c r="M62" i="81" s="1"/>
  <c r="BL77" i="29"/>
  <c r="BL70" i="29"/>
  <c r="BL56" i="29"/>
  <c r="BL36" i="29"/>
  <c r="BK36" i="29"/>
  <c r="BJ36" i="29"/>
  <c r="BH36" i="29"/>
  <c r="BF36" i="29"/>
  <c r="BE36" i="29"/>
  <c r="N19" i="81"/>
  <c r="AB17" i="7"/>
  <c r="AB16" i="7"/>
  <c r="AB15" i="7"/>
  <c r="AB14" i="7"/>
  <c r="AB13" i="7"/>
  <c r="AB12" i="7"/>
  <c r="AB11" i="7"/>
  <c r="AB10" i="7"/>
  <c r="AB9" i="7"/>
  <c r="AB8" i="7"/>
  <c r="AB7" i="7"/>
  <c r="AB6" i="7"/>
  <c r="AB5" i="7"/>
  <c r="D100" i="78"/>
  <c r="J21" i="87"/>
  <c r="J20" i="87"/>
  <c r="J19" i="87"/>
  <c r="J18" i="87"/>
  <c r="G11" i="87"/>
  <c r="I15" i="87"/>
  <c r="K23" i="88"/>
  <c r="K22" i="88"/>
  <c r="K21" i="88"/>
  <c r="K20" i="88"/>
  <c r="AA49" i="88"/>
  <c r="AA48" i="88"/>
  <c r="I11" i="88"/>
  <c r="AB49" i="88"/>
  <c r="AB50" i="88"/>
  <c r="F36" i="88"/>
  <c r="F37" i="88" s="1"/>
  <c r="A45" i="88"/>
  <c r="A40" i="88"/>
  <c r="AE43" i="88" s="1"/>
  <c r="A36" i="88"/>
  <c r="AC43" i="88" s="1"/>
  <c r="G35" i="88"/>
  <c r="E35" i="88"/>
  <c r="C35" i="88"/>
  <c r="AC51" i="88"/>
  <c r="H39" i="82"/>
  <c r="H38" i="82"/>
  <c r="H37" i="82"/>
  <c r="F38" i="82"/>
  <c r="F37" i="82"/>
  <c r="H36" i="88"/>
  <c r="H41" i="88" s="1"/>
  <c r="E41" i="88"/>
  <c r="E40" i="88"/>
  <c r="D41" i="88"/>
  <c r="AB45" i="88"/>
  <c r="F49" i="96"/>
  <c r="F50" i="96"/>
  <c r="F51" i="96"/>
  <c r="F48" i="96"/>
  <c r="C46" i="96"/>
  <c r="A55" i="96"/>
  <c r="F31" i="96"/>
  <c r="F46" i="96" s="1"/>
  <c r="G10" i="96"/>
  <c r="A44" i="96"/>
  <c r="H14" i="96"/>
  <c r="E31" i="96"/>
  <c r="E46" i="96" s="1"/>
  <c r="D31" i="96"/>
  <c r="E37" i="96"/>
  <c r="E35" i="96"/>
  <c r="E33" i="96"/>
  <c r="C41" i="96"/>
  <c r="C40" i="96"/>
  <c r="D40" i="96" s="1"/>
  <c r="C39" i="96"/>
  <c r="D39" i="96" s="1"/>
  <c r="C38" i="96"/>
  <c r="D38" i="96" s="1"/>
  <c r="F38" i="96" s="1"/>
  <c r="G38" i="96" s="1"/>
  <c r="C37" i="96"/>
  <c r="D37" i="96" s="1"/>
  <c r="C36" i="96"/>
  <c r="D36" i="96" s="1"/>
  <c r="C35" i="96"/>
  <c r="D35" i="96" s="1"/>
  <c r="C34" i="96"/>
  <c r="D34" i="96" s="1"/>
  <c r="C33" i="96"/>
  <c r="D33" i="96" s="1"/>
  <c r="A29" i="96"/>
  <c r="G18" i="96"/>
  <c r="G16" i="96"/>
  <c r="H13" i="96"/>
  <c r="H10" i="96"/>
  <c r="AN38" i="96"/>
  <c r="AB36" i="96"/>
  <c r="AD39" i="96" s="1"/>
  <c r="BQ2" i="29"/>
  <c r="H104" i="7"/>
  <c r="I104" i="7"/>
  <c r="J104" i="7"/>
  <c r="K104" i="7"/>
  <c r="L104" i="7"/>
  <c r="M104" i="7"/>
  <c r="N104" i="7"/>
  <c r="O104" i="7"/>
  <c r="P104" i="7"/>
  <c r="Q104" i="7"/>
  <c r="H105" i="7"/>
  <c r="I105" i="7"/>
  <c r="J105" i="7"/>
  <c r="K105" i="7"/>
  <c r="L105" i="7"/>
  <c r="M105" i="7"/>
  <c r="N105" i="7"/>
  <c r="O105" i="7"/>
  <c r="P105" i="7"/>
  <c r="Q105" i="7"/>
  <c r="H106" i="7"/>
  <c r="I106" i="7"/>
  <c r="J106" i="7"/>
  <c r="K106" i="7"/>
  <c r="L106" i="7"/>
  <c r="M106" i="7"/>
  <c r="N106" i="7"/>
  <c r="O106" i="7"/>
  <c r="P106" i="7"/>
  <c r="Q106" i="7"/>
  <c r="H107" i="7"/>
  <c r="I107" i="7"/>
  <c r="J107" i="7"/>
  <c r="K107" i="7"/>
  <c r="L107" i="7"/>
  <c r="M107" i="7"/>
  <c r="N107" i="7"/>
  <c r="O107" i="7"/>
  <c r="P107" i="7"/>
  <c r="Q107" i="7"/>
  <c r="H108" i="7"/>
  <c r="I108" i="7"/>
  <c r="J108" i="7"/>
  <c r="K108" i="7"/>
  <c r="L108" i="7"/>
  <c r="M108" i="7"/>
  <c r="N108" i="7"/>
  <c r="O108" i="7"/>
  <c r="P108" i="7"/>
  <c r="Q108" i="7"/>
  <c r="H109" i="7"/>
  <c r="I109" i="7"/>
  <c r="J109" i="7"/>
  <c r="K109" i="7"/>
  <c r="L109" i="7"/>
  <c r="M109" i="7"/>
  <c r="N109" i="7"/>
  <c r="O109" i="7"/>
  <c r="P109" i="7"/>
  <c r="Q109" i="7"/>
  <c r="H110" i="7"/>
  <c r="I110" i="7"/>
  <c r="J110" i="7"/>
  <c r="K110" i="7"/>
  <c r="L110" i="7"/>
  <c r="M110" i="7"/>
  <c r="N110" i="7"/>
  <c r="O110" i="7"/>
  <c r="P110" i="7"/>
  <c r="Q110" i="7"/>
  <c r="H111" i="7"/>
  <c r="I111" i="7"/>
  <c r="J111" i="7"/>
  <c r="K111" i="7"/>
  <c r="L111" i="7"/>
  <c r="M111" i="7"/>
  <c r="N111" i="7"/>
  <c r="O111" i="7"/>
  <c r="P111" i="7"/>
  <c r="Q111" i="7"/>
  <c r="H112" i="7"/>
  <c r="I112" i="7"/>
  <c r="J112" i="7"/>
  <c r="K112" i="7"/>
  <c r="L112" i="7"/>
  <c r="M112" i="7"/>
  <c r="N112" i="7"/>
  <c r="O112" i="7"/>
  <c r="P112" i="7"/>
  <c r="Q112" i="7"/>
  <c r="H113" i="7"/>
  <c r="I113" i="7"/>
  <c r="J113" i="7"/>
  <c r="K113" i="7"/>
  <c r="L113" i="7"/>
  <c r="M113" i="7"/>
  <c r="N113" i="7"/>
  <c r="O113" i="7"/>
  <c r="P113" i="7"/>
  <c r="Q113" i="7"/>
  <c r="H114" i="7"/>
  <c r="I114" i="7"/>
  <c r="J114" i="7"/>
  <c r="K114" i="7"/>
  <c r="L114" i="7"/>
  <c r="M114" i="7"/>
  <c r="N114" i="7"/>
  <c r="O114" i="7"/>
  <c r="P114" i="7"/>
  <c r="Q114" i="7"/>
  <c r="H115" i="7"/>
  <c r="I115" i="7"/>
  <c r="J115" i="7"/>
  <c r="K115" i="7"/>
  <c r="L115" i="7"/>
  <c r="M115" i="7"/>
  <c r="N115" i="7"/>
  <c r="O115" i="7"/>
  <c r="P115" i="7"/>
  <c r="Q115" i="7"/>
  <c r="H116" i="7"/>
  <c r="I116" i="7"/>
  <c r="J116" i="7"/>
  <c r="K116" i="7"/>
  <c r="L116" i="7"/>
  <c r="M116" i="7"/>
  <c r="N116" i="7"/>
  <c r="O116" i="7"/>
  <c r="P116" i="7"/>
  <c r="Q116" i="7"/>
  <c r="H117" i="7"/>
  <c r="I117" i="7"/>
  <c r="J117" i="7"/>
  <c r="K117" i="7"/>
  <c r="L117" i="7"/>
  <c r="M117" i="7"/>
  <c r="N117" i="7"/>
  <c r="O117" i="7"/>
  <c r="P117" i="7"/>
  <c r="Q117" i="7"/>
  <c r="H118" i="7"/>
  <c r="I118" i="7"/>
  <c r="J118" i="7"/>
  <c r="K118" i="7"/>
  <c r="L118" i="7"/>
  <c r="M118" i="7"/>
  <c r="N118" i="7"/>
  <c r="O118" i="7"/>
  <c r="P118" i="7"/>
  <c r="Q118" i="7"/>
  <c r="H119" i="7"/>
  <c r="I119" i="7"/>
  <c r="J119" i="7"/>
  <c r="K119" i="7"/>
  <c r="L119" i="7"/>
  <c r="M119" i="7"/>
  <c r="N119" i="7"/>
  <c r="O119" i="7"/>
  <c r="P119" i="7"/>
  <c r="Q119" i="7"/>
  <c r="H120" i="7"/>
  <c r="I120" i="7"/>
  <c r="J120" i="7"/>
  <c r="K120" i="7"/>
  <c r="L120" i="7"/>
  <c r="M120" i="7"/>
  <c r="N120" i="7"/>
  <c r="O120" i="7"/>
  <c r="P120" i="7"/>
  <c r="Q120" i="7"/>
  <c r="G105" i="7"/>
  <c r="G106" i="7"/>
  <c r="G107" i="7"/>
  <c r="G108" i="7"/>
  <c r="G109" i="7"/>
  <c r="G110" i="7"/>
  <c r="G111" i="7"/>
  <c r="G112" i="7"/>
  <c r="G113" i="7"/>
  <c r="G114" i="7"/>
  <c r="G115" i="7"/>
  <c r="G116" i="7"/>
  <c r="G117" i="7"/>
  <c r="G118" i="7"/>
  <c r="G119" i="7"/>
  <c r="G120" i="7"/>
  <c r="G104" i="7"/>
  <c r="D101" i="7"/>
  <c r="D101" i="78"/>
  <c r="C37" i="78" s="1"/>
  <c r="A1" i="7"/>
  <c r="C2" i="7"/>
  <c r="A100" i="29"/>
  <c r="A71" i="81" s="1"/>
  <c r="A24" i="81"/>
  <c r="A23" i="81"/>
  <c r="K2" i="81"/>
  <c r="P2" i="81"/>
  <c r="AH13" i="90" s="1"/>
  <c r="AO63" i="90" s="1"/>
  <c r="AO73" i="90" s="1"/>
  <c r="A1" i="81"/>
  <c r="A1" i="29"/>
  <c r="F2" i="81"/>
  <c r="BP2" i="29"/>
  <c r="A1" i="5"/>
  <c r="M2" i="5"/>
  <c r="A99" i="29"/>
  <c r="A98" i="29"/>
  <c r="A90" i="29"/>
  <c r="A63" i="81" s="1"/>
  <c r="A91" i="29"/>
  <c r="A64" i="81" s="1"/>
  <c r="A92" i="29"/>
  <c r="A65" i="81" s="1"/>
  <c r="A93" i="29"/>
  <c r="A66" i="81" s="1"/>
  <c r="A94" i="29"/>
  <c r="A67" i="81" s="1"/>
  <c r="A95" i="29"/>
  <c r="A68" i="81" s="1"/>
  <c r="A96" i="29"/>
  <c r="A69" i="81" s="1"/>
  <c r="A89" i="29"/>
  <c r="A62" i="81" s="1"/>
  <c r="A2" i="7"/>
  <c r="A101" i="5"/>
  <c r="A100" i="5"/>
  <c r="A99" i="5"/>
  <c r="A98" i="5"/>
  <c r="A97" i="5"/>
  <c r="A96" i="5"/>
  <c r="A95" i="5"/>
  <c r="A94" i="5"/>
  <c r="D107" i="85"/>
  <c r="D106" i="85"/>
  <c r="D105" i="85"/>
  <c r="D104" i="85"/>
  <c r="D103" i="85"/>
  <c r="D102" i="85"/>
  <c r="D101" i="85"/>
  <c r="D100" i="85"/>
  <c r="A10" i="5"/>
  <c r="A9" i="5"/>
  <c r="A6" i="5"/>
  <c r="C88" i="11"/>
  <c r="E3" i="7" s="1"/>
  <c r="C175" i="11"/>
  <c r="E8" i="11" s="1"/>
  <c r="C141" i="11"/>
  <c r="E7" i="11" s="1"/>
  <c r="C121" i="11"/>
  <c r="E6" i="11" s="1"/>
  <c r="C98" i="11"/>
  <c r="E5" i="11" s="1"/>
  <c r="C86" i="11"/>
  <c r="E4" i="11" s="1"/>
  <c r="C69" i="11"/>
  <c r="C9" i="11" s="1"/>
  <c r="C57" i="11"/>
  <c r="C8" i="11" s="1"/>
  <c r="C55" i="11"/>
  <c r="C7" i="11" s="1"/>
  <c r="C37" i="11"/>
  <c r="C6" i="11" s="1"/>
  <c r="C31" i="11"/>
  <c r="C5" i="11" s="1"/>
  <c r="C12" i="11"/>
  <c r="B28" i="13"/>
  <c r="B27" i="13"/>
  <c r="B26" i="13"/>
  <c r="B25" i="13"/>
  <c r="B24" i="13"/>
  <c r="E3" i="11"/>
  <c r="B3" i="11"/>
  <c r="C177" i="11"/>
  <c r="C176" i="11"/>
  <c r="C172" i="11"/>
  <c r="A85" i="29" s="1"/>
  <c r="C173" i="11"/>
  <c r="A86" i="29" s="1"/>
  <c r="C174" i="11"/>
  <c r="C166" i="11"/>
  <c r="C167" i="11"/>
  <c r="A53" i="81" s="1"/>
  <c r="C168" i="11"/>
  <c r="A81" i="29" s="1"/>
  <c r="C169" i="11"/>
  <c r="C170" i="11"/>
  <c r="C171" i="11"/>
  <c r="A84" i="29" s="1"/>
  <c r="C160" i="11"/>
  <c r="A73" i="29" s="1"/>
  <c r="C161" i="11"/>
  <c r="C162" i="11"/>
  <c r="A80" i="5" s="1"/>
  <c r="C163" i="11"/>
  <c r="A49" i="81" s="1"/>
  <c r="C164" i="11"/>
  <c r="A77" i="29" s="1"/>
  <c r="C165" i="11"/>
  <c r="C153" i="11"/>
  <c r="C154" i="11"/>
  <c r="A67" i="29" s="1"/>
  <c r="C155" i="11"/>
  <c r="A68" i="29" s="1"/>
  <c r="C156" i="11"/>
  <c r="C157" i="11"/>
  <c r="C158" i="11"/>
  <c r="A72" i="29" s="1"/>
  <c r="C159" i="11"/>
  <c r="A76" i="5" s="1"/>
  <c r="C147" i="11"/>
  <c r="C148" i="11"/>
  <c r="C149" i="11"/>
  <c r="A62" i="29" s="1"/>
  <c r="C150" i="11"/>
  <c r="A63" i="29" s="1"/>
  <c r="C151" i="11"/>
  <c r="C152" i="11"/>
  <c r="A70" i="5" s="1"/>
  <c r="C143" i="11"/>
  <c r="A56" i="29" s="1"/>
  <c r="C144" i="11"/>
  <c r="A57" i="29" s="1"/>
  <c r="C145" i="11"/>
  <c r="C146" i="11"/>
  <c r="C142" i="11"/>
  <c r="A55" i="29" s="1"/>
  <c r="C133" i="11"/>
  <c r="A52" i="5" s="1"/>
  <c r="C134" i="11"/>
  <c r="C135" i="11"/>
  <c r="C136" i="11"/>
  <c r="C137" i="11"/>
  <c r="A56" i="5" s="1"/>
  <c r="C138" i="11"/>
  <c r="C139" i="11"/>
  <c r="C140" i="11"/>
  <c r="A59" i="5" s="1"/>
  <c r="C128" i="11"/>
  <c r="A47" i="5" s="1"/>
  <c r="C129" i="11"/>
  <c r="C130" i="11"/>
  <c r="A49" i="5" s="1"/>
  <c r="C131" i="11"/>
  <c r="A50" i="5" s="1"/>
  <c r="C132" i="11"/>
  <c r="A51" i="5" s="1"/>
  <c r="C123" i="11"/>
  <c r="C124" i="11"/>
  <c r="C125" i="11"/>
  <c r="C126" i="11"/>
  <c r="A45" i="5" s="1"/>
  <c r="C127" i="11"/>
  <c r="C122" i="11"/>
  <c r="C114" i="11"/>
  <c r="C115" i="11"/>
  <c r="A30" i="29" s="1"/>
  <c r="C116" i="11"/>
  <c r="C117" i="11"/>
  <c r="C118" i="11"/>
  <c r="A38" i="5" s="1"/>
  <c r="C119" i="11"/>
  <c r="A39" i="5" s="1"/>
  <c r="C120" i="11"/>
  <c r="C108" i="11"/>
  <c r="A28" i="5" s="1"/>
  <c r="C109" i="11"/>
  <c r="A29" i="5" s="1"/>
  <c r="C110" i="11"/>
  <c r="H3" i="7" s="1"/>
  <c r="C111" i="11"/>
  <c r="C112" i="11"/>
  <c r="C113" i="11"/>
  <c r="A28" i="29" s="1"/>
  <c r="C103" i="11"/>
  <c r="A23" i="5" s="1"/>
  <c r="C104" i="11"/>
  <c r="N3" i="7" s="1"/>
  <c r="C105" i="11"/>
  <c r="A25" i="5" s="1"/>
  <c r="C106" i="11"/>
  <c r="A21" i="29" s="1"/>
  <c r="C107" i="11"/>
  <c r="A19" i="81" s="1"/>
  <c r="C100" i="11"/>
  <c r="C101" i="11"/>
  <c r="C102" i="11"/>
  <c r="A22" i="5" s="1"/>
  <c r="C99" i="11"/>
  <c r="A19" i="5" s="1"/>
  <c r="C92" i="11"/>
  <c r="C93" i="11"/>
  <c r="A10" i="29" s="1"/>
  <c r="C94" i="11"/>
  <c r="C95" i="11"/>
  <c r="A9" i="81" s="1"/>
  <c r="C96" i="11"/>
  <c r="C97" i="11"/>
  <c r="C90" i="11"/>
  <c r="A7" i="29" s="1"/>
  <c r="C91" i="11"/>
  <c r="A6" i="81" s="1"/>
  <c r="C89" i="11"/>
  <c r="C83" i="11"/>
  <c r="BO2" i="29" s="1"/>
  <c r="C82" i="11"/>
  <c r="H23" i="95" s="1"/>
  <c r="C81" i="11"/>
  <c r="G23" i="95" s="1"/>
  <c r="C80" i="11"/>
  <c r="BM3" i="5" s="1"/>
  <c r="C79" i="11"/>
  <c r="BL3" i="5" s="1"/>
  <c r="C78" i="11"/>
  <c r="C77" i="11"/>
  <c r="A18" i="81" s="1"/>
  <c r="C76" i="11"/>
  <c r="B39" i="96" s="1"/>
  <c r="C75" i="11"/>
  <c r="BH3" i="5" s="1"/>
  <c r="C74" i="11"/>
  <c r="BG3" i="5" s="1"/>
  <c r="C73" i="11"/>
  <c r="BF3" i="5" s="1"/>
  <c r="C72" i="11"/>
  <c r="BE3" i="5" s="1"/>
  <c r="C71" i="11"/>
  <c r="BD3" i="5" s="1"/>
  <c r="C70" i="11"/>
  <c r="BC3" i="5" s="1"/>
  <c r="C68" i="11"/>
  <c r="BB3" i="5" s="1"/>
  <c r="C67" i="11"/>
  <c r="BA3" i="5" s="1"/>
  <c r="C66" i="11"/>
  <c r="A43" i="7" s="1"/>
  <c r="C65" i="11"/>
  <c r="AY3" i="5" s="1"/>
  <c r="C64" i="11"/>
  <c r="AZ2" i="29" s="1"/>
  <c r="C63" i="11"/>
  <c r="A40" i="7" s="1"/>
  <c r="C62" i="11"/>
  <c r="C61" i="11"/>
  <c r="AU3" i="5" s="1"/>
  <c r="C60" i="11"/>
  <c r="AT3" i="5" s="1"/>
  <c r="C59" i="11"/>
  <c r="AS3" i="5" s="1"/>
  <c r="C58" i="11"/>
  <c r="AR3" i="5" s="1"/>
  <c r="C56" i="11"/>
  <c r="C54" i="11"/>
  <c r="B54" i="87" s="1"/>
  <c r="C53" i="11"/>
  <c r="B53" i="87" s="1"/>
  <c r="C52" i="11"/>
  <c r="B49" i="87" s="1"/>
  <c r="C51" i="11"/>
  <c r="A36" i="7" s="1"/>
  <c r="C50" i="11"/>
  <c r="B51" i="87" s="1"/>
  <c r="C49" i="11"/>
  <c r="C48" i="11"/>
  <c r="A71" i="7" s="1"/>
  <c r="C47" i="11"/>
  <c r="C46" i="11"/>
  <c r="C45" i="11"/>
  <c r="C44" i="11"/>
  <c r="C43" i="11"/>
  <c r="C42" i="11"/>
  <c r="C41" i="11"/>
  <c r="C40" i="11"/>
  <c r="C39" i="11"/>
  <c r="C38" i="11"/>
  <c r="C30" i="11"/>
  <c r="A17" i="7" s="1"/>
  <c r="C29" i="11"/>
  <c r="S2" i="5" s="1"/>
  <c r="C28" i="11"/>
  <c r="R2" i="5" s="1"/>
  <c r="C27" i="11"/>
  <c r="S2" i="29" s="1"/>
  <c r="C26" i="11"/>
  <c r="B41" i="88" s="1"/>
  <c r="C25" i="11"/>
  <c r="B40" i="88" s="1"/>
  <c r="C24" i="11"/>
  <c r="B39" i="82" s="1"/>
  <c r="AB50" i="82" s="1"/>
  <c r="C23" i="11"/>
  <c r="M3" i="5" s="1"/>
  <c r="C22" i="11"/>
  <c r="L3" i="5" s="1"/>
  <c r="C21" i="11"/>
  <c r="B38" i="82" s="1"/>
  <c r="AB49" i="82" s="1"/>
  <c r="C20" i="11"/>
  <c r="C19" i="11"/>
  <c r="B36" i="88" s="1"/>
  <c r="K12" i="88" s="1"/>
  <c r="C18" i="11"/>
  <c r="J2" i="29" s="1"/>
  <c r="C17" i="11"/>
  <c r="G3" i="5" s="1"/>
  <c r="C16" i="11"/>
  <c r="F3" i="5" s="1"/>
  <c r="C15" i="11"/>
  <c r="A7" i="7" s="1"/>
  <c r="C14" i="11"/>
  <c r="B33" i="82" s="1"/>
  <c r="AB45" i="82" s="1"/>
  <c r="C13" i="11"/>
  <c r="C3" i="5" s="1"/>
  <c r="C36" i="11"/>
  <c r="B31" i="87" s="1"/>
  <c r="C34" i="11"/>
  <c r="W3" i="5" s="1"/>
  <c r="C33" i="11"/>
  <c r="A19" i="7" s="1"/>
  <c r="C32" i="11"/>
  <c r="B27" i="87" s="1"/>
  <c r="C35" i="11"/>
  <c r="B30" i="87" s="1"/>
  <c r="C87" i="11"/>
  <c r="A5" i="29" s="1"/>
  <c r="AR2" i="5"/>
  <c r="L2" i="81" s="1"/>
  <c r="AH8" i="90" s="1"/>
  <c r="AL63" i="90" s="1"/>
  <c r="AL73" i="90" s="1"/>
  <c r="BC2" i="5"/>
  <c r="AA32" i="13"/>
  <c r="AA23" i="13"/>
  <c r="AA24" i="13"/>
  <c r="AA25" i="13"/>
  <c r="AA26" i="13"/>
  <c r="AA22" i="13"/>
  <c r="L18" i="13"/>
  <c r="D66" i="13"/>
  <c r="B17" i="13"/>
  <c r="B16" i="13"/>
  <c r="B15" i="13"/>
  <c r="B14" i="13"/>
  <c r="B13" i="13"/>
  <c r="C12" i="13"/>
  <c r="B12" i="13"/>
  <c r="B11" i="13"/>
  <c r="C10" i="13"/>
  <c r="B10" i="13"/>
  <c r="B9" i="13"/>
  <c r="B8" i="13"/>
  <c r="B7" i="13"/>
  <c r="B5" i="13"/>
  <c r="D2" i="13"/>
  <c r="D1" i="13"/>
  <c r="D6" i="89"/>
  <c r="D8" i="89"/>
  <c r="D9" i="89"/>
  <c r="D5" i="89"/>
  <c r="E34" i="96"/>
  <c r="E38" i="96"/>
  <c r="E36" i="96"/>
  <c r="E39" i="96"/>
  <c r="I32" i="96"/>
  <c r="H32" i="96"/>
  <c r="K9" i="98"/>
  <c r="K37" i="98" s="1"/>
  <c r="G9" i="98"/>
  <c r="G37" i="98" s="1"/>
  <c r="D9" i="98"/>
  <c r="D37" i="98" s="1"/>
  <c r="A37" i="98"/>
  <c r="A9" i="98"/>
  <c r="L39" i="98"/>
  <c r="E39" i="98"/>
  <c r="H39" i="98" s="1"/>
  <c r="D39" i="98"/>
  <c r="K39" i="98" s="1"/>
  <c r="D45" i="95"/>
  <c r="G40" i="95"/>
  <c r="B45" i="95"/>
  <c r="B39" i="95"/>
  <c r="G36" i="95"/>
  <c r="D36" i="95"/>
  <c r="G35" i="95"/>
  <c r="D35" i="95"/>
  <c r="F35" i="95"/>
  <c r="A36" i="95"/>
  <c r="A39" i="95"/>
  <c r="AV32" i="98"/>
  <c r="AU32" i="98"/>
  <c r="L11" i="98"/>
  <c r="K11" i="98"/>
  <c r="H11" i="98"/>
  <c r="G11" i="98"/>
  <c r="F38" i="98"/>
  <c r="M38" i="98" s="1"/>
  <c r="E38" i="98"/>
  <c r="L38" i="98" s="1"/>
  <c r="D38" i="98"/>
  <c r="G38" i="98" s="1"/>
  <c r="M10" i="98"/>
  <c r="L10" i="98"/>
  <c r="K10" i="98"/>
  <c r="J10" i="98"/>
  <c r="H10" i="98"/>
  <c r="G10" i="98"/>
  <c r="AB33" i="98" a="1"/>
  <c r="AB80" i="98" s="1"/>
  <c r="AI32" i="98" a="1"/>
  <c r="AP32" i="98" s="1"/>
  <c r="L40" i="98" s="1"/>
  <c r="AC32" i="98" a="1"/>
  <c r="AG32" i="98" s="1"/>
  <c r="K12" i="98" s="1"/>
  <c r="C21" i="95"/>
  <c r="AE13" i="82"/>
  <c r="K22" i="82" s="1"/>
  <c r="AE12" i="82"/>
  <c r="K20" i="82" s="1"/>
  <c r="K23" i="82"/>
  <c r="AB53" i="82"/>
  <c r="AC54" i="82"/>
  <c r="AE44" i="82"/>
  <c r="AC44" i="82"/>
  <c r="AH78" i="90"/>
  <c r="AJ73" i="90"/>
  <c r="AK80" i="87"/>
  <c r="C37" i="82"/>
  <c r="C4" i="94"/>
  <c r="C3" i="94"/>
  <c r="AC56" i="87"/>
  <c r="AE70" i="87" s="1"/>
  <c r="A26" i="87"/>
  <c r="B32" i="87" s="1"/>
  <c r="C38" i="82"/>
  <c r="W4" i="29"/>
  <c r="X4" i="29"/>
  <c r="Y4" i="29"/>
  <c r="Z4" i="29"/>
  <c r="AA4" i="29"/>
  <c r="BE4" i="29"/>
  <c r="BE89" i="29" s="1"/>
  <c r="BF4" i="29"/>
  <c r="BF95" i="29" s="1"/>
  <c r="I68" i="81" s="1"/>
  <c r="BG4" i="29"/>
  <c r="BG96" i="29" s="1"/>
  <c r="J69" i="81" s="1"/>
  <c r="BH4" i="29"/>
  <c r="BH93" i="29" s="1"/>
  <c r="BI4" i="29"/>
  <c r="BJ4" i="29"/>
  <c r="BJ96" i="29" s="1"/>
  <c r="BK4" i="29"/>
  <c r="BL4" i="29"/>
  <c r="BL93" i="29" s="1"/>
  <c r="E4" i="29"/>
  <c r="F4" i="29"/>
  <c r="G4" i="29"/>
  <c r="G94" i="29" s="1"/>
  <c r="H4" i="29"/>
  <c r="H92" i="29" s="1"/>
  <c r="I4" i="29"/>
  <c r="I96" i="29" s="1"/>
  <c r="J4" i="29"/>
  <c r="J96" i="29" s="1"/>
  <c r="K4" i="29"/>
  <c r="K94" i="29" s="1"/>
  <c r="L4" i="29"/>
  <c r="L93" i="29" s="1"/>
  <c r="M4" i="29"/>
  <c r="M89" i="29" s="1"/>
  <c r="N4" i="29"/>
  <c r="N91" i="29" s="1"/>
  <c r="O4" i="29"/>
  <c r="O94" i="29" s="1"/>
  <c r="P4" i="29"/>
  <c r="P93" i="29" s="1"/>
  <c r="Q4" i="29"/>
  <c r="R4" i="29"/>
  <c r="R96" i="29" s="1"/>
  <c r="S4" i="29"/>
  <c r="S95" i="29" s="1"/>
  <c r="T4" i="29"/>
  <c r="T94" i="29" s="1"/>
  <c r="U4" i="29"/>
  <c r="V4" i="29"/>
  <c r="AB4" i="29"/>
  <c r="AC4" i="29"/>
  <c r="AD4" i="29"/>
  <c r="AE4" i="29"/>
  <c r="AF4" i="29"/>
  <c r="AG4" i="29"/>
  <c r="AH4" i="29"/>
  <c r="AI4" i="29"/>
  <c r="AJ4" i="29"/>
  <c r="AK4" i="29"/>
  <c r="AL4" i="29"/>
  <c r="AM4" i="29"/>
  <c r="AN4" i="29"/>
  <c r="AO4" i="29"/>
  <c r="AP4" i="29"/>
  <c r="AQ4" i="29"/>
  <c r="AR4" i="29"/>
  <c r="AS4" i="29"/>
  <c r="AT4" i="29"/>
  <c r="AT92" i="29" s="1"/>
  <c r="AU4" i="29"/>
  <c r="AV4" i="29"/>
  <c r="AV92" i="29" s="1"/>
  <c r="AW4" i="29"/>
  <c r="AW95" i="29" s="1"/>
  <c r="AX4" i="29"/>
  <c r="AX96" i="29" s="1"/>
  <c r="AY4" i="29"/>
  <c r="AY95" i="29" s="1"/>
  <c r="AZ4" i="29"/>
  <c r="AZ95" i="29" s="1"/>
  <c r="BA4" i="29"/>
  <c r="BA95" i="29" s="1"/>
  <c r="BB4" i="29"/>
  <c r="BC4" i="29"/>
  <c r="BC95" i="29" s="1"/>
  <c r="BD4" i="29"/>
  <c r="BD93" i="29" s="1"/>
  <c r="D86" i="29"/>
  <c r="BM4" i="29"/>
  <c r="BN4" i="29"/>
  <c r="D85" i="29"/>
  <c r="D87" i="29"/>
  <c r="D82" i="29"/>
  <c r="D81" i="29"/>
  <c r="D75" i="29"/>
  <c r="D74" i="29"/>
  <c r="D71" i="29"/>
  <c r="D31" i="29"/>
  <c r="D32" i="29"/>
  <c r="D28" i="29"/>
  <c r="D30" i="29"/>
  <c r="D8" i="29"/>
  <c r="D9" i="29"/>
  <c r="D12" i="29"/>
  <c r="D72" i="29"/>
  <c r="D34" i="29"/>
  <c r="D35" i="29"/>
  <c r="D37" i="29"/>
  <c r="D38" i="29"/>
  <c r="D39" i="29"/>
  <c r="D40" i="29"/>
  <c r="D41" i="29"/>
  <c r="D42" i="29"/>
  <c r="D43" i="29"/>
  <c r="D44" i="29"/>
  <c r="D45" i="29"/>
  <c r="D46" i="29"/>
  <c r="D47" i="29"/>
  <c r="D48" i="29"/>
  <c r="D49" i="29"/>
  <c r="D50" i="29"/>
  <c r="D51" i="29"/>
  <c r="D52" i="29"/>
  <c r="D53" i="29"/>
  <c r="D54" i="29"/>
  <c r="D6" i="29"/>
  <c r="D5" i="29"/>
  <c r="D7" i="29"/>
  <c r="D15" i="29"/>
  <c r="D16" i="29"/>
  <c r="D23" i="29"/>
  <c r="D17" i="29"/>
  <c r="D18" i="29"/>
  <c r="D19" i="29"/>
  <c r="D20" i="29"/>
  <c r="D21" i="29"/>
  <c r="D22" i="29"/>
  <c r="D27" i="29"/>
  <c r="D57" i="29"/>
  <c r="D58" i="29"/>
  <c r="D59" i="29"/>
  <c r="D60" i="29"/>
  <c r="D61" i="29"/>
  <c r="D62" i="29"/>
  <c r="D63" i="29"/>
  <c r="D64" i="29"/>
  <c r="D65" i="29"/>
  <c r="D66" i="29"/>
  <c r="D67" i="29"/>
  <c r="D68" i="29"/>
  <c r="D69" i="29"/>
  <c r="D73" i="29"/>
  <c r="D76" i="29"/>
  <c r="D78" i="29"/>
  <c r="D79" i="29"/>
  <c r="D80" i="29"/>
  <c r="D84" i="29"/>
  <c r="D24" i="29"/>
  <c r="D25" i="29"/>
  <c r="D29" i="29"/>
  <c r="D26" i="29"/>
  <c r="D33" i="29"/>
  <c r="L6" i="91"/>
  <c r="L6" i="100" s="1"/>
  <c r="AQ6" i="100" s="1"/>
  <c r="BB6" i="100" s="1"/>
  <c r="BM6" i="100" s="1"/>
  <c r="K6" i="91"/>
  <c r="K6" i="100" s="1"/>
  <c r="AP6" i="100" s="1"/>
  <c r="BA6" i="100" s="1"/>
  <c r="BL6" i="100" s="1"/>
  <c r="J6" i="91"/>
  <c r="J6" i="100" s="1"/>
  <c r="AO6" i="100" s="1"/>
  <c r="AZ6" i="100" s="1"/>
  <c r="BK6" i="100" s="1"/>
  <c r="I6" i="91"/>
  <c r="H6" i="91"/>
  <c r="H6" i="100" s="1"/>
  <c r="AM6" i="100" s="1"/>
  <c r="AX6" i="100" s="1"/>
  <c r="BI6" i="100" s="1"/>
  <c r="G6" i="91"/>
  <c r="G6" i="100" s="1"/>
  <c r="AL6" i="100" s="1"/>
  <c r="AW6" i="100" s="1"/>
  <c r="BH6" i="100" s="1"/>
  <c r="F6" i="91"/>
  <c r="F6" i="100" s="1"/>
  <c r="AK6" i="100" s="1"/>
  <c r="AV6" i="100" s="1"/>
  <c r="BG6" i="100" s="1"/>
  <c r="E6" i="91"/>
  <c r="E6" i="100" s="1"/>
  <c r="AJ6" i="100" s="1"/>
  <c r="AU6" i="100" s="1"/>
  <c r="BF6" i="100" s="1"/>
  <c r="D6" i="91"/>
  <c r="D6" i="100" s="1"/>
  <c r="AI6" i="100" s="1"/>
  <c r="AT6" i="100" s="1"/>
  <c r="BE6" i="100" s="1"/>
  <c r="C6" i="91"/>
  <c r="C6" i="100" s="1"/>
  <c r="AH6" i="100" s="1"/>
  <c r="AS6" i="100" s="1"/>
  <c r="BD6" i="100" s="1"/>
  <c r="B6" i="91"/>
  <c r="L61" i="91"/>
  <c r="L61" i="100" s="1"/>
  <c r="K61" i="91"/>
  <c r="K61" i="100" s="1"/>
  <c r="J61" i="91"/>
  <c r="J61" i="100" s="1"/>
  <c r="I61" i="91"/>
  <c r="I61" i="100" s="1"/>
  <c r="H61" i="91"/>
  <c r="H61" i="100" s="1"/>
  <c r="G61" i="91"/>
  <c r="G61" i="100" s="1"/>
  <c r="F61" i="91"/>
  <c r="F61" i="100" s="1"/>
  <c r="E61" i="91"/>
  <c r="E61" i="100" s="1"/>
  <c r="D61" i="91"/>
  <c r="D61" i="100" s="1"/>
  <c r="C61" i="91"/>
  <c r="C61" i="100" s="1"/>
  <c r="B61" i="91"/>
  <c r="B61" i="100" s="1"/>
  <c r="A61" i="91"/>
  <c r="A61" i="100" s="1"/>
  <c r="A67" i="91"/>
  <c r="A67" i="100" s="1"/>
  <c r="A66" i="91"/>
  <c r="A66" i="100" s="1"/>
  <c r="A65" i="91"/>
  <c r="A65" i="100" s="1"/>
  <c r="A64" i="91"/>
  <c r="A64" i="100" s="1"/>
  <c r="A63" i="91"/>
  <c r="A63" i="100" s="1"/>
  <c r="A62" i="91"/>
  <c r="A62" i="100" s="1"/>
  <c r="A60" i="91"/>
  <c r="A60" i="100" s="1"/>
  <c r="A59" i="91"/>
  <c r="A59" i="100" s="1"/>
  <c r="A58" i="91"/>
  <c r="A58" i="100" s="1"/>
  <c r="A57" i="91"/>
  <c r="A57" i="100" s="1"/>
  <c r="A56" i="91"/>
  <c r="A56" i="100" s="1"/>
  <c r="A55" i="91"/>
  <c r="A55" i="100" s="1"/>
  <c r="A54" i="91"/>
  <c r="A54" i="100" s="1"/>
  <c r="A53" i="91"/>
  <c r="A53" i="100" s="1"/>
  <c r="A52" i="91"/>
  <c r="A52" i="100" s="1"/>
  <c r="A51" i="91"/>
  <c r="A51" i="100" s="1"/>
  <c r="A50" i="91"/>
  <c r="A50" i="100" s="1"/>
  <c r="A49" i="91"/>
  <c r="A49" i="100" s="1"/>
  <c r="A48" i="91"/>
  <c r="A48" i="100" s="1"/>
  <c r="A47" i="91"/>
  <c r="A47" i="100" s="1"/>
  <c r="A46" i="91"/>
  <c r="A46" i="100" s="1"/>
  <c r="A45" i="91"/>
  <c r="A45" i="100" s="1"/>
  <c r="A44" i="91"/>
  <c r="A44" i="100" s="1"/>
  <c r="A43" i="91"/>
  <c r="A43" i="100" s="1"/>
  <c r="A42" i="91"/>
  <c r="A42" i="100" s="1"/>
  <c r="A41" i="91"/>
  <c r="A41" i="100" s="1"/>
  <c r="A40" i="91"/>
  <c r="A40" i="100" s="1"/>
  <c r="A39" i="91"/>
  <c r="A39" i="100" s="1"/>
  <c r="A38" i="91"/>
  <c r="A38" i="100" s="1"/>
  <c r="A37" i="91"/>
  <c r="A37" i="100" s="1"/>
  <c r="A36" i="91"/>
  <c r="A36" i="100" s="1"/>
  <c r="A35" i="91"/>
  <c r="A35" i="100" s="1"/>
  <c r="A34" i="91"/>
  <c r="A34" i="100" s="1"/>
  <c r="A33" i="91"/>
  <c r="A33" i="100" s="1"/>
  <c r="A32" i="91"/>
  <c r="A32" i="100" s="1"/>
  <c r="A31" i="91"/>
  <c r="A31" i="100" s="1"/>
  <c r="A30" i="91"/>
  <c r="A30" i="100" s="1"/>
  <c r="A29" i="91"/>
  <c r="A29" i="100" s="1"/>
  <c r="A28" i="91"/>
  <c r="A28" i="100" s="1"/>
  <c r="A27" i="91"/>
  <c r="A27" i="100" s="1"/>
  <c r="A26" i="91"/>
  <c r="A26" i="100" s="1"/>
  <c r="A25" i="91"/>
  <c r="A25" i="100" s="1"/>
  <c r="A24" i="91"/>
  <c r="A24" i="100" s="1"/>
  <c r="A23" i="91"/>
  <c r="A23" i="100" s="1"/>
  <c r="A22" i="91"/>
  <c r="A22" i="100" s="1"/>
  <c r="A21" i="91"/>
  <c r="A21" i="100" s="1"/>
  <c r="A20" i="91"/>
  <c r="A20" i="100" s="1"/>
  <c r="A19" i="91"/>
  <c r="A19" i="100" s="1"/>
  <c r="A18" i="91"/>
  <c r="A18" i="100" s="1"/>
  <c r="A17" i="91"/>
  <c r="A17" i="100" s="1"/>
  <c r="A16" i="91"/>
  <c r="A16" i="100" s="1"/>
  <c r="A15" i="91"/>
  <c r="A15" i="100" s="1"/>
  <c r="A14" i="91"/>
  <c r="A14" i="100" s="1"/>
  <c r="A13" i="91"/>
  <c r="A13" i="100" s="1"/>
  <c r="A12" i="91"/>
  <c r="A12" i="100" s="1"/>
  <c r="A11" i="91"/>
  <c r="A11" i="100" s="1"/>
  <c r="A10" i="91"/>
  <c r="A10" i="100" s="1"/>
  <c r="A9" i="91"/>
  <c r="A9" i="100" s="1"/>
  <c r="A8" i="91"/>
  <c r="A8" i="100" s="1"/>
  <c r="A7" i="91"/>
  <c r="A7" i="100" s="1"/>
  <c r="A6" i="91"/>
  <c r="A6" i="100" s="1"/>
  <c r="F19" i="91"/>
  <c r="G19" i="91"/>
  <c r="F21" i="91"/>
  <c r="G21" i="91"/>
  <c r="F23" i="91"/>
  <c r="G23" i="91"/>
  <c r="A5" i="100"/>
  <c r="A4" i="91"/>
  <c r="A3" i="91"/>
  <c r="C28" i="87"/>
  <c r="C30" i="87"/>
  <c r="C38" i="87"/>
  <c r="C39" i="87"/>
  <c r="C49" i="87"/>
  <c r="D27" i="87"/>
  <c r="D28" i="87"/>
  <c r="D29" i="87"/>
  <c r="D30" i="87"/>
  <c r="E30" i="87" s="1"/>
  <c r="D31" i="87"/>
  <c r="C36" i="88"/>
  <c r="C54" i="7"/>
  <c r="G34" i="82" s="1"/>
  <c r="AC46" i="82" s="1"/>
  <c r="F37" i="87"/>
  <c r="D26" i="87"/>
  <c r="E26" i="87"/>
  <c r="D33" i="82"/>
  <c r="J32" i="82"/>
  <c r="F45" i="88"/>
  <c r="D40" i="88"/>
  <c r="D37" i="88"/>
  <c r="D36" i="88"/>
  <c r="A35" i="88"/>
  <c r="F27" i="87"/>
  <c r="B35" i="87"/>
  <c r="B33" i="87"/>
  <c r="A37" i="87"/>
  <c r="B37" i="87" s="1"/>
  <c r="A32" i="82"/>
  <c r="B41" i="82"/>
  <c r="E39" i="82"/>
  <c r="E33" i="82"/>
  <c r="D39" i="82"/>
  <c r="D38" i="82"/>
  <c r="D37" i="82"/>
  <c r="B28" i="87"/>
  <c r="AV3" i="5"/>
  <c r="AZ3" i="5"/>
  <c r="BK3" i="5"/>
  <c r="BO3" i="5"/>
  <c r="H2" i="85"/>
  <c r="G2" i="85"/>
  <c r="F2" i="85"/>
  <c r="E161" i="11" s="1"/>
  <c r="H2" i="84"/>
  <c r="G2" i="84"/>
  <c r="F2" i="84"/>
  <c r="E83" i="11" s="1"/>
  <c r="E122" i="11"/>
  <c r="E112" i="11"/>
  <c r="E89" i="11"/>
  <c r="A85" i="11"/>
  <c r="E81" i="11"/>
  <c r="E76" i="11"/>
  <c r="E73" i="11"/>
  <c r="E67" i="11"/>
  <c r="E64" i="11"/>
  <c r="E61" i="11"/>
  <c r="E56" i="11"/>
  <c r="E54" i="11"/>
  <c r="E51" i="11"/>
  <c r="E49" i="11"/>
  <c r="E46" i="11"/>
  <c r="E45" i="11"/>
  <c r="E41" i="11"/>
  <c r="E39" i="11"/>
  <c r="E38" i="11"/>
  <c r="E34" i="11"/>
  <c r="E33" i="11"/>
  <c r="E30" i="11"/>
  <c r="E28" i="11"/>
  <c r="E26" i="11"/>
  <c r="E25" i="11"/>
  <c r="E23" i="11"/>
  <c r="E22" i="11"/>
  <c r="E21" i="11"/>
  <c r="E19" i="11"/>
  <c r="E18" i="11"/>
  <c r="E17" i="11"/>
  <c r="E15" i="11"/>
  <c r="E14" i="11"/>
  <c r="E13" i="11"/>
  <c r="A11" i="11"/>
  <c r="O65" i="81"/>
  <c r="O64" i="81"/>
  <c r="O63" i="81"/>
  <c r="O62" i="81"/>
  <c r="O60" i="81"/>
  <c r="I60" i="81"/>
  <c r="G58" i="91" s="1"/>
  <c r="H60" i="81"/>
  <c r="F58" i="91" s="1"/>
  <c r="O59" i="81"/>
  <c r="I59" i="81"/>
  <c r="H59" i="81"/>
  <c r="F60" i="91" s="1"/>
  <c r="O58" i="81"/>
  <c r="I58" i="81"/>
  <c r="G59" i="91" s="1"/>
  <c r="H58" i="81"/>
  <c r="F59" i="91" s="1"/>
  <c r="O57" i="81"/>
  <c r="I57" i="81"/>
  <c r="G57" i="91" s="1"/>
  <c r="H57" i="81"/>
  <c r="F57" i="91" s="1"/>
  <c r="O55" i="81"/>
  <c r="I55" i="81"/>
  <c r="G55" i="91" s="1"/>
  <c r="H55" i="81"/>
  <c r="F55" i="91" s="1"/>
  <c r="O54" i="81"/>
  <c r="I54" i="81"/>
  <c r="G54" i="91" s="1"/>
  <c r="H54" i="81"/>
  <c r="F54" i="91" s="1"/>
  <c r="O53" i="81"/>
  <c r="I53" i="81"/>
  <c r="G53" i="91" s="1"/>
  <c r="H53" i="81"/>
  <c r="F53" i="91" s="1"/>
  <c r="O52" i="81"/>
  <c r="I52" i="81"/>
  <c r="G52" i="91" s="1"/>
  <c r="H52" i="81"/>
  <c r="F52" i="91" s="1"/>
  <c r="O51" i="81"/>
  <c r="I51" i="81"/>
  <c r="G51" i="91" s="1"/>
  <c r="H51" i="81"/>
  <c r="F51" i="91" s="1"/>
  <c r="O49" i="81"/>
  <c r="I49" i="81"/>
  <c r="G49" i="91" s="1"/>
  <c r="H49" i="81"/>
  <c r="F49" i="91" s="1"/>
  <c r="O48" i="81"/>
  <c r="I48" i="81"/>
  <c r="G48" i="91" s="1"/>
  <c r="H48" i="81"/>
  <c r="F48" i="91" s="1"/>
  <c r="O47" i="81"/>
  <c r="I47" i="81"/>
  <c r="G47" i="91" s="1"/>
  <c r="H47" i="81"/>
  <c r="F47" i="91" s="1"/>
  <c r="O46" i="81"/>
  <c r="I46" i="81"/>
  <c r="G46" i="91" s="1"/>
  <c r="H46" i="81"/>
  <c r="F46" i="91" s="1"/>
  <c r="O45" i="81"/>
  <c r="I45" i="81"/>
  <c r="G44" i="91" s="1"/>
  <c r="H45" i="81"/>
  <c r="F44" i="91" s="1"/>
  <c r="O44" i="81"/>
  <c r="I44" i="81"/>
  <c r="G45" i="91" s="1"/>
  <c r="H44" i="81"/>
  <c r="F45" i="91" s="1"/>
  <c r="O42" i="81"/>
  <c r="I42" i="81"/>
  <c r="G42" i="91" s="1"/>
  <c r="H42" i="81"/>
  <c r="F42" i="91" s="1"/>
  <c r="O41" i="81"/>
  <c r="I41" i="81"/>
  <c r="G41" i="91" s="1"/>
  <c r="H41" i="81"/>
  <c r="F41" i="91" s="1"/>
  <c r="O40" i="81"/>
  <c r="I40" i="81"/>
  <c r="G40" i="91" s="1"/>
  <c r="H40" i="81"/>
  <c r="F40" i="91" s="1"/>
  <c r="O39" i="81"/>
  <c r="I39" i="81"/>
  <c r="G39" i="91" s="1"/>
  <c r="H39" i="81"/>
  <c r="F39" i="91" s="1"/>
  <c r="O38" i="81"/>
  <c r="I38" i="81"/>
  <c r="G38" i="91" s="1"/>
  <c r="H38" i="81"/>
  <c r="F38" i="91" s="1"/>
  <c r="O37" i="81"/>
  <c r="I37" i="81"/>
  <c r="G37" i="91" s="1"/>
  <c r="H37" i="81"/>
  <c r="F37" i="91" s="1"/>
  <c r="O36" i="81"/>
  <c r="I36" i="81"/>
  <c r="G36" i="91" s="1"/>
  <c r="H36" i="81"/>
  <c r="F36" i="91" s="1"/>
  <c r="O35" i="81"/>
  <c r="I35" i="81"/>
  <c r="G35" i="91" s="1"/>
  <c r="H35" i="81"/>
  <c r="F35" i="91" s="1"/>
  <c r="O34" i="81"/>
  <c r="I34" i="81"/>
  <c r="G34" i="91" s="1"/>
  <c r="H34" i="81"/>
  <c r="F34" i="91" s="1"/>
  <c r="O33" i="81"/>
  <c r="I33" i="81"/>
  <c r="G33" i="91" s="1"/>
  <c r="H33" i="81"/>
  <c r="F33" i="91" s="1"/>
  <c r="O32" i="81"/>
  <c r="I32" i="81"/>
  <c r="G32" i="91" s="1"/>
  <c r="H32" i="81"/>
  <c r="F32" i="91" s="1"/>
  <c r="O31" i="81"/>
  <c r="I31" i="81"/>
  <c r="G31" i="91" s="1"/>
  <c r="H31" i="81"/>
  <c r="O30" i="81"/>
  <c r="I30" i="81"/>
  <c r="G30" i="91" s="1"/>
  <c r="H30" i="81"/>
  <c r="F30" i="91" s="1"/>
  <c r="O27" i="81"/>
  <c r="I27" i="81"/>
  <c r="G27" i="91" s="1"/>
  <c r="H27" i="81"/>
  <c r="F27" i="91" s="1"/>
  <c r="O26" i="81"/>
  <c r="I26" i="81"/>
  <c r="G26" i="91" s="1"/>
  <c r="H26" i="81"/>
  <c r="F26" i="91" s="1"/>
  <c r="O25" i="81"/>
  <c r="I25" i="81"/>
  <c r="G25" i="91" s="1"/>
  <c r="H25" i="81"/>
  <c r="F25" i="91" s="1"/>
  <c r="O24" i="81"/>
  <c r="I24" i="81"/>
  <c r="G24" i="91" s="1"/>
  <c r="H24" i="81"/>
  <c r="F24" i="91" s="1"/>
  <c r="O23" i="81"/>
  <c r="I23" i="81"/>
  <c r="H23" i="81"/>
  <c r="O22" i="81"/>
  <c r="I22" i="81"/>
  <c r="G22" i="91" s="1"/>
  <c r="H22" i="81"/>
  <c r="F22" i="91" s="1"/>
  <c r="O21" i="81"/>
  <c r="I21" i="81"/>
  <c r="G20" i="91" s="1"/>
  <c r="H21" i="81"/>
  <c r="F20" i="91" s="1"/>
  <c r="O20" i="81"/>
  <c r="I20" i="81"/>
  <c r="H20" i="81"/>
  <c r="O19" i="81"/>
  <c r="I19" i="81"/>
  <c r="H19" i="81"/>
  <c r="O18" i="81"/>
  <c r="I18" i="81"/>
  <c r="H18" i="81"/>
  <c r="O17" i="81"/>
  <c r="O16" i="81"/>
  <c r="O15" i="81"/>
  <c r="O14" i="81"/>
  <c r="O13" i="81"/>
  <c r="O12" i="81"/>
  <c r="O10" i="81"/>
  <c r="K10" i="81"/>
  <c r="J10" i="81"/>
  <c r="H14" i="91" s="1"/>
  <c r="I10" i="81"/>
  <c r="G14" i="91" s="1"/>
  <c r="H10" i="81"/>
  <c r="F14" i="91" s="1"/>
  <c r="O8" i="81"/>
  <c r="K8" i="81"/>
  <c r="J8" i="81"/>
  <c r="H12" i="91" s="1"/>
  <c r="I8" i="81"/>
  <c r="G12" i="91" s="1"/>
  <c r="H8" i="81"/>
  <c r="F12" i="91" s="1"/>
  <c r="O7" i="81"/>
  <c r="I7" i="81"/>
  <c r="G11" i="91" s="1"/>
  <c r="H7" i="81"/>
  <c r="F11" i="91" s="1"/>
  <c r="O6" i="81"/>
  <c r="K6" i="81"/>
  <c r="J6" i="81"/>
  <c r="I6" i="81"/>
  <c r="G10" i="91" s="1"/>
  <c r="H6" i="81"/>
  <c r="F10" i="91" s="1"/>
  <c r="O5" i="81"/>
  <c r="K5" i="81"/>
  <c r="J5" i="81"/>
  <c r="I5" i="81"/>
  <c r="G9" i="91" s="1"/>
  <c r="H5" i="81"/>
  <c r="F9" i="91" s="1"/>
  <c r="O4" i="81"/>
  <c r="K4" i="81"/>
  <c r="J4" i="81"/>
  <c r="H8" i="91" s="1"/>
  <c r="I4" i="81"/>
  <c r="G8" i="91" s="1"/>
  <c r="H4" i="81"/>
  <c r="F8" i="91" s="1"/>
  <c r="O3" i="81"/>
  <c r="M3" i="81"/>
  <c r="AI11" i="90" s="1"/>
  <c r="C44" i="78"/>
  <c r="C43" i="78"/>
  <c r="C42" i="78"/>
  <c r="C41" i="78"/>
  <c r="C40" i="78"/>
  <c r="Y17" i="75"/>
  <c r="V17" i="75"/>
  <c r="U17" i="75"/>
  <c r="AP25" i="75"/>
  <c r="AP23" i="75"/>
  <c r="AP21" i="75"/>
  <c r="AO23" i="75"/>
  <c r="AO21" i="75"/>
  <c r="AG21" i="75"/>
  <c r="AG23" i="75"/>
  <c r="AF23" i="75"/>
  <c r="AF21" i="75"/>
  <c r="AE21" i="75"/>
  <c r="AE23" i="75"/>
  <c r="K5" i="78"/>
  <c r="C21" i="75"/>
  <c r="AX14" i="75"/>
  <c r="AX13" i="75"/>
  <c r="AX30" i="75"/>
  <c r="AX89" i="75"/>
  <c r="AX90" i="75"/>
  <c r="AX91" i="75"/>
  <c r="AX17" i="75"/>
  <c r="AQ106" i="75"/>
  <c r="AQ105" i="75"/>
  <c r="AV11" i="75"/>
  <c r="AU11" i="75"/>
  <c r="AT11" i="75"/>
  <c r="AS11" i="75"/>
  <c r="AR11" i="75"/>
  <c r="AV83" i="75"/>
  <c r="AU83" i="75"/>
  <c r="AT83" i="75"/>
  <c r="AS83" i="75"/>
  <c r="AR83" i="75"/>
  <c r="D5" i="78"/>
  <c r="C5" i="75"/>
  <c r="C6" i="75"/>
  <c r="C11" i="75"/>
  <c r="C13" i="75"/>
  <c r="C12" i="75"/>
  <c r="E5" i="78"/>
  <c r="F5" i="78"/>
  <c r="G5" i="78"/>
  <c r="Q5" i="78"/>
  <c r="AY101" i="75"/>
  <c r="AY100" i="75"/>
  <c r="AY99" i="75"/>
  <c r="AY98" i="75"/>
  <c r="AY97" i="75"/>
  <c r="AY96" i="75"/>
  <c r="AY95" i="75"/>
  <c r="AY94" i="75"/>
  <c r="AV101" i="75"/>
  <c r="AV100" i="75"/>
  <c r="AV99" i="75"/>
  <c r="AV98" i="75"/>
  <c r="AV97" i="75"/>
  <c r="AV96" i="75"/>
  <c r="AV95" i="75"/>
  <c r="T101" i="75"/>
  <c r="T100" i="75"/>
  <c r="T99" i="75"/>
  <c r="T98" i="75"/>
  <c r="T97" i="75"/>
  <c r="T96" i="75"/>
  <c r="T95" i="75"/>
  <c r="T94" i="75"/>
  <c r="S101" i="75"/>
  <c r="S100" i="75"/>
  <c r="S99" i="75"/>
  <c r="S98" i="75"/>
  <c r="S97" i="75"/>
  <c r="S96" i="75"/>
  <c r="S95" i="75"/>
  <c r="S94" i="75"/>
  <c r="C3" i="68"/>
  <c r="C3" i="72"/>
  <c r="C3" i="66"/>
  <c r="C3" i="65"/>
  <c r="C4" i="68"/>
  <c r="C4" i="72"/>
  <c r="C4" i="66"/>
  <c r="C4" i="65"/>
  <c r="AV25" i="75"/>
  <c r="AL25" i="75"/>
  <c r="AM25" i="75"/>
  <c r="AN25" i="75"/>
  <c r="AO25" i="75"/>
  <c r="AK25" i="75"/>
  <c r="AJ25" i="75"/>
  <c r="AI25" i="75"/>
  <c r="AH25" i="75"/>
  <c r="AG25" i="75"/>
  <c r="AF25" i="75"/>
  <c r="AE25" i="75"/>
  <c r="AD25" i="75"/>
  <c r="AC25" i="75"/>
  <c r="AA25" i="75"/>
  <c r="AB25" i="75"/>
  <c r="Z25" i="75"/>
  <c r="AZ88" i="75"/>
  <c r="AY14" i="75"/>
  <c r="AY13" i="75"/>
  <c r="AY17" i="75"/>
  <c r="AY89" i="75"/>
  <c r="AY90" i="75"/>
  <c r="AY91" i="75"/>
  <c r="AY92" i="75"/>
  <c r="AX92" i="75"/>
  <c r="AW92" i="75"/>
  <c r="AW91" i="75"/>
  <c r="AW90" i="75"/>
  <c r="AW89" i="75"/>
  <c r="AW17" i="75"/>
  <c r="AW14" i="75"/>
  <c r="AW13" i="75"/>
  <c r="AJ92" i="75"/>
  <c r="AJ91" i="75"/>
  <c r="AJ90" i="75"/>
  <c r="AJ89" i="75"/>
  <c r="AL89" i="75"/>
  <c r="AM89" i="75"/>
  <c r="AN89" i="75"/>
  <c r="AO89" i="75"/>
  <c r="AP89" i="75"/>
  <c r="AL90" i="75"/>
  <c r="AM90" i="75"/>
  <c r="AN90" i="75"/>
  <c r="AO90" i="75"/>
  <c r="AP90" i="75"/>
  <c r="AL91" i="75"/>
  <c r="AM91" i="75"/>
  <c r="AN91" i="75"/>
  <c r="AO91" i="75"/>
  <c r="AP91" i="75"/>
  <c r="AL92" i="75"/>
  <c r="AM92" i="75"/>
  <c r="AN92" i="75"/>
  <c r="AO92" i="75"/>
  <c r="AP92" i="75"/>
  <c r="AK89" i="75"/>
  <c r="AK90" i="75"/>
  <c r="AK91" i="75"/>
  <c r="AK92" i="75"/>
  <c r="AI89" i="75"/>
  <c r="AI90" i="75"/>
  <c r="AI91" i="75"/>
  <c r="AI92" i="75"/>
  <c r="AH89" i="75"/>
  <c r="AH90" i="75"/>
  <c r="AH91" i="75"/>
  <c r="AH92" i="75"/>
  <c r="AG89" i="75"/>
  <c r="AG90" i="75"/>
  <c r="AG91" i="75"/>
  <c r="AG92" i="75"/>
  <c r="AF89" i="75"/>
  <c r="AF90" i="75"/>
  <c r="AF91" i="75"/>
  <c r="AF92" i="75"/>
  <c r="AE89" i="75"/>
  <c r="AE90" i="75"/>
  <c r="AE91" i="75"/>
  <c r="AE92" i="75"/>
  <c r="AD89" i="75"/>
  <c r="AD90" i="75"/>
  <c r="AD91" i="75"/>
  <c r="AD92" i="75"/>
  <c r="AC89" i="75"/>
  <c r="AC90" i="75"/>
  <c r="AC91" i="75"/>
  <c r="AC92" i="75"/>
  <c r="AA89" i="75"/>
  <c r="AB89" i="75"/>
  <c r="AA90" i="75"/>
  <c r="AB90" i="75"/>
  <c r="AA91" i="75"/>
  <c r="AB91" i="75"/>
  <c r="AA92" i="75"/>
  <c r="AB92" i="75"/>
  <c r="Z89" i="75"/>
  <c r="Z90" i="75"/>
  <c r="Z91" i="75"/>
  <c r="Z92" i="75"/>
  <c r="V89" i="75"/>
  <c r="V90" i="75"/>
  <c r="V91" i="75"/>
  <c r="V92" i="75"/>
  <c r="U92" i="75"/>
  <c r="U91" i="75"/>
  <c r="U89" i="75"/>
  <c r="U90" i="75"/>
  <c r="AH62" i="75"/>
  <c r="AH63" i="75"/>
  <c r="AH64" i="75"/>
  <c r="AH65" i="75"/>
  <c r="AH66" i="75"/>
  <c r="AH67" i="75"/>
  <c r="AH68" i="75"/>
  <c r="AH69" i="75"/>
  <c r="AH70" i="75"/>
  <c r="AH71" i="75"/>
  <c r="AH72" i="75"/>
  <c r="AH73" i="75"/>
  <c r="AH74" i="75"/>
  <c r="AH76" i="75"/>
  <c r="AH77" i="75"/>
  <c r="AH78" i="75"/>
  <c r="AH79" i="75"/>
  <c r="AH80" i="75"/>
  <c r="AH81" i="75"/>
  <c r="AH83" i="75"/>
  <c r="AH84" i="75"/>
  <c r="AH85" i="75"/>
  <c r="AH86" i="75"/>
  <c r="AH87" i="75"/>
  <c r="AH42" i="75"/>
  <c r="AH43" i="75"/>
  <c r="AH45" i="75"/>
  <c r="AH46" i="75"/>
  <c r="AH48" i="75"/>
  <c r="AH54" i="75"/>
  <c r="AH58" i="75"/>
  <c r="AH59" i="75"/>
  <c r="AH38" i="75"/>
  <c r="AH40" i="75"/>
  <c r="AH29" i="75"/>
  <c r="AH30" i="75"/>
  <c r="AH31" i="75"/>
  <c r="AH32" i="75"/>
  <c r="AH33" i="75"/>
  <c r="AH20" i="75"/>
  <c r="AH21" i="75"/>
  <c r="AH22" i="75"/>
  <c r="AH23" i="75"/>
  <c r="AH24" i="75"/>
  <c r="AH18" i="75"/>
  <c r="AH17" i="75"/>
  <c r="AH15" i="75"/>
  <c r="AH14" i="75"/>
  <c r="AH13" i="75"/>
  <c r="AH12" i="75"/>
  <c r="AH11" i="75"/>
  <c r="AH5" i="75"/>
  <c r="AD63" i="75"/>
  <c r="AE63" i="75"/>
  <c r="AF63" i="75"/>
  <c r="AG63" i="75"/>
  <c r="AI63" i="75"/>
  <c r="AJ63" i="75"/>
  <c r="AK63" i="75"/>
  <c r="AL63" i="75"/>
  <c r="AM63" i="75"/>
  <c r="AN63" i="75"/>
  <c r="AO63" i="75"/>
  <c r="AP63" i="75"/>
  <c r="Z63" i="75"/>
  <c r="AA63" i="75"/>
  <c r="AB63" i="75"/>
  <c r="AC87" i="75"/>
  <c r="AC86" i="75"/>
  <c r="AC85" i="75"/>
  <c r="AC84" i="75"/>
  <c r="AC83" i="75"/>
  <c r="AC81" i="75"/>
  <c r="AC80" i="75"/>
  <c r="AC79" i="75"/>
  <c r="AC78" i="75"/>
  <c r="AC77" i="75"/>
  <c r="AC76" i="75"/>
  <c r="AC63" i="75"/>
  <c r="AC64" i="75"/>
  <c r="AC65" i="75"/>
  <c r="AC66" i="75"/>
  <c r="AC67" i="75"/>
  <c r="AC68" i="75"/>
  <c r="AC69" i="75"/>
  <c r="AC70" i="75"/>
  <c r="AC71" i="75"/>
  <c r="AC72" i="75"/>
  <c r="AC73" i="75"/>
  <c r="AC74" i="75"/>
  <c r="AC62" i="75"/>
  <c r="AC58" i="75"/>
  <c r="AC54" i="75"/>
  <c r="AC48" i="75"/>
  <c r="AC46" i="75"/>
  <c r="AC45" i="75"/>
  <c r="AC43" i="75"/>
  <c r="AC42" i="75"/>
  <c r="AC40" i="75"/>
  <c r="AC38" i="75"/>
  <c r="AC33" i="75"/>
  <c r="AC32" i="75"/>
  <c r="AC31" i="75"/>
  <c r="AC30" i="75"/>
  <c r="AC29" i="75"/>
  <c r="AC24" i="75"/>
  <c r="AC23" i="75"/>
  <c r="AC22" i="75"/>
  <c r="AC21" i="75"/>
  <c r="AC18" i="75"/>
  <c r="AC17" i="75"/>
  <c r="AC15" i="75"/>
  <c r="AC14" i="75"/>
  <c r="AC13" i="75"/>
  <c r="AC12" i="75"/>
  <c r="AC11" i="75"/>
  <c r="AC5" i="75"/>
  <c r="B3" i="80"/>
  <c r="B2" i="80"/>
  <c r="B3" i="58"/>
  <c r="B2" i="58"/>
  <c r="B3" i="56"/>
  <c r="B2" i="56"/>
  <c r="B3" i="55"/>
  <c r="B2" i="55"/>
  <c r="BG101" i="75"/>
  <c r="BG100" i="75"/>
  <c r="BG99" i="75"/>
  <c r="BG98" i="75"/>
  <c r="AV38" i="75"/>
  <c r="AV32" i="75"/>
  <c r="AV31" i="75"/>
  <c r="AV5" i="75"/>
  <c r="AV12" i="75"/>
  <c r="AV15" i="75"/>
  <c r="AV18" i="75"/>
  <c r="AV20" i="75"/>
  <c r="AV21" i="75"/>
  <c r="AV22" i="75"/>
  <c r="AV23" i="75"/>
  <c r="AV24" i="75"/>
  <c r="AV40" i="75"/>
  <c r="AV42" i="75"/>
  <c r="AV44" i="75"/>
  <c r="AV45" i="75"/>
  <c r="AV46" i="75"/>
  <c r="AV47" i="75"/>
  <c r="AV48" i="75"/>
  <c r="AV49" i="75"/>
  <c r="AV50" i="75"/>
  <c r="AV54" i="75"/>
  <c r="AV57" i="75"/>
  <c r="AV58" i="75"/>
  <c r="AV59" i="75"/>
  <c r="AV62" i="75"/>
  <c r="AV63" i="75"/>
  <c r="AV64" i="75"/>
  <c r="AV65" i="75"/>
  <c r="AV66" i="75"/>
  <c r="AV67" i="75"/>
  <c r="AV68" i="75"/>
  <c r="AV69" i="75"/>
  <c r="AV70" i="75"/>
  <c r="AV71" i="75"/>
  <c r="AV72" i="75"/>
  <c r="AV73" i="75"/>
  <c r="AV74" i="75"/>
  <c r="AV76" i="75"/>
  <c r="AV78" i="75"/>
  <c r="AV80" i="75"/>
  <c r="AV81" i="75"/>
  <c r="AV84" i="75"/>
  <c r="AV85" i="75"/>
  <c r="AV86" i="75"/>
  <c r="AV87" i="75"/>
  <c r="BB87" i="75"/>
  <c r="BB86" i="75"/>
  <c r="BB85" i="75"/>
  <c r="BB84" i="75"/>
  <c r="BB83" i="75"/>
  <c r="BB81" i="75"/>
  <c r="BB80" i="75"/>
  <c r="BB78" i="75"/>
  <c r="BB76" i="75"/>
  <c r="BB63" i="75"/>
  <c r="BB64" i="75"/>
  <c r="BB65" i="75"/>
  <c r="BB66" i="75"/>
  <c r="BB67" i="75"/>
  <c r="BB68" i="75"/>
  <c r="BB69" i="75"/>
  <c r="BB70" i="75"/>
  <c r="BB71" i="75"/>
  <c r="BB72" i="75"/>
  <c r="BB73" i="75"/>
  <c r="BB74" i="75"/>
  <c r="BB62" i="75"/>
  <c r="BB59" i="75"/>
  <c r="BB58" i="75"/>
  <c r="BB57" i="75"/>
  <c r="BB54" i="75"/>
  <c r="BB50" i="75"/>
  <c r="BB49" i="75"/>
  <c r="BB48" i="75"/>
  <c r="BB47" i="75"/>
  <c r="BB46" i="75"/>
  <c r="BB45" i="75"/>
  <c r="BB44" i="75"/>
  <c r="BB42" i="75"/>
  <c r="BB40" i="75"/>
  <c r="BB32" i="75"/>
  <c r="AU39" i="75"/>
  <c r="AU5" i="75"/>
  <c r="AU12" i="75"/>
  <c r="AU15" i="75"/>
  <c r="AU18" i="75"/>
  <c r="AU20" i="75"/>
  <c r="AU21" i="75"/>
  <c r="AU22" i="75"/>
  <c r="AU23" i="75"/>
  <c r="AU24" i="75"/>
  <c r="AU25" i="75"/>
  <c r="AU34" i="75"/>
  <c r="AU40" i="75"/>
  <c r="AU42" i="75"/>
  <c r="AU44" i="75"/>
  <c r="AU45" i="75"/>
  <c r="AU46" i="75"/>
  <c r="AU47" i="75"/>
  <c r="AU48" i="75"/>
  <c r="AU49" i="75"/>
  <c r="AU50" i="75"/>
  <c r="AU54" i="75"/>
  <c r="AU57" i="75"/>
  <c r="AU58" i="75"/>
  <c r="AU59" i="75"/>
  <c r="AU62" i="75"/>
  <c r="AU63" i="75"/>
  <c r="AU64" i="75"/>
  <c r="AU65" i="75"/>
  <c r="AU66" i="75"/>
  <c r="AU67" i="75"/>
  <c r="AU68" i="75"/>
  <c r="AU69" i="75"/>
  <c r="AU70" i="75"/>
  <c r="AU71" i="75"/>
  <c r="AU72" i="75"/>
  <c r="AU73" i="75"/>
  <c r="AU74" i="75"/>
  <c r="AU76" i="75"/>
  <c r="AU78" i="75"/>
  <c r="AU80" i="75"/>
  <c r="AU81" i="75"/>
  <c r="AU84" i="75"/>
  <c r="AU85" i="75"/>
  <c r="AU86" i="75"/>
  <c r="AU87" i="75"/>
  <c r="AS5" i="75"/>
  <c r="AT5" i="75"/>
  <c r="AS12" i="75"/>
  <c r="AS15" i="75"/>
  <c r="AT12" i="75"/>
  <c r="AT15" i="75"/>
  <c r="AS18" i="75"/>
  <c r="AT18" i="75"/>
  <c r="AS20" i="75"/>
  <c r="AT20" i="75"/>
  <c r="AS21" i="75"/>
  <c r="AT21" i="75"/>
  <c r="AS22" i="75"/>
  <c r="AT22" i="75"/>
  <c r="AS23" i="75"/>
  <c r="AT23" i="75"/>
  <c r="AS24" i="75"/>
  <c r="AT24" i="75"/>
  <c r="AS25" i="75"/>
  <c r="AT25" i="75"/>
  <c r="AS34" i="75"/>
  <c r="AT34" i="75"/>
  <c r="AS40" i="75"/>
  <c r="AT40" i="75"/>
  <c r="AS42" i="75"/>
  <c r="AT42" i="75"/>
  <c r="AS44" i="75"/>
  <c r="AT44" i="75"/>
  <c r="AS45" i="75"/>
  <c r="AT45" i="75"/>
  <c r="AS46" i="75"/>
  <c r="AT46" i="75"/>
  <c r="AS47" i="75"/>
  <c r="AT47" i="75"/>
  <c r="AS48" i="75"/>
  <c r="AT48" i="75"/>
  <c r="AS49" i="75"/>
  <c r="AT49" i="75"/>
  <c r="AS50" i="75"/>
  <c r="AT50" i="75"/>
  <c r="AS54" i="75"/>
  <c r="AT54" i="75"/>
  <c r="AS57" i="75"/>
  <c r="AT57" i="75"/>
  <c r="AS58" i="75"/>
  <c r="AT58" i="75"/>
  <c r="AS59" i="75"/>
  <c r="AT59" i="75"/>
  <c r="AS62" i="75"/>
  <c r="AT62" i="75"/>
  <c r="AS63" i="75"/>
  <c r="AT63" i="75"/>
  <c r="AS64" i="75"/>
  <c r="AT64" i="75"/>
  <c r="AS65" i="75"/>
  <c r="AT65" i="75"/>
  <c r="AS66" i="75"/>
  <c r="AT66" i="75"/>
  <c r="AS67" i="75"/>
  <c r="AT67" i="75"/>
  <c r="AS68" i="75"/>
  <c r="AT68" i="75"/>
  <c r="AS69" i="75"/>
  <c r="AT69" i="75"/>
  <c r="AS70" i="75"/>
  <c r="AT70" i="75"/>
  <c r="AS71" i="75"/>
  <c r="AT71" i="75"/>
  <c r="AS72" i="75"/>
  <c r="AT72" i="75"/>
  <c r="AS73" i="75"/>
  <c r="AT73" i="75"/>
  <c r="AS74" i="75"/>
  <c r="AT74" i="75"/>
  <c r="AS76" i="75"/>
  <c r="AT76" i="75"/>
  <c r="AS78" i="75"/>
  <c r="AT78" i="75"/>
  <c r="AS80" i="75"/>
  <c r="AT80" i="75"/>
  <c r="AS81" i="75"/>
  <c r="AT81" i="75"/>
  <c r="AS84" i="75"/>
  <c r="AT84" i="75"/>
  <c r="AS85" i="75"/>
  <c r="AT85" i="75"/>
  <c r="AS86" i="75"/>
  <c r="AT86" i="75"/>
  <c r="AS87" i="75"/>
  <c r="AT87" i="75"/>
  <c r="AR86" i="75"/>
  <c r="AR87" i="75"/>
  <c r="AR85" i="75"/>
  <c r="AR84" i="75"/>
  <c r="AR81" i="75"/>
  <c r="AR80" i="75"/>
  <c r="AR78" i="75"/>
  <c r="AR76" i="75"/>
  <c r="AR63" i="75"/>
  <c r="AR64" i="75"/>
  <c r="AR65" i="75"/>
  <c r="AR66" i="75"/>
  <c r="AR67" i="75"/>
  <c r="AR68" i="75"/>
  <c r="AR69" i="75"/>
  <c r="AR70" i="75"/>
  <c r="AR71" i="75"/>
  <c r="AR72" i="75"/>
  <c r="AR73" i="75"/>
  <c r="AR74" i="75"/>
  <c r="AR62" i="75"/>
  <c r="AR59" i="75"/>
  <c r="AR58" i="75"/>
  <c r="AR57" i="75"/>
  <c r="AR54" i="75"/>
  <c r="AR50" i="75"/>
  <c r="AR49" i="75"/>
  <c r="AR48" i="75"/>
  <c r="AR47" i="75"/>
  <c r="AR46" i="75"/>
  <c r="AR45" i="75"/>
  <c r="AR44" i="75"/>
  <c r="AR42" i="75"/>
  <c r="AR40" i="75"/>
  <c r="BG5" i="75"/>
  <c r="BG11" i="75"/>
  <c r="BG12" i="75"/>
  <c r="BG18" i="75"/>
  <c r="BG20" i="75"/>
  <c r="BG21" i="75"/>
  <c r="BG22" i="75"/>
  <c r="BG23" i="75"/>
  <c r="BG24" i="75"/>
  <c r="BG25" i="75"/>
  <c r="BG40" i="75"/>
  <c r="BG42" i="75"/>
  <c r="BG44" i="75"/>
  <c r="BG45" i="75"/>
  <c r="BG46" i="75"/>
  <c r="BG47" i="75"/>
  <c r="BG48" i="75"/>
  <c r="BG49" i="75"/>
  <c r="BG50" i="75"/>
  <c r="BG54" i="75"/>
  <c r="BG57" i="75"/>
  <c r="BG58" i="75"/>
  <c r="BG59" i="75"/>
  <c r="BG62" i="75"/>
  <c r="BG63" i="75"/>
  <c r="BG64" i="75"/>
  <c r="BG65" i="75"/>
  <c r="BG66" i="75"/>
  <c r="BG67" i="75"/>
  <c r="BG68" i="75"/>
  <c r="BG69" i="75"/>
  <c r="BG70" i="75"/>
  <c r="BG71" i="75"/>
  <c r="BG72" i="75"/>
  <c r="BG73" i="75"/>
  <c r="BG74" i="75"/>
  <c r="BG76" i="75"/>
  <c r="BG78" i="75"/>
  <c r="BG80" i="75"/>
  <c r="BG81" i="75"/>
  <c r="BG83" i="75"/>
  <c r="BG84" i="75"/>
  <c r="BG85" i="75"/>
  <c r="BG86" i="75"/>
  <c r="BG87" i="75"/>
  <c r="BE83" i="75"/>
  <c r="BE84" i="75"/>
  <c r="BE85" i="75"/>
  <c r="BE86" i="75"/>
  <c r="BE87" i="75"/>
  <c r="BE81" i="75"/>
  <c r="BE80" i="75"/>
  <c r="BE78" i="75"/>
  <c r="BE76" i="75"/>
  <c r="BE63" i="75"/>
  <c r="BE64" i="75"/>
  <c r="BE65" i="75"/>
  <c r="BE66" i="75"/>
  <c r="BE67" i="75"/>
  <c r="BE68" i="75"/>
  <c r="BE69" i="75"/>
  <c r="BE70" i="75"/>
  <c r="BE71" i="75"/>
  <c r="BE72" i="75"/>
  <c r="BE73" i="75"/>
  <c r="BE74" i="75"/>
  <c r="BE62" i="75"/>
  <c r="BE61" i="75" s="1"/>
  <c r="BE40" i="75"/>
  <c r="BE59" i="75"/>
  <c r="BE58" i="75"/>
  <c r="BE57" i="75"/>
  <c r="BE54" i="75"/>
  <c r="BE50" i="75"/>
  <c r="BE49" i="75"/>
  <c r="BE48" i="75"/>
  <c r="BE47" i="75"/>
  <c r="BE46" i="75"/>
  <c r="BE45" i="75"/>
  <c r="BE44" i="75"/>
  <c r="BE42" i="75"/>
  <c r="C3" i="71"/>
  <c r="C4" i="71"/>
  <c r="C1" i="70"/>
  <c r="C1" i="69"/>
  <c r="AQ9" i="75"/>
  <c r="AQ8" i="75"/>
  <c r="AQ6" i="75"/>
  <c r="C2" i="61"/>
  <c r="C1" i="61"/>
  <c r="C2" i="60"/>
  <c r="C1" i="60"/>
  <c r="C2" i="59"/>
  <c r="C1" i="59"/>
  <c r="T92" i="75"/>
  <c r="T91" i="75"/>
  <c r="T90" i="75"/>
  <c r="T89" i="75"/>
  <c r="T87" i="75"/>
  <c r="T86" i="75"/>
  <c r="T85" i="75"/>
  <c r="T84" i="75"/>
  <c r="T83" i="75"/>
  <c r="T81" i="75"/>
  <c r="T80" i="75"/>
  <c r="T78" i="75"/>
  <c r="T74" i="75"/>
  <c r="T73" i="75"/>
  <c r="T72" i="75"/>
  <c r="T71" i="75"/>
  <c r="T70" i="75"/>
  <c r="T69" i="75"/>
  <c r="T68" i="75"/>
  <c r="T67" i="75"/>
  <c r="T66" i="75"/>
  <c r="T65" i="75"/>
  <c r="T64" i="75"/>
  <c r="T63" i="75"/>
  <c r="T62" i="75"/>
  <c r="T59" i="75"/>
  <c r="T58" i="75"/>
  <c r="T54" i="75"/>
  <c r="T51" i="75"/>
  <c r="T50" i="75"/>
  <c r="T49" i="75"/>
  <c r="T48" i="75"/>
  <c r="T46" i="75"/>
  <c r="T45" i="75"/>
  <c r="T44" i="75"/>
  <c r="T42" i="75"/>
  <c r="T41" i="75" s="1"/>
  <c r="T40" i="75"/>
  <c r="T38" i="75"/>
  <c r="T36" i="75"/>
  <c r="T34" i="75"/>
  <c r="T32" i="75"/>
  <c r="T31" i="75"/>
  <c r="T30" i="75"/>
  <c r="T29" i="75"/>
  <c r="T25" i="75"/>
  <c r="T24" i="75"/>
  <c r="T23" i="75"/>
  <c r="T22" i="75"/>
  <c r="T21" i="75"/>
  <c r="T20" i="75"/>
  <c r="T18" i="75"/>
  <c r="T15" i="75"/>
  <c r="T13" i="75"/>
  <c r="T12" i="75"/>
  <c r="T11" i="75"/>
  <c r="T10" i="75"/>
  <c r="T9" i="75"/>
  <c r="T8" i="75"/>
  <c r="T7" i="75"/>
  <c r="T5" i="75"/>
  <c r="S92" i="75"/>
  <c r="S91" i="75"/>
  <c r="S90" i="75"/>
  <c r="S89" i="75"/>
  <c r="S87" i="75"/>
  <c r="S86" i="75"/>
  <c r="S85" i="75"/>
  <c r="S84" i="75"/>
  <c r="S83" i="75"/>
  <c r="S81" i="75"/>
  <c r="S80" i="75"/>
  <c r="S78" i="75"/>
  <c r="S74" i="75"/>
  <c r="S73" i="75"/>
  <c r="S72" i="75"/>
  <c r="S71" i="75"/>
  <c r="S70" i="75"/>
  <c r="S69" i="75"/>
  <c r="S68" i="75"/>
  <c r="S67" i="75"/>
  <c r="S66" i="75"/>
  <c r="S65" i="75"/>
  <c r="S64" i="75"/>
  <c r="S63" i="75"/>
  <c r="S62" i="75"/>
  <c r="S59" i="75"/>
  <c r="S58" i="75"/>
  <c r="S54" i="75"/>
  <c r="S51" i="75"/>
  <c r="S50" i="75"/>
  <c r="S49" i="75"/>
  <c r="S48" i="75"/>
  <c r="S46" i="75"/>
  <c r="S45" i="75"/>
  <c r="S44" i="75"/>
  <c r="S42" i="75"/>
  <c r="S40" i="75"/>
  <c r="S38" i="75"/>
  <c r="S36" i="75"/>
  <c r="S34" i="75"/>
  <c r="S32" i="75"/>
  <c r="S31" i="75"/>
  <c r="S30" i="75"/>
  <c r="S29" i="75"/>
  <c r="S25" i="75"/>
  <c r="S24" i="75"/>
  <c r="S23" i="75"/>
  <c r="S22" i="75"/>
  <c r="S21" i="75"/>
  <c r="S20" i="75"/>
  <c r="S18" i="75"/>
  <c r="S15" i="75"/>
  <c r="S13" i="75"/>
  <c r="S12" i="75"/>
  <c r="S11" i="75"/>
  <c r="S10" i="75"/>
  <c r="S9" i="75"/>
  <c r="S8" i="75"/>
  <c r="S7" i="75"/>
  <c r="S5" i="75"/>
  <c r="R5" i="75"/>
  <c r="R92" i="75"/>
  <c r="R91" i="75"/>
  <c r="R90" i="75"/>
  <c r="R89" i="75"/>
  <c r="R87" i="75"/>
  <c r="R86" i="75"/>
  <c r="R85" i="75"/>
  <c r="R84" i="75"/>
  <c r="R83" i="75"/>
  <c r="R81" i="75"/>
  <c r="R80" i="75"/>
  <c r="R78" i="75"/>
  <c r="R74" i="75"/>
  <c r="R73" i="75"/>
  <c r="R72" i="75"/>
  <c r="R71" i="75"/>
  <c r="R70" i="75"/>
  <c r="R69" i="75"/>
  <c r="R68" i="75"/>
  <c r="R67" i="75"/>
  <c r="R66" i="75"/>
  <c r="R65" i="75"/>
  <c r="R64" i="75"/>
  <c r="R63" i="75"/>
  <c r="R62" i="75"/>
  <c r="R59" i="75"/>
  <c r="R58" i="75"/>
  <c r="R54" i="75"/>
  <c r="R51" i="75"/>
  <c r="R50" i="75"/>
  <c r="R49" i="75"/>
  <c r="R48" i="75"/>
  <c r="R46" i="75"/>
  <c r="R45" i="75"/>
  <c r="R44" i="75"/>
  <c r="R42" i="75"/>
  <c r="R40" i="75"/>
  <c r="R38" i="75"/>
  <c r="R36" i="75"/>
  <c r="R34" i="75"/>
  <c r="R32" i="75"/>
  <c r="R31" i="75"/>
  <c r="R30" i="75"/>
  <c r="R29" i="75"/>
  <c r="R25" i="75"/>
  <c r="R24" i="75"/>
  <c r="R23" i="75"/>
  <c r="R22" i="75"/>
  <c r="R21" i="75"/>
  <c r="R20" i="75"/>
  <c r="R18" i="75"/>
  <c r="R15" i="75"/>
  <c r="R13" i="75"/>
  <c r="R12" i="75"/>
  <c r="R11" i="75"/>
  <c r="R101" i="75"/>
  <c r="R100" i="75"/>
  <c r="R99" i="75"/>
  <c r="R98" i="75"/>
  <c r="R97" i="75"/>
  <c r="R96" i="75"/>
  <c r="R95" i="75"/>
  <c r="R94" i="75"/>
  <c r="P101" i="75"/>
  <c r="P100" i="75"/>
  <c r="P99" i="75"/>
  <c r="P98" i="75"/>
  <c r="P97" i="75"/>
  <c r="P96" i="75"/>
  <c r="P95" i="75"/>
  <c r="P94" i="75"/>
  <c r="P92" i="75"/>
  <c r="P91" i="75"/>
  <c r="P90" i="75"/>
  <c r="P89" i="75"/>
  <c r="P87" i="75"/>
  <c r="P86" i="75"/>
  <c r="P85" i="75"/>
  <c r="P84" i="75"/>
  <c r="P83" i="75"/>
  <c r="P81" i="75"/>
  <c r="P80" i="75"/>
  <c r="P78" i="75"/>
  <c r="P74" i="75"/>
  <c r="P73" i="75"/>
  <c r="P72" i="75"/>
  <c r="P71" i="75"/>
  <c r="P70" i="75"/>
  <c r="P69" i="75"/>
  <c r="P68" i="75"/>
  <c r="P67" i="75"/>
  <c r="P66" i="75"/>
  <c r="P65" i="75"/>
  <c r="P64" i="75"/>
  <c r="P63" i="75"/>
  <c r="P62" i="75"/>
  <c r="P59" i="75"/>
  <c r="P58" i="75"/>
  <c r="P54" i="75"/>
  <c r="P51" i="75"/>
  <c r="P50" i="75"/>
  <c r="P49" i="75"/>
  <c r="P48" i="75"/>
  <c r="P46" i="75"/>
  <c r="P45" i="75"/>
  <c r="P44" i="75"/>
  <c r="P42" i="75"/>
  <c r="P40" i="75"/>
  <c r="P38" i="75"/>
  <c r="P36" i="75"/>
  <c r="P34" i="75"/>
  <c r="P32" i="75"/>
  <c r="P31" i="75"/>
  <c r="P30" i="75"/>
  <c r="P29" i="75"/>
  <c r="P25" i="75"/>
  <c r="P24" i="75"/>
  <c r="P23" i="75"/>
  <c r="P22" i="75"/>
  <c r="P21" i="75"/>
  <c r="P20" i="75"/>
  <c r="P18" i="75"/>
  <c r="P15" i="75"/>
  <c r="P13" i="75"/>
  <c r="P12" i="75"/>
  <c r="P11" i="75"/>
  <c r="P10" i="75"/>
  <c r="P9" i="75"/>
  <c r="P8" i="75"/>
  <c r="P7" i="75"/>
  <c r="P5" i="75"/>
  <c r="O101" i="75"/>
  <c r="O100" i="75"/>
  <c r="O99" i="75"/>
  <c r="O98" i="75"/>
  <c r="O97" i="75"/>
  <c r="O96" i="75"/>
  <c r="O95" i="75"/>
  <c r="O94" i="75"/>
  <c r="O92" i="75"/>
  <c r="O91" i="75"/>
  <c r="O90" i="75"/>
  <c r="O89" i="75"/>
  <c r="O87" i="75"/>
  <c r="O86" i="75"/>
  <c r="O85" i="75"/>
  <c r="O84" i="75"/>
  <c r="O83" i="75"/>
  <c r="O81" i="75"/>
  <c r="O80" i="75"/>
  <c r="O78" i="75"/>
  <c r="O74" i="75"/>
  <c r="O73" i="75"/>
  <c r="O72" i="75"/>
  <c r="O71" i="75"/>
  <c r="O70" i="75"/>
  <c r="O69" i="75"/>
  <c r="O68" i="75"/>
  <c r="O67" i="75"/>
  <c r="O66" i="75"/>
  <c r="O65" i="75"/>
  <c r="O64" i="75"/>
  <c r="O63" i="75"/>
  <c r="O62" i="75"/>
  <c r="O59" i="75"/>
  <c r="O58" i="75"/>
  <c r="O54" i="75"/>
  <c r="O51" i="75"/>
  <c r="O50" i="75"/>
  <c r="O49" i="75"/>
  <c r="O48" i="75"/>
  <c r="O46" i="75"/>
  <c r="O45" i="75"/>
  <c r="O44" i="75"/>
  <c r="O42" i="75"/>
  <c r="O40" i="75"/>
  <c r="O38" i="75"/>
  <c r="O36" i="75"/>
  <c r="O34" i="75"/>
  <c r="O32" i="75"/>
  <c r="O31" i="75"/>
  <c r="O30" i="75"/>
  <c r="O29" i="75"/>
  <c r="O25" i="75"/>
  <c r="O24" i="75"/>
  <c r="O23" i="75"/>
  <c r="O22" i="75"/>
  <c r="O21" i="75"/>
  <c r="O20" i="75"/>
  <c r="O18" i="75"/>
  <c r="O15" i="75"/>
  <c r="O13" i="75"/>
  <c r="O12" i="75"/>
  <c r="O11" i="75"/>
  <c r="O10" i="75"/>
  <c r="O9" i="75"/>
  <c r="O8" i="75"/>
  <c r="O7" i="75"/>
  <c r="O5" i="75"/>
  <c r="N101" i="75"/>
  <c r="N100" i="75"/>
  <c r="N99" i="75"/>
  <c r="N98" i="75"/>
  <c r="N97" i="75"/>
  <c r="N96" i="75"/>
  <c r="N95" i="75"/>
  <c r="N94" i="75"/>
  <c r="N92" i="75"/>
  <c r="N91" i="75"/>
  <c r="N90" i="75"/>
  <c r="N89" i="75"/>
  <c r="N87" i="75"/>
  <c r="N86" i="75"/>
  <c r="N85" i="75"/>
  <c r="N84" i="75"/>
  <c r="N83" i="75"/>
  <c r="N81" i="75"/>
  <c r="N80" i="75"/>
  <c r="N78" i="75"/>
  <c r="N74" i="75"/>
  <c r="N73" i="75"/>
  <c r="N72" i="75"/>
  <c r="N71" i="75"/>
  <c r="N70" i="75"/>
  <c r="N69" i="75"/>
  <c r="N68" i="75"/>
  <c r="N67" i="75"/>
  <c r="N66" i="75"/>
  <c r="N65" i="75"/>
  <c r="N64" i="75"/>
  <c r="N63" i="75"/>
  <c r="N62" i="75"/>
  <c r="N59" i="75"/>
  <c r="N58" i="75"/>
  <c r="N54" i="75"/>
  <c r="N51" i="75"/>
  <c r="N50" i="75"/>
  <c r="N49" i="75"/>
  <c r="N48" i="75"/>
  <c r="N46" i="75"/>
  <c r="N45" i="75"/>
  <c r="N44" i="75"/>
  <c r="N42" i="75"/>
  <c r="N40" i="75"/>
  <c r="N38" i="75"/>
  <c r="N36" i="75"/>
  <c r="N34" i="75"/>
  <c r="N32" i="75"/>
  <c r="N31" i="75"/>
  <c r="N30" i="75"/>
  <c r="N29" i="75"/>
  <c r="N25" i="75"/>
  <c r="N24" i="75"/>
  <c r="N23" i="75"/>
  <c r="N22" i="75"/>
  <c r="N21" i="75"/>
  <c r="N20" i="75"/>
  <c r="N18" i="75"/>
  <c r="N15" i="75"/>
  <c r="N13" i="75"/>
  <c r="N12" i="75"/>
  <c r="N11" i="75"/>
  <c r="N10" i="75"/>
  <c r="N9" i="75"/>
  <c r="N8" i="75"/>
  <c r="N7" i="75"/>
  <c r="N5" i="75"/>
  <c r="M5" i="75"/>
  <c r="M7" i="75"/>
  <c r="M8" i="75"/>
  <c r="M9" i="75"/>
  <c r="M10" i="75"/>
  <c r="M11" i="75"/>
  <c r="M12" i="75"/>
  <c r="M13" i="75"/>
  <c r="M15" i="75"/>
  <c r="M18" i="75"/>
  <c r="M20" i="75"/>
  <c r="M21" i="75"/>
  <c r="M22" i="75"/>
  <c r="M23" i="75"/>
  <c r="M24" i="75"/>
  <c r="M25" i="75"/>
  <c r="M29" i="75"/>
  <c r="M30" i="75"/>
  <c r="M31" i="75"/>
  <c r="M32" i="75"/>
  <c r="M34" i="75"/>
  <c r="M36" i="75"/>
  <c r="M38" i="75"/>
  <c r="M40" i="75"/>
  <c r="M42" i="75"/>
  <c r="M44" i="75"/>
  <c r="M45" i="75"/>
  <c r="M46" i="75"/>
  <c r="M48" i="75"/>
  <c r="M49" i="75"/>
  <c r="M50" i="75"/>
  <c r="M51" i="75"/>
  <c r="M54" i="75"/>
  <c r="M58" i="75"/>
  <c r="M59" i="75"/>
  <c r="M62" i="75"/>
  <c r="M63" i="75"/>
  <c r="M64" i="75"/>
  <c r="M65" i="75"/>
  <c r="M66" i="75"/>
  <c r="M67" i="75"/>
  <c r="M68" i="75"/>
  <c r="M69" i="75"/>
  <c r="M70" i="75"/>
  <c r="M71" i="75"/>
  <c r="M72" i="75"/>
  <c r="M73" i="75"/>
  <c r="M74" i="75"/>
  <c r="M78" i="75"/>
  <c r="M80" i="75"/>
  <c r="M81" i="75"/>
  <c r="M83" i="75"/>
  <c r="M84" i="75"/>
  <c r="M85" i="75"/>
  <c r="M86" i="75"/>
  <c r="M87" i="75"/>
  <c r="M89" i="75"/>
  <c r="M90" i="75"/>
  <c r="M91" i="75"/>
  <c r="M92" i="75"/>
  <c r="M94" i="75"/>
  <c r="M95" i="75"/>
  <c r="M96" i="75"/>
  <c r="M97" i="75"/>
  <c r="M98" i="75"/>
  <c r="M99" i="75"/>
  <c r="M100" i="75"/>
  <c r="M101" i="75"/>
  <c r="L5" i="75"/>
  <c r="L7" i="75"/>
  <c r="L8" i="75"/>
  <c r="L9" i="75"/>
  <c r="L10" i="75"/>
  <c r="L11" i="75"/>
  <c r="L12" i="75"/>
  <c r="L13" i="75"/>
  <c r="L15" i="75"/>
  <c r="L18" i="75"/>
  <c r="L20" i="75"/>
  <c r="L21" i="75"/>
  <c r="L22" i="75"/>
  <c r="L23" i="75"/>
  <c r="L24" i="75"/>
  <c r="L25" i="75"/>
  <c r="L29" i="75"/>
  <c r="L30" i="75"/>
  <c r="L31" i="75"/>
  <c r="L32" i="75"/>
  <c r="L34" i="75"/>
  <c r="L36" i="75"/>
  <c r="L38" i="75"/>
  <c r="L40" i="75"/>
  <c r="L42" i="75"/>
  <c r="L44" i="75"/>
  <c r="L45" i="75"/>
  <c r="L46" i="75"/>
  <c r="L48" i="75"/>
  <c r="L49" i="75"/>
  <c r="L50" i="75"/>
  <c r="L51" i="75"/>
  <c r="L54" i="75"/>
  <c r="L58" i="75"/>
  <c r="L59" i="75"/>
  <c r="L62" i="75"/>
  <c r="L63" i="75"/>
  <c r="L64" i="75"/>
  <c r="L65" i="75"/>
  <c r="L66" i="75"/>
  <c r="L67" i="75"/>
  <c r="L68" i="75"/>
  <c r="L69" i="75"/>
  <c r="L70" i="75"/>
  <c r="L71" i="75"/>
  <c r="L72" i="75"/>
  <c r="L73" i="75"/>
  <c r="L74" i="75"/>
  <c r="L78" i="75"/>
  <c r="L80" i="75"/>
  <c r="L81" i="75"/>
  <c r="L83" i="75"/>
  <c r="L84" i="75"/>
  <c r="L85" i="75"/>
  <c r="L86" i="75"/>
  <c r="L87" i="75"/>
  <c r="L89" i="75"/>
  <c r="L90" i="75"/>
  <c r="L91" i="75"/>
  <c r="L92" i="75"/>
  <c r="L94" i="75"/>
  <c r="L95" i="75"/>
  <c r="L96" i="75"/>
  <c r="L97" i="75"/>
  <c r="L98" i="75"/>
  <c r="L99" i="75"/>
  <c r="L100" i="75"/>
  <c r="L101" i="75"/>
  <c r="K5" i="75"/>
  <c r="K7" i="75"/>
  <c r="K8" i="75"/>
  <c r="K9" i="75"/>
  <c r="K10" i="75"/>
  <c r="K11" i="75"/>
  <c r="K12" i="75"/>
  <c r="K13" i="75"/>
  <c r="K15" i="75"/>
  <c r="K18" i="75"/>
  <c r="K20" i="75"/>
  <c r="K21" i="75"/>
  <c r="K22" i="75"/>
  <c r="K23" i="75"/>
  <c r="K24" i="75"/>
  <c r="K25" i="75"/>
  <c r="K29" i="75"/>
  <c r="K30" i="75"/>
  <c r="K31" i="75"/>
  <c r="K32" i="75"/>
  <c r="K34" i="75"/>
  <c r="K36" i="75"/>
  <c r="K38" i="75"/>
  <c r="K40" i="75"/>
  <c r="K42" i="75"/>
  <c r="K44" i="75"/>
  <c r="K45" i="75"/>
  <c r="K46" i="75"/>
  <c r="K48" i="75"/>
  <c r="K49" i="75"/>
  <c r="K50" i="75"/>
  <c r="K51" i="75"/>
  <c r="K54" i="75"/>
  <c r="K58" i="75"/>
  <c r="K59" i="75"/>
  <c r="K62" i="75"/>
  <c r="K63" i="75"/>
  <c r="K64" i="75"/>
  <c r="K65" i="75"/>
  <c r="K66" i="75"/>
  <c r="K67" i="75"/>
  <c r="K68" i="75"/>
  <c r="K69" i="75"/>
  <c r="K70" i="75"/>
  <c r="K71" i="75"/>
  <c r="K72" i="75"/>
  <c r="K73" i="75"/>
  <c r="K74" i="75"/>
  <c r="K78" i="75"/>
  <c r="K80" i="75"/>
  <c r="K81" i="75"/>
  <c r="K83" i="75"/>
  <c r="K84" i="75"/>
  <c r="K85" i="75"/>
  <c r="K86" i="75"/>
  <c r="K87" i="75"/>
  <c r="K89" i="75"/>
  <c r="K90" i="75"/>
  <c r="K91" i="75"/>
  <c r="K92" i="75"/>
  <c r="K94" i="75"/>
  <c r="K95" i="75"/>
  <c r="K96" i="75"/>
  <c r="K97" i="75"/>
  <c r="K98" i="75"/>
  <c r="K99" i="75"/>
  <c r="K100" i="75"/>
  <c r="K101" i="75"/>
  <c r="J5" i="75"/>
  <c r="J7" i="75"/>
  <c r="J8" i="75"/>
  <c r="J9" i="75"/>
  <c r="J10" i="75"/>
  <c r="J11" i="75"/>
  <c r="J12" i="75"/>
  <c r="J13" i="75"/>
  <c r="J15" i="75"/>
  <c r="J18" i="75"/>
  <c r="J20" i="75"/>
  <c r="J21" i="75"/>
  <c r="J22" i="75"/>
  <c r="J23" i="75"/>
  <c r="J24" i="75"/>
  <c r="J25" i="75"/>
  <c r="J29" i="75"/>
  <c r="J30" i="75"/>
  <c r="J31" i="75"/>
  <c r="J32" i="75"/>
  <c r="J34" i="75"/>
  <c r="J36" i="75"/>
  <c r="J38" i="75"/>
  <c r="J40" i="75"/>
  <c r="J42" i="75"/>
  <c r="J44" i="75"/>
  <c r="J45" i="75"/>
  <c r="J46" i="75"/>
  <c r="J48" i="75"/>
  <c r="J49" i="75"/>
  <c r="J50" i="75"/>
  <c r="J51" i="75"/>
  <c r="J54" i="75"/>
  <c r="J58" i="75"/>
  <c r="J59" i="75"/>
  <c r="J62" i="75"/>
  <c r="J63" i="75"/>
  <c r="J64" i="75"/>
  <c r="J65" i="75"/>
  <c r="J66" i="75"/>
  <c r="J67" i="75"/>
  <c r="J68" i="75"/>
  <c r="J69" i="75"/>
  <c r="J70" i="75"/>
  <c r="J71" i="75"/>
  <c r="J72" i="75"/>
  <c r="J73" i="75"/>
  <c r="J74" i="75"/>
  <c r="J78" i="75"/>
  <c r="J80" i="75"/>
  <c r="J81" i="75"/>
  <c r="J83" i="75"/>
  <c r="J84" i="75"/>
  <c r="J85" i="75"/>
  <c r="J86" i="75"/>
  <c r="J87" i="75"/>
  <c r="J89" i="75"/>
  <c r="J90" i="75"/>
  <c r="J91" i="75"/>
  <c r="J92" i="75"/>
  <c r="J94" i="75"/>
  <c r="J95" i="75"/>
  <c r="J96" i="75"/>
  <c r="J97" i="75"/>
  <c r="J98" i="75"/>
  <c r="J99" i="75"/>
  <c r="J100" i="75"/>
  <c r="J101" i="75"/>
  <c r="I5" i="75"/>
  <c r="I7" i="75"/>
  <c r="I8" i="75"/>
  <c r="I9" i="75"/>
  <c r="I10" i="75"/>
  <c r="I11" i="75"/>
  <c r="I12" i="75"/>
  <c r="I13" i="75"/>
  <c r="I15" i="75"/>
  <c r="I18" i="75"/>
  <c r="I20" i="75"/>
  <c r="I21" i="75"/>
  <c r="I22" i="75"/>
  <c r="I23" i="75"/>
  <c r="I24" i="75"/>
  <c r="I25" i="75"/>
  <c r="I29" i="75"/>
  <c r="I30" i="75"/>
  <c r="I31" i="75"/>
  <c r="I32" i="75"/>
  <c r="I34" i="75"/>
  <c r="I36" i="75"/>
  <c r="I38" i="75"/>
  <c r="I40" i="75"/>
  <c r="I42" i="75"/>
  <c r="I44" i="75"/>
  <c r="I45" i="75"/>
  <c r="I46" i="75"/>
  <c r="I48" i="75"/>
  <c r="I49" i="75"/>
  <c r="I50" i="75"/>
  <c r="I51" i="75"/>
  <c r="I54" i="75"/>
  <c r="I58" i="75"/>
  <c r="I59" i="75"/>
  <c r="I62" i="75"/>
  <c r="I63" i="75"/>
  <c r="I64" i="75"/>
  <c r="I65" i="75"/>
  <c r="I66" i="75"/>
  <c r="I67" i="75"/>
  <c r="I68" i="75"/>
  <c r="I69" i="75"/>
  <c r="I70" i="75"/>
  <c r="I71" i="75"/>
  <c r="I72" i="75"/>
  <c r="I73" i="75"/>
  <c r="I74" i="75"/>
  <c r="I78" i="75"/>
  <c r="I80" i="75"/>
  <c r="I81" i="75"/>
  <c r="I83" i="75"/>
  <c r="I84" i="75"/>
  <c r="I85" i="75"/>
  <c r="I86" i="75"/>
  <c r="I87" i="75"/>
  <c r="I89" i="75"/>
  <c r="I90" i="75"/>
  <c r="I91" i="75"/>
  <c r="I92" i="75"/>
  <c r="I94" i="75"/>
  <c r="I95" i="75"/>
  <c r="I96" i="75"/>
  <c r="I97" i="75"/>
  <c r="I98" i="75"/>
  <c r="I99" i="75"/>
  <c r="I100" i="75"/>
  <c r="I101" i="75"/>
  <c r="H5" i="75"/>
  <c r="H7" i="75"/>
  <c r="H8" i="75"/>
  <c r="H9" i="75"/>
  <c r="H10" i="75"/>
  <c r="H11" i="75"/>
  <c r="H12" i="75"/>
  <c r="H13" i="75"/>
  <c r="H15" i="75"/>
  <c r="H18" i="75"/>
  <c r="H20" i="75"/>
  <c r="H21" i="75"/>
  <c r="H22" i="75"/>
  <c r="H23" i="75"/>
  <c r="H24" i="75"/>
  <c r="H25" i="75"/>
  <c r="H29" i="75"/>
  <c r="H30" i="75"/>
  <c r="H31" i="75"/>
  <c r="H32" i="75"/>
  <c r="H34" i="75"/>
  <c r="H36" i="75"/>
  <c r="H38" i="75"/>
  <c r="H40" i="75"/>
  <c r="H42" i="75"/>
  <c r="H44" i="75"/>
  <c r="H45" i="75"/>
  <c r="H46" i="75"/>
  <c r="H48" i="75"/>
  <c r="H49" i="75"/>
  <c r="H50" i="75"/>
  <c r="H51" i="75"/>
  <c r="H54" i="75"/>
  <c r="H58" i="75"/>
  <c r="H59" i="75"/>
  <c r="H62" i="75"/>
  <c r="H63" i="75"/>
  <c r="H64" i="75"/>
  <c r="H65" i="75"/>
  <c r="H66" i="75"/>
  <c r="H67" i="75"/>
  <c r="H68" i="75"/>
  <c r="H69" i="75"/>
  <c r="H70" i="75"/>
  <c r="H71" i="75"/>
  <c r="H72" i="75"/>
  <c r="H73" i="75"/>
  <c r="H74" i="75"/>
  <c r="H78" i="75"/>
  <c r="H80" i="75"/>
  <c r="H81" i="75"/>
  <c r="H83" i="75"/>
  <c r="H84" i="75"/>
  <c r="H85" i="75"/>
  <c r="H86" i="75"/>
  <c r="H87" i="75"/>
  <c r="H89" i="75"/>
  <c r="H90" i="75"/>
  <c r="H91" i="75"/>
  <c r="H92" i="75"/>
  <c r="H94" i="75"/>
  <c r="H95" i="75"/>
  <c r="H96" i="75"/>
  <c r="H97" i="75"/>
  <c r="H98" i="75"/>
  <c r="H99" i="75"/>
  <c r="H100" i="75"/>
  <c r="H101" i="75"/>
  <c r="I17" i="78"/>
  <c r="H17" i="78"/>
  <c r="G17" i="78"/>
  <c r="F17" i="78"/>
  <c r="E17" i="78"/>
  <c r="D17" i="78"/>
  <c r="Q17" i="78"/>
  <c r="P17" i="78"/>
  <c r="O17" i="78"/>
  <c r="N17" i="78"/>
  <c r="M17" i="78"/>
  <c r="L17" i="78"/>
  <c r="K17" i="78"/>
  <c r="J17" i="78"/>
  <c r="P16" i="78"/>
  <c r="O16" i="78"/>
  <c r="N16" i="78"/>
  <c r="M16" i="78"/>
  <c r="L16" i="78"/>
  <c r="K16" i="78"/>
  <c r="J16" i="78"/>
  <c r="Q16" i="78"/>
  <c r="I16" i="78"/>
  <c r="H16" i="78"/>
  <c r="G16" i="78"/>
  <c r="F16" i="78"/>
  <c r="E16" i="78"/>
  <c r="D16" i="78"/>
  <c r="D15" i="78"/>
  <c r="E15" i="78"/>
  <c r="F15" i="78"/>
  <c r="G15" i="78"/>
  <c r="Q15" i="78"/>
  <c r="H15" i="78"/>
  <c r="I15" i="78"/>
  <c r="P15" i="78"/>
  <c r="O15" i="78"/>
  <c r="N15" i="78"/>
  <c r="M15" i="78"/>
  <c r="L15" i="78"/>
  <c r="K15" i="78"/>
  <c r="J15" i="78"/>
  <c r="P14" i="78"/>
  <c r="O14" i="78"/>
  <c r="N14" i="78"/>
  <c r="M14" i="78"/>
  <c r="L14" i="78"/>
  <c r="K14" i="78"/>
  <c r="J14" i="78"/>
  <c r="Q14" i="78"/>
  <c r="I14" i="78"/>
  <c r="H14" i="78"/>
  <c r="G14" i="78"/>
  <c r="F14" i="78"/>
  <c r="E14" i="78"/>
  <c r="D14" i="78"/>
  <c r="Q13" i="78"/>
  <c r="P13" i="78"/>
  <c r="O13" i="78"/>
  <c r="N13" i="78"/>
  <c r="M13" i="78"/>
  <c r="L13" i="78"/>
  <c r="K13" i="78"/>
  <c r="J13" i="78"/>
  <c r="I13" i="78"/>
  <c r="H13" i="78"/>
  <c r="G13" i="78"/>
  <c r="F13" i="78"/>
  <c r="E13" i="78"/>
  <c r="D13" i="78"/>
  <c r="Q12" i="78"/>
  <c r="P12" i="78"/>
  <c r="O12" i="78"/>
  <c r="N12" i="78"/>
  <c r="M12" i="78"/>
  <c r="L12" i="78"/>
  <c r="K12" i="78"/>
  <c r="J12" i="78"/>
  <c r="I12" i="78"/>
  <c r="H12" i="78"/>
  <c r="G12" i="78"/>
  <c r="F12" i="78"/>
  <c r="E12" i="78"/>
  <c r="D12" i="78"/>
  <c r="P11" i="78"/>
  <c r="O11" i="78"/>
  <c r="N11" i="78"/>
  <c r="M11" i="78"/>
  <c r="L11" i="78"/>
  <c r="K11" i="78"/>
  <c r="J11" i="78"/>
  <c r="Q11" i="78"/>
  <c r="I11" i="78"/>
  <c r="H11" i="78"/>
  <c r="G11" i="78"/>
  <c r="F11" i="78"/>
  <c r="E11" i="78"/>
  <c r="D11" i="78"/>
  <c r="Q10" i="78"/>
  <c r="P10" i="78"/>
  <c r="O10" i="78"/>
  <c r="N10" i="78"/>
  <c r="M10" i="78"/>
  <c r="L10" i="78"/>
  <c r="K10" i="78"/>
  <c r="J10" i="78"/>
  <c r="I10" i="78"/>
  <c r="H10" i="78"/>
  <c r="G10" i="78"/>
  <c r="F10" i="78"/>
  <c r="E10" i="78"/>
  <c r="D10" i="78"/>
  <c r="C1" i="53"/>
  <c r="C3" i="54"/>
  <c r="C1" i="54"/>
  <c r="AB124" i="7"/>
  <c r="AA124" i="7"/>
  <c r="Z124" i="7"/>
  <c r="X124" i="7"/>
  <c r="W124" i="7"/>
  <c r="AB123" i="7"/>
  <c r="AA123" i="7"/>
  <c r="Z123" i="7"/>
  <c r="X123" i="7"/>
  <c r="W123" i="7"/>
  <c r="AB122" i="7"/>
  <c r="AA122" i="7"/>
  <c r="Z122" i="7"/>
  <c r="X122" i="7"/>
  <c r="W122" i="7"/>
  <c r="AB121" i="7"/>
  <c r="AA121" i="7"/>
  <c r="Z121" i="7"/>
  <c r="X121" i="7"/>
  <c r="W121" i="7"/>
  <c r="AB120" i="7"/>
  <c r="AA120" i="7"/>
  <c r="Z120" i="7"/>
  <c r="X120" i="7"/>
  <c r="W120" i="7"/>
  <c r="V120" i="7"/>
  <c r="AB119" i="7"/>
  <c r="AA119" i="7"/>
  <c r="Z119" i="7"/>
  <c r="X119" i="7"/>
  <c r="W119" i="7"/>
  <c r="V119" i="7"/>
  <c r="AB118" i="7"/>
  <c r="AA118" i="7"/>
  <c r="Z118" i="7"/>
  <c r="X118" i="7"/>
  <c r="W118" i="7"/>
  <c r="V118" i="7"/>
  <c r="AB117" i="7"/>
  <c r="AA117" i="7"/>
  <c r="Z117" i="7"/>
  <c r="X117" i="7"/>
  <c r="W117" i="7"/>
  <c r="V117" i="7"/>
  <c r="AB116" i="7"/>
  <c r="AA116" i="7"/>
  <c r="Z116" i="7"/>
  <c r="X116" i="7"/>
  <c r="W116" i="7"/>
  <c r="V116" i="7"/>
  <c r="AB115" i="7"/>
  <c r="AA115" i="7"/>
  <c r="Z115" i="7"/>
  <c r="X115" i="7"/>
  <c r="W115" i="7"/>
  <c r="V115" i="7"/>
  <c r="AB114" i="7"/>
  <c r="AA114" i="7"/>
  <c r="Z114" i="7"/>
  <c r="X114" i="7"/>
  <c r="W114" i="7"/>
  <c r="V114" i="7"/>
  <c r="AB113" i="7"/>
  <c r="AA113" i="7"/>
  <c r="Z113" i="7"/>
  <c r="X113" i="7"/>
  <c r="W113" i="7"/>
  <c r="V113" i="7"/>
  <c r="AB112" i="7"/>
  <c r="AA112" i="7"/>
  <c r="Z112" i="7"/>
  <c r="X112" i="7"/>
  <c r="W112" i="7"/>
  <c r="V112" i="7"/>
  <c r="AB111" i="7"/>
  <c r="AA111" i="7"/>
  <c r="Z111" i="7"/>
  <c r="X111" i="7"/>
  <c r="W111" i="7"/>
  <c r="V111" i="7"/>
  <c r="AB110" i="7"/>
  <c r="AA110" i="7"/>
  <c r="Z110" i="7"/>
  <c r="X110" i="7"/>
  <c r="W110" i="7"/>
  <c r="V110" i="7"/>
  <c r="AB109" i="7"/>
  <c r="AA109" i="7"/>
  <c r="Z109" i="7"/>
  <c r="X109" i="7"/>
  <c r="W109" i="7"/>
  <c r="V109" i="7"/>
  <c r="AB108" i="7"/>
  <c r="AA108" i="7"/>
  <c r="Z108" i="7"/>
  <c r="X108" i="7"/>
  <c r="W108" i="7"/>
  <c r="V108" i="7"/>
  <c r="AB107" i="7"/>
  <c r="AA107" i="7"/>
  <c r="Z107" i="7"/>
  <c r="X107" i="7"/>
  <c r="W107" i="7"/>
  <c r="V107" i="7"/>
  <c r="AB106" i="7"/>
  <c r="AA106" i="7"/>
  <c r="Z106" i="7"/>
  <c r="X106" i="7"/>
  <c r="W106" i="7"/>
  <c r="V106" i="7"/>
  <c r="U38" i="75"/>
  <c r="AP38" i="75"/>
  <c r="AO38" i="75"/>
  <c r="AN38" i="75"/>
  <c r="AM38" i="75"/>
  <c r="AL38" i="75"/>
  <c r="AK38" i="75"/>
  <c r="AJ38" i="75"/>
  <c r="AI38" i="75"/>
  <c r="AG38" i="75"/>
  <c r="AF38" i="75"/>
  <c r="AE38" i="75"/>
  <c r="AD38" i="75"/>
  <c r="AB38" i="75"/>
  <c r="AA38" i="75"/>
  <c r="Z38" i="75"/>
  <c r="V38" i="75"/>
  <c r="G13" i="75"/>
  <c r="F11" i="75"/>
  <c r="G22" i="78"/>
  <c r="F22" i="78"/>
  <c r="D22" i="78"/>
  <c r="C22" i="78"/>
  <c r="G21" i="78"/>
  <c r="F21" i="78"/>
  <c r="D21" i="78"/>
  <c r="C21" i="78"/>
  <c r="G20" i="78"/>
  <c r="F20" i="78"/>
  <c r="D20" i="78"/>
  <c r="C20" i="78"/>
  <c r="G19" i="78"/>
  <c r="F19" i="78"/>
  <c r="D19" i="78"/>
  <c r="C19" i="78"/>
  <c r="G18" i="78"/>
  <c r="F18" i="78"/>
  <c r="D18" i="78"/>
  <c r="C18" i="78"/>
  <c r="Q9" i="78"/>
  <c r="P9" i="78"/>
  <c r="O9" i="78"/>
  <c r="N9" i="78"/>
  <c r="M9" i="78"/>
  <c r="L9" i="78"/>
  <c r="K9" i="78"/>
  <c r="J9" i="78"/>
  <c r="I9" i="78"/>
  <c r="H9" i="78"/>
  <c r="G9" i="78"/>
  <c r="F9" i="78"/>
  <c r="E9" i="78"/>
  <c r="D9" i="78"/>
  <c r="G5" i="75"/>
  <c r="G6" i="75"/>
  <c r="G11" i="75"/>
  <c r="G12" i="75"/>
  <c r="Q8" i="78"/>
  <c r="P8" i="78"/>
  <c r="O8" i="78"/>
  <c r="N8" i="78"/>
  <c r="M8" i="78"/>
  <c r="L8" i="78"/>
  <c r="K8" i="78"/>
  <c r="J8" i="78"/>
  <c r="I8" i="78"/>
  <c r="H8" i="78"/>
  <c r="G8" i="78"/>
  <c r="F8" i="78"/>
  <c r="E8" i="78"/>
  <c r="D8" i="78"/>
  <c r="F5" i="75"/>
  <c r="F6" i="75"/>
  <c r="F13" i="75"/>
  <c r="F12" i="75"/>
  <c r="Q7" i="78"/>
  <c r="P7" i="78"/>
  <c r="O7" i="78"/>
  <c r="N7" i="78"/>
  <c r="M7" i="78"/>
  <c r="L7" i="78"/>
  <c r="K7" i="78"/>
  <c r="J7" i="78"/>
  <c r="I7" i="78"/>
  <c r="H7" i="78"/>
  <c r="G7" i="78"/>
  <c r="F7" i="78"/>
  <c r="E7" i="78"/>
  <c r="D7" i="78"/>
  <c r="E5" i="75"/>
  <c r="E6" i="75"/>
  <c r="E11" i="75"/>
  <c r="E13" i="75"/>
  <c r="E12" i="75"/>
  <c r="Q6" i="78"/>
  <c r="P6" i="78"/>
  <c r="O6" i="78"/>
  <c r="N6" i="78"/>
  <c r="M6" i="78"/>
  <c r="L6" i="78"/>
  <c r="K6" i="78"/>
  <c r="J6" i="78"/>
  <c r="I6" i="78"/>
  <c r="H6" i="78"/>
  <c r="G6" i="78"/>
  <c r="F6" i="78"/>
  <c r="E6" i="78"/>
  <c r="D6" i="78"/>
  <c r="D5" i="75"/>
  <c r="D6" i="75"/>
  <c r="D11" i="75"/>
  <c r="D13" i="75"/>
  <c r="D12" i="75"/>
  <c r="P5" i="78"/>
  <c r="O5" i="78"/>
  <c r="N5" i="78"/>
  <c r="M5" i="78"/>
  <c r="L5" i="78"/>
  <c r="J5" i="78"/>
  <c r="I5" i="78"/>
  <c r="H5" i="78"/>
  <c r="A2" i="78"/>
  <c r="BD104" i="75"/>
  <c r="BD103" i="75"/>
  <c r="BO101" i="75"/>
  <c r="BM101" i="75"/>
  <c r="BL101" i="75"/>
  <c r="BK101" i="75"/>
  <c r="BJ101" i="75"/>
  <c r="BE101" i="75"/>
  <c r="BC101" i="75"/>
  <c r="AZ101" i="75"/>
  <c r="AU101" i="75"/>
  <c r="AT101" i="75"/>
  <c r="AS101" i="75"/>
  <c r="AR101" i="75"/>
  <c r="AP101" i="75"/>
  <c r="AO101" i="75"/>
  <c r="AM101" i="75"/>
  <c r="AJ101" i="75"/>
  <c r="AI101" i="75"/>
  <c r="AH101" i="75"/>
  <c r="AG101" i="75"/>
  <c r="AF101" i="75"/>
  <c r="AB101" i="75"/>
  <c r="Z101" i="75"/>
  <c r="V101" i="75"/>
  <c r="U101" i="75"/>
  <c r="AQ101" i="75"/>
  <c r="G101" i="75"/>
  <c r="F101" i="75"/>
  <c r="E101" i="75"/>
  <c r="D101" i="75"/>
  <c r="C101" i="75"/>
  <c r="BO100" i="75"/>
  <c r="BM100" i="75"/>
  <c r="BK100" i="75"/>
  <c r="BJ100" i="75"/>
  <c r="BE100" i="75"/>
  <c r="BC100" i="75"/>
  <c r="AZ100" i="75"/>
  <c r="AU100" i="75"/>
  <c r="AT100" i="75"/>
  <c r="AS100" i="75"/>
  <c r="AR100" i="75"/>
  <c r="AP100" i="75"/>
  <c r="AO100" i="75"/>
  <c r="AM100" i="75"/>
  <c r="AJ100" i="75"/>
  <c r="AI100" i="75"/>
  <c r="AH100" i="75"/>
  <c r="AG100" i="75"/>
  <c r="AF100" i="75"/>
  <c r="AF98" i="75"/>
  <c r="AF99" i="75"/>
  <c r="AB100" i="75"/>
  <c r="Z100" i="75"/>
  <c r="V100" i="75"/>
  <c r="U100" i="75"/>
  <c r="AQ100" i="75"/>
  <c r="G100" i="75"/>
  <c r="F100" i="75"/>
  <c r="E100" i="75"/>
  <c r="D100" i="75"/>
  <c r="C100" i="75"/>
  <c r="BO99" i="75"/>
  <c r="BM99" i="75"/>
  <c r="BL99" i="75"/>
  <c r="BK99" i="75"/>
  <c r="BJ99" i="75"/>
  <c r="BJ98" i="75"/>
  <c r="BE99" i="75"/>
  <c r="BC99" i="75"/>
  <c r="AZ99" i="75"/>
  <c r="AU99" i="75"/>
  <c r="AT99" i="75"/>
  <c r="AS99" i="75"/>
  <c r="AR99" i="75"/>
  <c r="AP99" i="75"/>
  <c r="AO99" i="75"/>
  <c r="AM99" i="75"/>
  <c r="AJ99" i="75"/>
  <c r="AI99" i="75"/>
  <c r="AH99" i="75"/>
  <c r="AG99" i="75"/>
  <c r="AB99" i="75"/>
  <c r="Z99" i="75"/>
  <c r="V99" i="75"/>
  <c r="U99" i="75"/>
  <c r="AQ99" i="75"/>
  <c r="G99" i="75"/>
  <c r="F99" i="75"/>
  <c r="E99" i="75"/>
  <c r="D99" i="75"/>
  <c r="C99" i="75"/>
  <c r="BO98" i="75"/>
  <c r="BM98" i="75"/>
  <c r="BK98" i="75"/>
  <c r="BE98" i="75"/>
  <c r="BC98" i="75"/>
  <c r="AZ98" i="75"/>
  <c r="AU98" i="75"/>
  <c r="AT98" i="75"/>
  <c r="AS98" i="75"/>
  <c r="AR98" i="75"/>
  <c r="AP98" i="75"/>
  <c r="AO98" i="75"/>
  <c r="AM98" i="75"/>
  <c r="AJ98" i="75"/>
  <c r="AI98" i="75"/>
  <c r="AH98" i="75"/>
  <c r="AG98" i="75"/>
  <c r="AB98" i="75"/>
  <c r="Z98" i="75"/>
  <c r="V98" i="75"/>
  <c r="U98" i="75"/>
  <c r="AQ98" i="75"/>
  <c r="Q102" i="75"/>
  <c r="G98" i="75"/>
  <c r="F98" i="75"/>
  <c r="E98" i="75"/>
  <c r="D98" i="75"/>
  <c r="C98" i="75"/>
  <c r="BN97" i="75"/>
  <c r="BN94" i="75"/>
  <c r="BN95" i="75"/>
  <c r="BN96" i="75"/>
  <c r="BM97" i="75"/>
  <c r="BL97" i="75"/>
  <c r="BE97" i="75"/>
  <c r="BC97" i="75"/>
  <c r="AZ97" i="75"/>
  <c r="AU97" i="75"/>
  <c r="AT97" i="75"/>
  <c r="AS97" i="75"/>
  <c r="AR97" i="75"/>
  <c r="AP97" i="75"/>
  <c r="AO97" i="75"/>
  <c r="AM97" i="75"/>
  <c r="AJ97" i="75"/>
  <c r="AI97" i="75"/>
  <c r="AH97" i="75"/>
  <c r="AG97" i="75"/>
  <c r="AF97" i="75"/>
  <c r="AB97" i="75"/>
  <c r="Z97" i="75"/>
  <c r="V97" i="75"/>
  <c r="U97" i="75"/>
  <c r="AQ97" i="75"/>
  <c r="G97" i="75"/>
  <c r="F97" i="75"/>
  <c r="E97" i="75"/>
  <c r="D97" i="75"/>
  <c r="C97" i="75"/>
  <c r="BM96" i="75"/>
  <c r="BE96" i="75"/>
  <c r="BC96" i="75"/>
  <c r="AZ96" i="75"/>
  <c r="AU96" i="75"/>
  <c r="AT96" i="75"/>
  <c r="AT94" i="75"/>
  <c r="AT95" i="75"/>
  <c r="AS96" i="75"/>
  <c r="AR96" i="75"/>
  <c r="AP96" i="75"/>
  <c r="AO96" i="75"/>
  <c r="AO94" i="75"/>
  <c r="AO95" i="75"/>
  <c r="AM96" i="75"/>
  <c r="AJ96" i="75"/>
  <c r="AI96" i="75"/>
  <c r="AH96" i="75"/>
  <c r="AH94" i="75"/>
  <c r="AH95" i="75"/>
  <c r="AG96" i="75"/>
  <c r="AF96" i="75"/>
  <c r="AB96" i="75"/>
  <c r="Z96" i="75"/>
  <c r="Z94" i="75"/>
  <c r="Z95" i="75"/>
  <c r="V96" i="75"/>
  <c r="U96" i="75"/>
  <c r="AQ96" i="75"/>
  <c r="G96" i="75"/>
  <c r="F96" i="75"/>
  <c r="E96" i="75"/>
  <c r="D96" i="75"/>
  <c r="C96" i="75"/>
  <c r="BM95" i="75"/>
  <c r="BL95" i="75"/>
  <c r="BI95" i="75"/>
  <c r="BH95" i="75"/>
  <c r="BE95" i="75"/>
  <c r="BD95" i="75"/>
  <c r="BC95" i="75"/>
  <c r="AZ95" i="75"/>
  <c r="AU95" i="75"/>
  <c r="AS95" i="75"/>
  <c r="AR95" i="75"/>
  <c r="AP95" i="75"/>
  <c r="AM95" i="75"/>
  <c r="AJ95" i="75"/>
  <c r="AI95" i="75"/>
  <c r="AG95" i="75"/>
  <c r="AF95" i="75"/>
  <c r="AB95" i="75"/>
  <c r="V95" i="75"/>
  <c r="U95" i="75"/>
  <c r="AQ95" i="75"/>
  <c r="G95" i="75"/>
  <c r="F95" i="75"/>
  <c r="E95" i="75"/>
  <c r="D95" i="75"/>
  <c r="C95" i="75"/>
  <c r="BM94" i="75"/>
  <c r="BI94" i="75"/>
  <c r="BH94" i="75"/>
  <c r="BE94" i="75"/>
  <c r="BD94" i="75"/>
  <c r="BC94" i="75"/>
  <c r="AZ94" i="75"/>
  <c r="AU94" i="75"/>
  <c r="AS94" i="75"/>
  <c r="AR94" i="75"/>
  <c r="AP94" i="75"/>
  <c r="AP93" i="75" s="1"/>
  <c r="AM94" i="75"/>
  <c r="AJ94" i="75"/>
  <c r="AI94" i="75"/>
  <c r="AG94" i="75"/>
  <c r="AF94" i="75"/>
  <c r="AF93" i="75" s="1"/>
  <c r="AB94" i="75"/>
  <c r="V94" i="75"/>
  <c r="U94" i="75"/>
  <c r="AQ94" i="75"/>
  <c r="G94" i="75"/>
  <c r="F94" i="75"/>
  <c r="E94" i="75"/>
  <c r="D94" i="75"/>
  <c r="C94" i="75"/>
  <c r="Q93" i="75"/>
  <c r="AQ92" i="75"/>
  <c r="G92" i="75"/>
  <c r="F92" i="75"/>
  <c r="E92" i="75"/>
  <c r="D92" i="75"/>
  <c r="C92" i="75"/>
  <c r="AQ91" i="75"/>
  <c r="G91" i="75"/>
  <c r="F91" i="75"/>
  <c r="E91" i="75"/>
  <c r="D91" i="75"/>
  <c r="C91" i="75"/>
  <c r="AQ90" i="75"/>
  <c r="G90" i="75"/>
  <c r="F90" i="75"/>
  <c r="E90" i="75"/>
  <c r="D90" i="75"/>
  <c r="C90" i="75"/>
  <c r="AQ89" i="75"/>
  <c r="Q88" i="75"/>
  <c r="G89" i="75"/>
  <c r="F89" i="75"/>
  <c r="E89" i="75"/>
  <c r="D89" i="75"/>
  <c r="C89" i="75"/>
  <c r="AP87" i="75"/>
  <c r="AO87" i="75"/>
  <c r="AN87" i="75"/>
  <c r="AM87" i="75"/>
  <c r="AL87" i="75"/>
  <c r="AK87" i="75"/>
  <c r="AJ87" i="75"/>
  <c r="AI87" i="75"/>
  <c r="AG87" i="75"/>
  <c r="AF87" i="75"/>
  <c r="AE87" i="75"/>
  <c r="AD87" i="75"/>
  <c r="AB87" i="75"/>
  <c r="AA87" i="75"/>
  <c r="Z87" i="75"/>
  <c r="V87" i="75"/>
  <c r="U87" i="75"/>
  <c r="AQ87" i="75"/>
  <c r="G87" i="75"/>
  <c r="F87" i="75"/>
  <c r="E87" i="75"/>
  <c r="D87" i="75"/>
  <c r="C87" i="75"/>
  <c r="AP86" i="75"/>
  <c r="AO86" i="75"/>
  <c r="AN86" i="75"/>
  <c r="AM86" i="75"/>
  <c r="AL86" i="75"/>
  <c r="AK86" i="75"/>
  <c r="AJ86" i="75"/>
  <c r="AI86" i="75"/>
  <c r="AG86" i="75"/>
  <c r="AF86" i="75"/>
  <c r="AE86" i="75"/>
  <c r="AD86" i="75"/>
  <c r="AB86" i="75"/>
  <c r="AA86" i="75"/>
  <c r="Z86" i="75"/>
  <c r="V86" i="75"/>
  <c r="U86" i="75"/>
  <c r="AQ86" i="75"/>
  <c r="G86" i="75"/>
  <c r="F86" i="75"/>
  <c r="E86" i="75"/>
  <c r="D86" i="75"/>
  <c r="C86" i="75"/>
  <c r="AP85" i="75"/>
  <c r="AO85" i="75"/>
  <c r="AN85" i="75"/>
  <c r="AM85" i="75"/>
  <c r="AL85" i="75"/>
  <c r="AK85" i="75"/>
  <c r="AJ85" i="75"/>
  <c r="AI85" i="75"/>
  <c r="AG85" i="75"/>
  <c r="AF85" i="75"/>
  <c r="AE85" i="75"/>
  <c r="AD85" i="75"/>
  <c r="AB85" i="75"/>
  <c r="AA85" i="75"/>
  <c r="Z85" i="75"/>
  <c r="V85" i="75"/>
  <c r="U85" i="75"/>
  <c r="AQ85" i="75"/>
  <c r="G85" i="75"/>
  <c r="F85" i="75"/>
  <c r="F83" i="75"/>
  <c r="F84" i="75"/>
  <c r="F82" i="75" s="1"/>
  <c r="E85" i="75"/>
  <c r="D85" i="75"/>
  <c r="C85" i="75"/>
  <c r="AP84" i="75"/>
  <c r="AO84" i="75"/>
  <c r="AN84" i="75"/>
  <c r="AM84" i="75"/>
  <c r="AL84" i="75"/>
  <c r="AK84" i="75"/>
  <c r="AJ84" i="75"/>
  <c r="AI84" i="75"/>
  <c r="AG84" i="75"/>
  <c r="AF84" i="75"/>
  <c r="AE84" i="75"/>
  <c r="AD84" i="75"/>
  <c r="AB84" i="75"/>
  <c r="AA84" i="75"/>
  <c r="Z84" i="75"/>
  <c r="V84" i="75"/>
  <c r="U84" i="75"/>
  <c r="AQ84" i="75"/>
  <c r="G84" i="75"/>
  <c r="E84" i="75"/>
  <c r="D84" i="75"/>
  <c r="C84" i="75"/>
  <c r="AP83" i="75"/>
  <c r="AO83" i="75"/>
  <c r="AN83" i="75"/>
  <c r="AM83" i="75"/>
  <c r="AL83" i="75"/>
  <c r="AK83" i="75"/>
  <c r="AJ83" i="75"/>
  <c r="AI83" i="75"/>
  <c r="AG83" i="75"/>
  <c r="AF83" i="75"/>
  <c r="AE83" i="75"/>
  <c r="AE82" i="75" s="1"/>
  <c r="AD83" i="75"/>
  <c r="AB83" i="75"/>
  <c r="AA83" i="75"/>
  <c r="Z83" i="75"/>
  <c r="V83" i="75"/>
  <c r="V82" i="75" s="1"/>
  <c r="U83" i="75"/>
  <c r="AQ83" i="75"/>
  <c r="G83" i="75"/>
  <c r="E83" i="75"/>
  <c r="D83" i="75"/>
  <c r="C83" i="75"/>
  <c r="Q82" i="75"/>
  <c r="AP81" i="75"/>
  <c r="AO81" i="75"/>
  <c r="AN81" i="75"/>
  <c r="AM81" i="75"/>
  <c r="AL81" i="75"/>
  <c r="AK81" i="75"/>
  <c r="AJ81" i="75"/>
  <c r="AI81" i="75"/>
  <c r="AG81" i="75"/>
  <c r="AF81" i="75"/>
  <c r="AE81" i="75"/>
  <c r="AD81" i="75"/>
  <c r="AB81" i="75"/>
  <c r="AA81" i="75"/>
  <c r="Z81" i="75"/>
  <c r="V81" i="75"/>
  <c r="U81" i="75"/>
  <c r="AQ81" i="75"/>
  <c r="G81" i="75"/>
  <c r="F81" i="75"/>
  <c r="E81" i="75"/>
  <c r="D81" i="75"/>
  <c r="C81" i="75"/>
  <c r="AP80" i="75"/>
  <c r="AO80" i="75"/>
  <c r="AN80" i="75"/>
  <c r="AM80" i="75"/>
  <c r="AL80" i="75"/>
  <c r="AK80" i="75"/>
  <c r="AJ80" i="75"/>
  <c r="AI80" i="75"/>
  <c r="AG80" i="75"/>
  <c r="AF80" i="75"/>
  <c r="AE80" i="75"/>
  <c r="AD80" i="75"/>
  <c r="AB80" i="75"/>
  <c r="AA80" i="75"/>
  <c r="Z80" i="75"/>
  <c r="V80" i="75"/>
  <c r="U80" i="75"/>
  <c r="G80" i="75"/>
  <c r="F80" i="75"/>
  <c r="E80" i="75"/>
  <c r="D80" i="75"/>
  <c r="C80" i="75"/>
  <c r="AP79" i="75"/>
  <c r="AO79" i="75"/>
  <c r="AN79" i="75"/>
  <c r="AM79" i="75"/>
  <c r="AL79" i="75"/>
  <c r="AK79" i="75"/>
  <c r="AJ79" i="75"/>
  <c r="AI79" i="75"/>
  <c r="AG79" i="75"/>
  <c r="AF79" i="75"/>
  <c r="AE79" i="75"/>
  <c r="AD79" i="75"/>
  <c r="AB79" i="75"/>
  <c r="AA79" i="75"/>
  <c r="Z79" i="75"/>
  <c r="V79" i="75"/>
  <c r="U79" i="75"/>
  <c r="AQ79" i="75"/>
  <c r="AP78" i="75"/>
  <c r="AO78" i="75"/>
  <c r="AN78" i="75"/>
  <c r="AM78" i="75"/>
  <c r="AL78" i="75"/>
  <c r="AK78" i="75"/>
  <c r="AJ78" i="75"/>
  <c r="AI78" i="75"/>
  <c r="AG78" i="75"/>
  <c r="AF78" i="75"/>
  <c r="AE78" i="75"/>
  <c r="AD78" i="75"/>
  <c r="AB78" i="75"/>
  <c r="AA78" i="75"/>
  <c r="Z78" i="75"/>
  <c r="V78" i="75"/>
  <c r="U78" i="75"/>
  <c r="Q75" i="75"/>
  <c r="G78" i="75"/>
  <c r="F78" i="75"/>
  <c r="E78" i="75"/>
  <c r="D78" i="75"/>
  <c r="C78" i="75"/>
  <c r="AP77" i="75"/>
  <c r="AO77" i="75"/>
  <c r="AN77" i="75"/>
  <c r="AM77" i="75"/>
  <c r="AL77" i="75"/>
  <c r="AK77" i="75"/>
  <c r="AJ77" i="75"/>
  <c r="AI77" i="75"/>
  <c r="AG77" i="75"/>
  <c r="AF77" i="75"/>
  <c r="AE77" i="75"/>
  <c r="AD77" i="75"/>
  <c r="AB77" i="75"/>
  <c r="AA77" i="75"/>
  <c r="Z77" i="75"/>
  <c r="V77" i="75"/>
  <c r="U77" i="75"/>
  <c r="AP76" i="75"/>
  <c r="AO76" i="75"/>
  <c r="AN76" i="75"/>
  <c r="AM76" i="75"/>
  <c r="AL76" i="75"/>
  <c r="AK76" i="75"/>
  <c r="AJ76" i="75"/>
  <c r="AI76" i="75"/>
  <c r="AG76" i="75"/>
  <c r="AF76" i="75"/>
  <c r="AE76" i="75"/>
  <c r="AD76" i="75"/>
  <c r="AB76" i="75"/>
  <c r="AA76" i="75"/>
  <c r="Z76" i="75"/>
  <c r="V76" i="75"/>
  <c r="U76" i="75"/>
  <c r="AQ76" i="75"/>
  <c r="BO74" i="75"/>
  <c r="BN74" i="75"/>
  <c r="AP74" i="75"/>
  <c r="AO74" i="75"/>
  <c r="AN74" i="75"/>
  <c r="AM74" i="75"/>
  <c r="AL74" i="75"/>
  <c r="AK74" i="75"/>
  <c r="AJ74" i="75"/>
  <c r="AI74" i="75"/>
  <c r="AG74" i="75"/>
  <c r="AF74" i="75"/>
  <c r="AE74" i="75"/>
  <c r="AD74" i="75"/>
  <c r="AB74" i="75"/>
  <c r="AA74" i="75"/>
  <c r="Z74" i="75"/>
  <c r="V74" i="75"/>
  <c r="U74" i="75"/>
  <c r="AQ74" i="75"/>
  <c r="G74" i="75"/>
  <c r="F74" i="75"/>
  <c r="E74" i="75"/>
  <c r="D74" i="75"/>
  <c r="C74" i="75"/>
  <c r="BO73" i="75"/>
  <c r="BN73" i="75"/>
  <c r="AP73" i="75"/>
  <c r="AO73" i="75"/>
  <c r="AN73" i="75"/>
  <c r="AM73" i="75"/>
  <c r="AL73" i="75"/>
  <c r="AK73" i="75"/>
  <c r="AJ73" i="75"/>
  <c r="AI73" i="75"/>
  <c r="AG73" i="75"/>
  <c r="AF73" i="75"/>
  <c r="AE73" i="75"/>
  <c r="AD73" i="75"/>
  <c r="AB73" i="75"/>
  <c r="AA73" i="75"/>
  <c r="Z73" i="75"/>
  <c r="V73" i="75"/>
  <c r="U73" i="75"/>
  <c r="AQ73" i="75"/>
  <c r="G73" i="75"/>
  <c r="F73" i="75"/>
  <c r="E73" i="75"/>
  <c r="D73" i="75"/>
  <c r="C73" i="75"/>
  <c r="BO72" i="75"/>
  <c r="BN72" i="75"/>
  <c r="AP72" i="75"/>
  <c r="AO72" i="75"/>
  <c r="AN72" i="75"/>
  <c r="AM72" i="75"/>
  <c r="AL72" i="75"/>
  <c r="AK72" i="75"/>
  <c r="AJ72" i="75"/>
  <c r="AI72" i="75"/>
  <c r="AG72" i="75"/>
  <c r="AF72" i="75"/>
  <c r="AE72" i="75"/>
  <c r="AD72" i="75"/>
  <c r="AB72" i="75"/>
  <c r="AA72" i="75"/>
  <c r="Z72" i="75"/>
  <c r="V72" i="75"/>
  <c r="U72" i="75"/>
  <c r="AQ72" i="75"/>
  <c r="G72" i="75"/>
  <c r="F72" i="75"/>
  <c r="E72" i="75"/>
  <c r="D72" i="75"/>
  <c r="C72" i="75"/>
  <c r="BO71" i="75"/>
  <c r="BN71" i="75"/>
  <c r="AP71" i="75"/>
  <c r="AO71" i="75"/>
  <c r="AN71" i="75"/>
  <c r="AM71" i="75"/>
  <c r="AL71" i="75"/>
  <c r="AK71" i="75"/>
  <c r="AJ71" i="75"/>
  <c r="AI71" i="75"/>
  <c r="AG71" i="75"/>
  <c r="AF71" i="75"/>
  <c r="AE71" i="75"/>
  <c r="AD71" i="75"/>
  <c r="AB71" i="75"/>
  <c r="AA71" i="75"/>
  <c r="Z71" i="75"/>
  <c r="V71" i="75"/>
  <c r="U71" i="75"/>
  <c r="AQ71" i="75"/>
  <c r="G71" i="75"/>
  <c r="F71" i="75"/>
  <c r="E71" i="75"/>
  <c r="D71" i="75"/>
  <c r="C71" i="75"/>
  <c r="BO70" i="75"/>
  <c r="BN70" i="75"/>
  <c r="AP70" i="75"/>
  <c r="AO70" i="75"/>
  <c r="AN70" i="75"/>
  <c r="AM70" i="75"/>
  <c r="AL70" i="75"/>
  <c r="AK70" i="75"/>
  <c r="AJ70" i="75"/>
  <c r="AI70" i="75"/>
  <c r="AG70" i="75"/>
  <c r="AF70" i="75"/>
  <c r="AE70" i="75"/>
  <c r="AD70" i="75"/>
  <c r="AB70" i="75"/>
  <c r="AA70" i="75"/>
  <c r="Z70" i="75"/>
  <c r="V70" i="75"/>
  <c r="U70" i="75"/>
  <c r="AQ70" i="75"/>
  <c r="G70" i="75"/>
  <c r="F70" i="75"/>
  <c r="E70" i="75"/>
  <c r="D70" i="75"/>
  <c r="C70" i="75"/>
  <c r="BO69" i="75"/>
  <c r="BN69" i="75"/>
  <c r="AP69" i="75"/>
  <c r="AO69" i="75"/>
  <c r="AN69" i="75"/>
  <c r="AM69" i="75"/>
  <c r="AL69" i="75"/>
  <c r="AK69" i="75"/>
  <c r="AJ69" i="75"/>
  <c r="AI69" i="75"/>
  <c r="AG69" i="75"/>
  <c r="AF69" i="75"/>
  <c r="AE69" i="75"/>
  <c r="AD69" i="75"/>
  <c r="AB69" i="75"/>
  <c r="AA69" i="75"/>
  <c r="Z69" i="75"/>
  <c r="V69" i="75"/>
  <c r="U69" i="75"/>
  <c r="AQ69" i="75"/>
  <c r="G69" i="75"/>
  <c r="F69" i="75"/>
  <c r="E69" i="75"/>
  <c r="D69" i="75"/>
  <c r="C69" i="75"/>
  <c r="BO68" i="75"/>
  <c r="BN68" i="75"/>
  <c r="AP68" i="75"/>
  <c r="AO68" i="75"/>
  <c r="AN68" i="75"/>
  <c r="AM68" i="75"/>
  <c r="AL68" i="75"/>
  <c r="AK68" i="75"/>
  <c r="AJ68" i="75"/>
  <c r="AI68" i="75"/>
  <c r="AG68" i="75"/>
  <c r="AF68" i="75"/>
  <c r="AE68" i="75"/>
  <c r="AD68" i="75"/>
  <c r="AB68" i="75"/>
  <c r="AA68" i="75"/>
  <c r="Z68" i="75"/>
  <c r="V68" i="75"/>
  <c r="U68" i="75"/>
  <c r="AQ68" i="75"/>
  <c r="G68" i="75"/>
  <c r="F68" i="75"/>
  <c r="E68" i="75"/>
  <c r="D68" i="75"/>
  <c r="C68" i="75"/>
  <c r="BO67" i="75"/>
  <c r="BN67" i="75"/>
  <c r="AP67" i="75"/>
  <c r="AO67" i="75"/>
  <c r="AN67" i="75"/>
  <c r="AM67" i="75"/>
  <c r="AL67" i="75"/>
  <c r="AK67" i="75"/>
  <c r="AJ67" i="75"/>
  <c r="AJ62" i="75"/>
  <c r="AJ64" i="75"/>
  <c r="AJ65" i="75"/>
  <c r="AJ66" i="75"/>
  <c r="AI67" i="75"/>
  <c r="AG67" i="75"/>
  <c r="AF67" i="75"/>
  <c r="AE67" i="75"/>
  <c r="AD67" i="75"/>
  <c r="AB67" i="75"/>
  <c r="AA67" i="75"/>
  <c r="Z67" i="75"/>
  <c r="V67" i="75"/>
  <c r="U67" i="75"/>
  <c r="AQ67" i="75"/>
  <c r="G67" i="75"/>
  <c r="F67" i="75"/>
  <c r="E67" i="75"/>
  <c r="D67" i="75"/>
  <c r="C67" i="75"/>
  <c r="BO66" i="75"/>
  <c r="BN66" i="75"/>
  <c r="AP66" i="75"/>
  <c r="AO66" i="75"/>
  <c r="AN66" i="75"/>
  <c r="AM66" i="75"/>
  <c r="AL66" i="75"/>
  <c r="AK66" i="75"/>
  <c r="AI66" i="75"/>
  <c r="AG66" i="75"/>
  <c r="AF66" i="75"/>
  <c r="AE66" i="75"/>
  <c r="AD66" i="75"/>
  <c r="AB66" i="75"/>
  <c r="AA66" i="75"/>
  <c r="Z66" i="75"/>
  <c r="V66" i="75"/>
  <c r="U66" i="75"/>
  <c r="AQ66" i="75"/>
  <c r="G66" i="75"/>
  <c r="F66" i="75"/>
  <c r="E66" i="75"/>
  <c r="D66" i="75"/>
  <c r="C66" i="75"/>
  <c r="BO65" i="75"/>
  <c r="BN65" i="75"/>
  <c r="AP65" i="75"/>
  <c r="AO65" i="75"/>
  <c r="AN65" i="75"/>
  <c r="AM65" i="75"/>
  <c r="AL65" i="75"/>
  <c r="AK65" i="75"/>
  <c r="AI65" i="75"/>
  <c r="AG65" i="75"/>
  <c r="AF65" i="75"/>
  <c r="AE65" i="75"/>
  <c r="AD65" i="75"/>
  <c r="AB65" i="75"/>
  <c r="AA65" i="75"/>
  <c r="Z65" i="75"/>
  <c r="V65" i="75"/>
  <c r="U65" i="75"/>
  <c r="AQ65" i="75"/>
  <c r="G65" i="75"/>
  <c r="F65" i="75"/>
  <c r="E65" i="75"/>
  <c r="D65" i="75"/>
  <c r="C65" i="75"/>
  <c r="BO64" i="75"/>
  <c r="BN64" i="75"/>
  <c r="AP64" i="75"/>
  <c r="AO64" i="75"/>
  <c r="AN64" i="75"/>
  <c r="AM64" i="75"/>
  <c r="AL64" i="75"/>
  <c r="AK64" i="75"/>
  <c r="AI64" i="75"/>
  <c r="AG64" i="75"/>
  <c r="AF64" i="75"/>
  <c r="AE64" i="75"/>
  <c r="AD64" i="75"/>
  <c r="AB64" i="75"/>
  <c r="AA64" i="75"/>
  <c r="Z64" i="75"/>
  <c r="V64" i="75"/>
  <c r="U64" i="75"/>
  <c r="AQ64" i="75"/>
  <c r="G64" i="75"/>
  <c r="F64" i="75"/>
  <c r="E64" i="75"/>
  <c r="D64" i="75"/>
  <c r="C64" i="75"/>
  <c r="BO63" i="75"/>
  <c r="BO62" i="75"/>
  <c r="BN63" i="75"/>
  <c r="V63" i="75"/>
  <c r="U63" i="75"/>
  <c r="AQ63" i="75"/>
  <c r="G63" i="75"/>
  <c r="F63" i="75"/>
  <c r="E63" i="75"/>
  <c r="D63" i="75"/>
  <c r="C63" i="75"/>
  <c r="BN62" i="75"/>
  <c r="AP62" i="75"/>
  <c r="AO62" i="75"/>
  <c r="AN62" i="75"/>
  <c r="AM62" i="75"/>
  <c r="AL62" i="75"/>
  <c r="AK62" i="75"/>
  <c r="AI62" i="75"/>
  <c r="AG62" i="75"/>
  <c r="AF62" i="75"/>
  <c r="AF61" i="75" s="1"/>
  <c r="AE62" i="75"/>
  <c r="AD62" i="75"/>
  <c r="AD61" i="75" s="1"/>
  <c r="AB62" i="75"/>
  <c r="AA62" i="75"/>
  <c r="Z62" i="75"/>
  <c r="V62" i="75"/>
  <c r="U62" i="75"/>
  <c r="AQ62" i="75"/>
  <c r="G62" i="75"/>
  <c r="F62" i="75"/>
  <c r="E62" i="75"/>
  <c r="D62" i="75"/>
  <c r="C62" i="75"/>
  <c r="Q61" i="75"/>
  <c r="AP59" i="75"/>
  <c r="AO59" i="75"/>
  <c r="AN59" i="75"/>
  <c r="AM59" i="75"/>
  <c r="AL59" i="75"/>
  <c r="AK59" i="75"/>
  <c r="AJ59" i="75"/>
  <c r="AI59" i="75"/>
  <c r="AG59" i="75"/>
  <c r="AF59" i="75"/>
  <c r="AE59" i="75"/>
  <c r="AD59" i="75"/>
  <c r="AC59" i="75"/>
  <c r="AB59" i="75"/>
  <c r="AA59" i="75"/>
  <c r="Z59" i="75"/>
  <c r="V59" i="75"/>
  <c r="U59" i="75"/>
  <c r="G59" i="75"/>
  <c r="F59" i="75"/>
  <c r="E59" i="75"/>
  <c r="D59" i="75"/>
  <c r="C59" i="75"/>
  <c r="BO58" i="75"/>
  <c r="BN58" i="75"/>
  <c r="AP58" i="75"/>
  <c r="AO58" i="75"/>
  <c r="AN58" i="75"/>
  <c r="AM58" i="75"/>
  <c r="AL58" i="75"/>
  <c r="AK58" i="75"/>
  <c r="AJ58" i="75"/>
  <c r="AI58" i="75"/>
  <c r="AG58" i="75"/>
  <c r="AF58" i="75"/>
  <c r="AE58" i="75"/>
  <c r="AD58" i="75"/>
  <c r="AB58" i="75"/>
  <c r="AA58" i="75"/>
  <c r="Z58" i="75"/>
  <c r="V58" i="75"/>
  <c r="U58" i="75"/>
  <c r="G58" i="75"/>
  <c r="F58" i="75"/>
  <c r="E58" i="75"/>
  <c r="D58" i="75"/>
  <c r="C58" i="75"/>
  <c r="BO57" i="75"/>
  <c r="BN57" i="75"/>
  <c r="BO56" i="75"/>
  <c r="BN56" i="75"/>
  <c r="BO54" i="75"/>
  <c r="BN54" i="75"/>
  <c r="AP54" i="75"/>
  <c r="AO54" i="75"/>
  <c r="AN54" i="75"/>
  <c r="AM54" i="75"/>
  <c r="AL54" i="75"/>
  <c r="AK54" i="75"/>
  <c r="AJ54" i="75"/>
  <c r="AI54" i="75"/>
  <c r="AG54" i="75"/>
  <c r="AF54" i="75"/>
  <c r="AE54" i="75"/>
  <c r="AD54" i="75"/>
  <c r="AB54" i="75"/>
  <c r="AA54" i="75"/>
  <c r="Z54" i="75"/>
  <c r="V54" i="75"/>
  <c r="U54" i="75"/>
  <c r="G54" i="75"/>
  <c r="F54" i="75"/>
  <c r="E54" i="75"/>
  <c r="D54" i="75"/>
  <c r="C54" i="75"/>
  <c r="BO53" i="75"/>
  <c r="BN53" i="75"/>
  <c r="BO52" i="75"/>
  <c r="BN52" i="75"/>
  <c r="BO51" i="75"/>
  <c r="BN51" i="75"/>
  <c r="G51" i="75"/>
  <c r="F51" i="75"/>
  <c r="E51" i="75"/>
  <c r="D51" i="75"/>
  <c r="C51" i="75"/>
  <c r="BO50" i="75"/>
  <c r="BN50" i="75"/>
  <c r="G50" i="75"/>
  <c r="F50" i="75"/>
  <c r="E50" i="75"/>
  <c r="D50" i="75"/>
  <c r="C50" i="75"/>
  <c r="BO49" i="75"/>
  <c r="BN49" i="75"/>
  <c r="G49" i="75"/>
  <c r="F49" i="75"/>
  <c r="E49" i="75"/>
  <c r="D49" i="75"/>
  <c r="C49" i="75"/>
  <c r="BO48" i="75"/>
  <c r="BN48" i="75"/>
  <c r="AP48" i="75"/>
  <c r="AO48" i="75"/>
  <c r="AN48" i="75"/>
  <c r="AM48" i="75"/>
  <c r="AL48" i="75"/>
  <c r="AK48" i="75"/>
  <c r="AK42" i="75"/>
  <c r="AK43" i="75"/>
  <c r="AK45" i="75"/>
  <c r="AK46" i="75"/>
  <c r="AJ48" i="75"/>
  <c r="AI48" i="75"/>
  <c r="AG48" i="75"/>
  <c r="AF48" i="75"/>
  <c r="AE48" i="75"/>
  <c r="AD48" i="75"/>
  <c r="AB48" i="75"/>
  <c r="AA48" i="75"/>
  <c r="Z48" i="75"/>
  <c r="V48" i="75"/>
  <c r="U48" i="75"/>
  <c r="G48" i="75"/>
  <c r="F48" i="75"/>
  <c r="E48" i="75"/>
  <c r="D48" i="75"/>
  <c r="C48" i="75"/>
  <c r="BO47" i="75"/>
  <c r="BN47" i="75"/>
  <c r="BO46" i="75"/>
  <c r="BN46" i="75"/>
  <c r="AP46" i="75"/>
  <c r="AO46" i="75"/>
  <c r="AN46" i="75"/>
  <c r="AM46" i="75"/>
  <c r="AL46" i="75"/>
  <c r="AJ46" i="75"/>
  <c r="AI46" i="75"/>
  <c r="AG46" i="75"/>
  <c r="AF46" i="75"/>
  <c r="AE46" i="75"/>
  <c r="AD46" i="75"/>
  <c r="AB46" i="75"/>
  <c r="AA46" i="75"/>
  <c r="Z46" i="75"/>
  <c r="V46" i="75"/>
  <c r="V42" i="75"/>
  <c r="V43" i="75"/>
  <c r="V45" i="75"/>
  <c r="U46" i="75"/>
  <c r="G46" i="75"/>
  <c r="F46" i="75"/>
  <c r="E46" i="75"/>
  <c r="D46" i="75"/>
  <c r="C46" i="75"/>
  <c r="BO45" i="75"/>
  <c r="BN45" i="75"/>
  <c r="AP45" i="75"/>
  <c r="AO45" i="75"/>
  <c r="AN45" i="75"/>
  <c r="AM45" i="75"/>
  <c r="AL45" i="75"/>
  <c r="AJ45" i="75"/>
  <c r="AI45" i="75"/>
  <c r="AG45" i="75"/>
  <c r="AF45" i="75"/>
  <c r="AE45" i="75"/>
  <c r="AD45" i="75"/>
  <c r="AB45" i="75"/>
  <c r="AA45" i="75"/>
  <c r="Z45" i="75"/>
  <c r="U45" i="75"/>
  <c r="G45" i="75"/>
  <c r="F45" i="75"/>
  <c r="E45" i="75"/>
  <c r="D45" i="75"/>
  <c r="C45" i="75"/>
  <c r="C42" i="75"/>
  <c r="C44" i="75"/>
  <c r="BO44" i="75"/>
  <c r="BN44" i="75"/>
  <c r="G44" i="75"/>
  <c r="F44" i="75"/>
  <c r="E44" i="75"/>
  <c r="D44" i="75"/>
  <c r="BO43" i="75"/>
  <c r="BN43" i="75"/>
  <c r="AP43" i="75"/>
  <c r="AO43" i="75"/>
  <c r="AN43" i="75"/>
  <c r="AN42" i="75"/>
  <c r="AM43" i="75"/>
  <c r="AL43" i="75"/>
  <c r="AJ43" i="75"/>
  <c r="AI43" i="75"/>
  <c r="AG43" i="75"/>
  <c r="AF43" i="75"/>
  <c r="AE43" i="75"/>
  <c r="AD43" i="75"/>
  <c r="AB43" i="75"/>
  <c r="AA43" i="75"/>
  <c r="Z43" i="75"/>
  <c r="U43" i="75"/>
  <c r="BO42" i="75"/>
  <c r="BN42" i="75"/>
  <c r="AP42" i="75"/>
  <c r="AO42" i="75"/>
  <c r="AM42" i="75"/>
  <c r="AL42" i="75"/>
  <c r="AL41" i="75" s="1"/>
  <c r="AJ42" i="75"/>
  <c r="AI42" i="75"/>
  <c r="AI41" i="75" s="1"/>
  <c r="AG42" i="75"/>
  <c r="AF42" i="75"/>
  <c r="AE42" i="75"/>
  <c r="AD42" i="75"/>
  <c r="AB42" i="75"/>
  <c r="AA42" i="75"/>
  <c r="Z42" i="75"/>
  <c r="U42" i="75"/>
  <c r="G42" i="75"/>
  <c r="F42" i="75"/>
  <c r="E42" i="75"/>
  <c r="D42" i="75"/>
  <c r="AP40" i="75"/>
  <c r="AO40" i="75"/>
  <c r="AN40" i="75"/>
  <c r="AM40" i="75"/>
  <c r="AL40" i="75"/>
  <c r="AK40" i="75"/>
  <c r="AJ40" i="75"/>
  <c r="AI40" i="75"/>
  <c r="AG40" i="75"/>
  <c r="AF40" i="75"/>
  <c r="AE40" i="75"/>
  <c r="AD40" i="75"/>
  <c r="AB40" i="75"/>
  <c r="AA40" i="75"/>
  <c r="Z40" i="75"/>
  <c r="V40" i="75"/>
  <c r="U40" i="75"/>
  <c r="G40" i="75"/>
  <c r="F40" i="75"/>
  <c r="E40" i="75"/>
  <c r="D40" i="75"/>
  <c r="C40" i="75"/>
  <c r="G38" i="75"/>
  <c r="F38" i="75"/>
  <c r="E38" i="75"/>
  <c r="D38" i="75"/>
  <c r="C38" i="75"/>
  <c r="AQ37" i="75"/>
  <c r="G36" i="75"/>
  <c r="F36" i="75"/>
  <c r="E36" i="75"/>
  <c r="D36" i="75"/>
  <c r="C36" i="75"/>
  <c r="Y35" i="75"/>
  <c r="Y19" i="75" s="1"/>
  <c r="X35" i="75"/>
  <c r="X19" i="75" s="1"/>
  <c r="W35" i="75"/>
  <c r="W19" i="75" s="1"/>
  <c r="V35" i="75"/>
  <c r="U35" i="75"/>
  <c r="BB34" i="75"/>
  <c r="AR34" i="75"/>
  <c r="G34" i="75"/>
  <c r="F34" i="75"/>
  <c r="E34" i="75"/>
  <c r="D34" i="75"/>
  <c r="C34" i="75"/>
  <c r="AP33" i="75"/>
  <c r="AO33" i="75"/>
  <c r="AN33" i="75"/>
  <c r="AM33" i="75"/>
  <c r="AL33" i="75"/>
  <c r="AK33" i="75"/>
  <c r="AJ33" i="75"/>
  <c r="AI33" i="75"/>
  <c r="AG33" i="75"/>
  <c r="AF33" i="75"/>
  <c r="AE33" i="75"/>
  <c r="AD33" i="75"/>
  <c r="AB33" i="75"/>
  <c r="AA33" i="75"/>
  <c r="Z33" i="75"/>
  <c r="V33" i="75"/>
  <c r="U33" i="75"/>
  <c r="AP32" i="75"/>
  <c r="AO32" i="75"/>
  <c r="AN32" i="75"/>
  <c r="AM32" i="75"/>
  <c r="AL32" i="75"/>
  <c r="AK32" i="75"/>
  <c r="AJ32" i="75"/>
  <c r="AI32" i="75"/>
  <c r="AG32" i="75"/>
  <c r="AF32" i="75"/>
  <c r="AE32" i="75"/>
  <c r="AD32" i="75"/>
  <c r="AB32" i="75"/>
  <c r="AA32" i="75"/>
  <c r="Z32" i="75"/>
  <c r="V32" i="75"/>
  <c r="U32" i="75"/>
  <c r="AQ32" i="75"/>
  <c r="G32" i="75"/>
  <c r="F32" i="75"/>
  <c r="E32" i="75"/>
  <c r="D32" i="75"/>
  <c r="C32" i="75"/>
  <c r="AP31" i="75"/>
  <c r="AO31" i="75"/>
  <c r="AN31" i="75"/>
  <c r="AM31" i="75"/>
  <c r="AL31" i="75"/>
  <c r="AK31" i="75"/>
  <c r="AJ31" i="75"/>
  <c r="AI31" i="75"/>
  <c r="AG31" i="75"/>
  <c r="AF31" i="75"/>
  <c r="AE31" i="75"/>
  <c r="AD31" i="75"/>
  <c r="AB31" i="75"/>
  <c r="AA31" i="75"/>
  <c r="Z31" i="75"/>
  <c r="V31" i="75"/>
  <c r="U31" i="75"/>
  <c r="AQ31" i="75"/>
  <c r="G31" i="75"/>
  <c r="F31" i="75"/>
  <c r="E31" i="75"/>
  <c r="D31" i="75"/>
  <c r="C31" i="75"/>
  <c r="AP30" i="75"/>
  <c r="AO30" i="75"/>
  <c r="AN30" i="75"/>
  <c r="AM30" i="75"/>
  <c r="AL30" i="75"/>
  <c r="AK30" i="75"/>
  <c r="AJ30" i="75"/>
  <c r="AI30" i="75"/>
  <c r="AG30" i="75"/>
  <c r="AF30" i="75"/>
  <c r="AE30" i="75"/>
  <c r="AD30" i="75"/>
  <c r="AB30" i="75"/>
  <c r="AA30" i="75"/>
  <c r="Z30" i="75"/>
  <c r="V30" i="75"/>
  <c r="U30" i="75"/>
  <c r="AQ30" i="75"/>
  <c r="G30" i="75"/>
  <c r="F30" i="75"/>
  <c r="E30" i="75"/>
  <c r="D30" i="75"/>
  <c r="C30" i="75"/>
  <c r="AR29" i="75"/>
  <c r="AP29" i="75"/>
  <c r="AO29" i="75"/>
  <c r="AN29" i="75"/>
  <c r="AM29" i="75"/>
  <c r="AL29" i="75"/>
  <c r="AK29" i="75"/>
  <c r="AJ29" i="75"/>
  <c r="AI29" i="75"/>
  <c r="AG29" i="75"/>
  <c r="AF29" i="75"/>
  <c r="AE29" i="75"/>
  <c r="AD29" i="75"/>
  <c r="AB29" i="75"/>
  <c r="AA29" i="75"/>
  <c r="Z29" i="75"/>
  <c r="V29" i="75"/>
  <c r="U29" i="75"/>
  <c r="G29" i="75"/>
  <c r="F29" i="75"/>
  <c r="E29" i="75"/>
  <c r="D29" i="75"/>
  <c r="C29" i="75"/>
  <c r="BO19" i="75"/>
  <c r="BN27" i="75"/>
  <c r="BN26" i="75"/>
  <c r="BE25" i="75"/>
  <c r="AR25" i="75"/>
  <c r="V25" i="75"/>
  <c r="U25" i="75"/>
  <c r="AQ25" i="75"/>
  <c r="G25" i="75"/>
  <c r="F25" i="75"/>
  <c r="E25" i="75"/>
  <c r="D25" i="75"/>
  <c r="C25" i="75"/>
  <c r="BE24" i="75"/>
  <c r="AR24" i="75"/>
  <c r="AP24" i="75"/>
  <c r="AO24" i="75"/>
  <c r="AN24" i="75"/>
  <c r="AM24" i="75"/>
  <c r="AL24" i="75"/>
  <c r="AK24" i="75"/>
  <c r="AJ24" i="75"/>
  <c r="AI24" i="75"/>
  <c r="AG24" i="75"/>
  <c r="AF24" i="75"/>
  <c r="AE24" i="75"/>
  <c r="AE20" i="75"/>
  <c r="AE22" i="75"/>
  <c r="AD24" i="75"/>
  <c r="AB24" i="75"/>
  <c r="AA24" i="75"/>
  <c r="Z24" i="75"/>
  <c r="V24" i="75"/>
  <c r="U24" i="75"/>
  <c r="AQ24" i="75"/>
  <c r="G24" i="75"/>
  <c r="F24" i="75"/>
  <c r="E24" i="75"/>
  <c r="D24" i="75"/>
  <c r="C24" i="75"/>
  <c r="BE23" i="75"/>
  <c r="AR23" i="75"/>
  <c r="AN23" i="75"/>
  <c r="AM23" i="75"/>
  <c r="AL23" i="75"/>
  <c r="AK23" i="75"/>
  <c r="AJ23" i="75"/>
  <c r="AI23" i="75"/>
  <c r="AD23" i="75"/>
  <c r="AB23" i="75"/>
  <c r="AA23" i="75"/>
  <c r="Z23" i="75"/>
  <c r="V23" i="75"/>
  <c r="U23" i="75"/>
  <c r="AQ23" i="75"/>
  <c r="G23" i="75"/>
  <c r="F23" i="75"/>
  <c r="E23" i="75"/>
  <c r="D23" i="75"/>
  <c r="C23" i="75"/>
  <c r="BE22" i="75"/>
  <c r="AR22" i="75"/>
  <c r="AP22" i="75"/>
  <c r="AO22" i="75"/>
  <c r="AN22" i="75"/>
  <c r="AM22" i="75"/>
  <c r="AL22" i="75"/>
  <c r="AK22" i="75"/>
  <c r="AJ22" i="75"/>
  <c r="AI22" i="75"/>
  <c r="AG22" i="75"/>
  <c r="AF22" i="75"/>
  <c r="AD22" i="75"/>
  <c r="AB22" i="75"/>
  <c r="AA22" i="75"/>
  <c r="Z22" i="75"/>
  <c r="V22" i="75"/>
  <c r="U22" i="75"/>
  <c r="AQ22" i="75"/>
  <c r="G22" i="75"/>
  <c r="F22" i="75"/>
  <c r="E22" i="75"/>
  <c r="E20" i="75"/>
  <c r="E21" i="75"/>
  <c r="D22" i="75"/>
  <c r="C22" i="75"/>
  <c r="BE21" i="75"/>
  <c r="AR21" i="75"/>
  <c r="AN21" i="75"/>
  <c r="AM21" i="75"/>
  <c r="AL21" i="75"/>
  <c r="AK21" i="75"/>
  <c r="AJ21" i="75"/>
  <c r="AI21" i="75"/>
  <c r="AD21" i="75"/>
  <c r="AB21" i="75"/>
  <c r="AA21" i="75"/>
  <c r="Z21" i="75"/>
  <c r="V21" i="75"/>
  <c r="U21" i="75"/>
  <c r="AQ21" i="75"/>
  <c r="G21" i="75"/>
  <c r="F21" i="75"/>
  <c r="D21" i="75"/>
  <c r="BE20" i="75"/>
  <c r="AR20" i="75"/>
  <c r="AP20" i="75"/>
  <c r="AO20" i="75"/>
  <c r="AN20" i="75"/>
  <c r="AM20" i="75"/>
  <c r="AL20" i="75"/>
  <c r="AK20" i="75"/>
  <c r="AJ20" i="75"/>
  <c r="AI20" i="75"/>
  <c r="AG20" i="75"/>
  <c r="AF20" i="75"/>
  <c r="AD20" i="75"/>
  <c r="AC20" i="75"/>
  <c r="AB20" i="75"/>
  <c r="AA20" i="75"/>
  <c r="AA19" i="75" s="1"/>
  <c r="Z20" i="75"/>
  <c r="V20" i="75"/>
  <c r="U20" i="75"/>
  <c r="AQ20" i="75"/>
  <c r="G20" i="75"/>
  <c r="F20" i="75"/>
  <c r="D20" i="75"/>
  <c r="C20" i="75"/>
  <c r="Q19" i="75"/>
  <c r="BE18" i="75"/>
  <c r="BB18" i="75"/>
  <c r="AR18" i="75"/>
  <c r="AP18" i="75"/>
  <c r="AO18" i="75"/>
  <c r="AN18" i="75"/>
  <c r="AM18" i="75"/>
  <c r="AL18" i="75"/>
  <c r="AK18" i="75"/>
  <c r="AJ18" i="75"/>
  <c r="AI18" i="75"/>
  <c r="AG18" i="75"/>
  <c r="AF18" i="75"/>
  <c r="AE18" i="75"/>
  <c r="AD18" i="75"/>
  <c r="AB18" i="75"/>
  <c r="AA18" i="75"/>
  <c r="Z18" i="75"/>
  <c r="Y18" i="75"/>
  <c r="X18" i="75"/>
  <c r="W18" i="75"/>
  <c r="V18" i="75"/>
  <c r="U18" i="75"/>
  <c r="AQ18" i="75"/>
  <c r="G18" i="75"/>
  <c r="F18" i="75"/>
  <c r="E18" i="75"/>
  <c r="D18" i="75"/>
  <c r="C18" i="75"/>
  <c r="AP17" i="75"/>
  <c r="AO17" i="75"/>
  <c r="AN17" i="75"/>
  <c r="AM17" i="75"/>
  <c r="AL17" i="75"/>
  <c r="AK17" i="75"/>
  <c r="AJ17" i="75"/>
  <c r="AI17" i="75"/>
  <c r="AG17" i="75"/>
  <c r="AF17" i="75"/>
  <c r="AE17" i="75"/>
  <c r="AD17" i="75"/>
  <c r="AB17" i="75"/>
  <c r="AA17" i="75"/>
  <c r="Z17" i="75"/>
  <c r="X17" i="75"/>
  <c r="W17" i="75"/>
  <c r="BB15" i="75"/>
  <c r="AR15" i="75"/>
  <c r="AP15" i="75"/>
  <c r="AO15" i="75"/>
  <c r="AN15" i="75"/>
  <c r="AM15" i="75"/>
  <c r="AL15" i="75"/>
  <c r="AK15" i="75"/>
  <c r="AJ15" i="75"/>
  <c r="AI15" i="75"/>
  <c r="AG15" i="75"/>
  <c r="AF15" i="75"/>
  <c r="AE15" i="75"/>
  <c r="AD15" i="75"/>
  <c r="AB15" i="75"/>
  <c r="AA15" i="75"/>
  <c r="Z15" i="75"/>
  <c r="Y15" i="75"/>
  <c r="X15" i="75"/>
  <c r="W15" i="75"/>
  <c r="V15" i="75"/>
  <c r="U15" i="75"/>
  <c r="AQ15" i="75"/>
  <c r="G15" i="75"/>
  <c r="F15" i="75"/>
  <c r="E15" i="75"/>
  <c r="D15" i="75"/>
  <c r="C15" i="75"/>
  <c r="AP14" i="75"/>
  <c r="AO14" i="75"/>
  <c r="AN14" i="75"/>
  <c r="AM14" i="75"/>
  <c r="AL14" i="75"/>
  <c r="AK14" i="75"/>
  <c r="AJ14" i="75"/>
  <c r="AI14" i="75"/>
  <c r="AG14" i="75"/>
  <c r="AF14" i="75"/>
  <c r="AE14" i="75"/>
  <c r="AD14" i="75"/>
  <c r="AB14" i="75"/>
  <c r="AA14" i="75"/>
  <c r="Z14" i="75"/>
  <c r="V14" i="75"/>
  <c r="U14" i="75"/>
  <c r="AP13" i="75"/>
  <c r="AO13" i="75"/>
  <c r="AN13" i="75"/>
  <c r="AM13" i="75"/>
  <c r="AL13" i="75"/>
  <c r="AK13" i="75"/>
  <c r="AJ13" i="75"/>
  <c r="AI13" i="75"/>
  <c r="AG13" i="75"/>
  <c r="AF13" i="75"/>
  <c r="AE13" i="75"/>
  <c r="AD13" i="75"/>
  <c r="AB13" i="75"/>
  <c r="AA13" i="75"/>
  <c r="Z13" i="75"/>
  <c r="AQ13" i="75"/>
  <c r="BO12" i="75"/>
  <c r="BN12" i="75"/>
  <c r="BE12" i="75"/>
  <c r="BB12" i="75"/>
  <c r="AR12" i="75"/>
  <c r="AP12" i="75"/>
  <c r="AO12" i="75"/>
  <c r="AN12" i="75"/>
  <c r="AM12" i="75"/>
  <c r="AL12" i="75"/>
  <c r="AK12" i="75"/>
  <c r="AJ12" i="75"/>
  <c r="AI12" i="75"/>
  <c r="AG12" i="75"/>
  <c r="AF12" i="75"/>
  <c r="AE12" i="75"/>
  <c r="AD12" i="75"/>
  <c r="AB12" i="75"/>
  <c r="AA12" i="75"/>
  <c r="Z12" i="75"/>
  <c r="Y12" i="75"/>
  <c r="X12" i="75"/>
  <c r="W12" i="75"/>
  <c r="V12" i="75"/>
  <c r="U12" i="75"/>
  <c r="AQ12" i="75"/>
  <c r="BO11" i="75"/>
  <c r="BN11" i="75"/>
  <c r="BE11" i="75"/>
  <c r="BB11" i="75"/>
  <c r="AP11" i="75"/>
  <c r="AO11" i="75"/>
  <c r="AN11" i="75"/>
  <c r="AM11" i="75"/>
  <c r="AL11" i="75"/>
  <c r="AK11" i="75"/>
  <c r="AJ11" i="75"/>
  <c r="AI11" i="75"/>
  <c r="AG11" i="75"/>
  <c r="AF11" i="75"/>
  <c r="AE11" i="75"/>
  <c r="AD11" i="75"/>
  <c r="AB11" i="75"/>
  <c r="AA11" i="75"/>
  <c r="Z11" i="75"/>
  <c r="Y11" i="75"/>
  <c r="X11" i="75"/>
  <c r="W11" i="75"/>
  <c r="V11" i="75"/>
  <c r="U11" i="75"/>
  <c r="AQ11" i="75"/>
  <c r="Y9" i="75"/>
  <c r="W8" i="75"/>
  <c r="Y7" i="75"/>
  <c r="X7" i="75"/>
  <c r="Y6" i="75"/>
  <c r="X6" i="75"/>
  <c r="BO5" i="75"/>
  <c r="BN5" i="75"/>
  <c r="BE5" i="75"/>
  <c r="BB5" i="75"/>
  <c r="AR5" i="75"/>
  <c r="AP5" i="75"/>
  <c r="AP16" i="75" s="1"/>
  <c r="AO5" i="75"/>
  <c r="AN5" i="75"/>
  <c r="AM5" i="75"/>
  <c r="AL5" i="75"/>
  <c r="AK5" i="75"/>
  <c r="AJ5" i="75"/>
  <c r="AI5" i="75"/>
  <c r="AG5" i="75"/>
  <c r="AF5" i="75"/>
  <c r="AE5" i="75"/>
  <c r="AD5" i="75"/>
  <c r="AB5" i="75"/>
  <c r="AA5" i="75"/>
  <c r="Z5" i="75"/>
  <c r="Y5" i="75"/>
  <c r="X5" i="75"/>
  <c r="V5" i="75"/>
  <c r="U5" i="75"/>
  <c r="AQ5" i="75"/>
  <c r="Q16" i="75"/>
  <c r="A3" i="75"/>
  <c r="BO4" i="29"/>
  <c r="BC117" i="5"/>
  <c r="Q41" i="75"/>
  <c r="AC82" i="75"/>
  <c r="BI118" i="5"/>
  <c r="BH118" i="5"/>
  <c r="BJ117" i="5"/>
  <c r="BD118" i="5"/>
  <c r="Y117" i="5"/>
  <c r="BM117" i="5"/>
  <c r="X117" i="5"/>
  <c r="BL117" i="5"/>
  <c r="BL118" i="5"/>
  <c r="BC118" i="5"/>
  <c r="W117" i="5"/>
  <c r="W118" i="5"/>
  <c r="BF118" i="5"/>
  <c r="BF117" i="5"/>
  <c r="BI117" i="5"/>
  <c r="BH117" i="5"/>
  <c r="BD117" i="5"/>
  <c r="E126" i="11"/>
  <c r="E130" i="11"/>
  <c r="E143" i="11"/>
  <c r="E147" i="11"/>
  <c r="E159" i="11"/>
  <c r="E163" i="11"/>
  <c r="E137" i="11"/>
  <c r="E142" i="11"/>
  <c r="E154" i="11"/>
  <c r="E158" i="11"/>
  <c r="E170" i="11"/>
  <c r="BP117" i="5"/>
  <c r="BA117" i="5"/>
  <c r="BJ118" i="5"/>
  <c r="BK118" i="5"/>
  <c r="BK117" i="5"/>
  <c r="BA118" i="5"/>
  <c r="BM118" i="5"/>
  <c r="BP118" i="5"/>
  <c r="E149" i="11"/>
  <c r="E173" i="11"/>
  <c r="E160" i="11"/>
  <c r="E139" i="11"/>
  <c r="E148" i="11"/>
  <c r="B39" i="87"/>
  <c r="BN82" i="75"/>
  <c r="N18" i="81"/>
  <c r="AF32" i="98"/>
  <c r="G40" i="98" s="1"/>
  <c r="AN32" i="98"/>
  <c r="I40" i="98" s="1"/>
  <c r="AE32" i="98"/>
  <c r="G12" i="98" s="1"/>
  <c r="AB37" i="98"/>
  <c r="AB44" i="98"/>
  <c r="AB74" i="98"/>
  <c r="AB70" i="98"/>
  <c r="AB42" i="98"/>
  <c r="AB38" i="98"/>
  <c r="AB57" i="98"/>
  <c r="AB52" i="98"/>
  <c r="AB60" i="98"/>
  <c r="AB67" i="98"/>
  <c r="AB61" i="98"/>
  <c r="AB69" i="98"/>
  <c r="AH32" i="98"/>
  <c r="K40" i="98" s="1"/>
  <c r="AD32" i="98"/>
  <c r="D40" i="98" s="1"/>
  <c r="AC32" i="98"/>
  <c r="D12" i="98" s="1"/>
  <c r="AB64" i="98"/>
  <c r="AC118" i="5"/>
  <c r="BO118" i="5"/>
  <c r="AV117" i="5"/>
  <c r="AQ118" i="5"/>
  <c r="BE118" i="5"/>
  <c r="AX118" i="5"/>
  <c r="AT117" i="5"/>
  <c r="N3" i="81"/>
  <c r="K7" i="91" s="1"/>
  <c r="AV118" i="5"/>
  <c r="AB118" i="5"/>
  <c r="AB117" i="5"/>
  <c r="Q117" i="5"/>
  <c r="Q118" i="5"/>
  <c r="AL118" i="5"/>
  <c r="AL117" i="5"/>
  <c r="AA118" i="5"/>
  <c r="AA117" i="5"/>
  <c r="U117" i="5"/>
  <c r="U118" i="5"/>
  <c r="AG118" i="5"/>
  <c r="AG117" i="5"/>
  <c r="AP118" i="5"/>
  <c r="AP117" i="5"/>
  <c r="AE118" i="5"/>
  <c r="AE117" i="5"/>
  <c r="AI117" i="5"/>
  <c r="AI118" i="5"/>
  <c r="AF118" i="5"/>
  <c r="AF117" i="5"/>
  <c r="AO118" i="5"/>
  <c r="AO117" i="5"/>
  <c r="AH117" i="5"/>
  <c r="AH118" i="5"/>
  <c r="AX117" i="5"/>
  <c r="AJ118" i="5"/>
  <c r="AJ117" i="5"/>
  <c r="D67" i="13"/>
  <c r="D68" i="13" s="1"/>
  <c r="D69" i="13" s="1"/>
  <c r="D70" i="13" s="1"/>
  <c r="D71" i="13" s="1"/>
  <c r="D72" i="13" s="1"/>
  <c r="D73" i="13" s="1"/>
  <c r="D74" i="13" s="1"/>
  <c r="D75" i="13" s="1"/>
  <c r="D76" i="13" s="1"/>
  <c r="D77" i="13" s="1"/>
  <c r="D78" i="13" s="1"/>
  <c r="D79" i="13" s="1"/>
  <c r="D80" i="13" s="1"/>
  <c r="D81" i="13" s="1"/>
  <c r="D82" i="13" s="1"/>
  <c r="D83" i="13" s="1"/>
  <c r="D84" i="13" s="1"/>
  <c r="D85" i="13" s="1"/>
  <c r="D86" i="13" s="1"/>
  <c r="D87" i="13" s="1"/>
  <c r="D88" i="13" s="1"/>
  <c r="D89" i="13" s="1"/>
  <c r="D90" i="13" s="1"/>
  <c r="D91" i="13" s="1"/>
  <c r="D92" i="13" s="1"/>
  <c r="D93" i="13" s="1"/>
  <c r="D94" i="13" s="1"/>
  <c r="D95" i="13" s="1"/>
  <c r="D96" i="13" s="1"/>
  <c r="D97" i="13" s="1"/>
  <c r="B44" i="87"/>
  <c r="AM3" i="5"/>
  <c r="V3" i="5"/>
  <c r="AF3" i="5"/>
  <c r="AP3" i="5"/>
  <c r="H2" i="29"/>
  <c r="BD2" i="29"/>
  <c r="A24" i="7"/>
  <c r="AS2" i="29"/>
  <c r="BA2" i="29"/>
  <c r="A26" i="7"/>
  <c r="D33" i="87"/>
  <c r="F31" i="91"/>
  <c r="H50" i="81"/>
  <c r="G60" i="91"/>
  <c r="BA93" i="29"/>
  <c r="AU95" i="29"/>
  <c r="BD90" i="29"/>
  <c r="BD89" i="29"/>
  <c r="BB96" i="29"/>
  <c r="BB95" i="29"/>
  <c r="BB93" i="29"/>
  <c r="BB92" i="29"/>
  <c r="BB94" i="29"/>
  <c r="BB91" i="29"/>
  <c r="BB90" i="29"/>
  <c r="BB89" i="29"/>
  <c r="AV93" i="29"/>
  <c r="AV90" i="29"/>
  <c r="AV89" i="29"/>
  <c r="AT96" i="29"/>
  <c r="AR92" i="29"/>
  <c r="AR90" i="29"/>
  <c r="AR89" i="29"/>
  <c r="AP96" i="29"/>
  <c r="AP95" i="29"/>
  <c r="AP93" i="29"/>
  <c r="AP92" i="29"/>
  <c r="AP94" i="29"/>
  <c r="AP91" i="29"/>
  <c r="AP90" i="29"/>
  <c r="AP89" i="29"/>
  <c r="AN92" i="29"/>
  <c r="AN90" i="29"/>
  <c r="AN89" i="29"/>
  <c r="AL96" i="29"/>
  <c r="AL95" i="29"/>
  <c r="AL93" i="29"/>
  <c r="AL92" i="29"/>
  <c r="AL94" i="29"/>
  <c r="AL91" i="29"/>
  <c r="AL90" i="29"/>
  <c r="AL89" i="29"/>
  <c r="AH96" i="29"/>
  <c r="AF89" i="29"/>
  <c r="AD96" i="29"/>
  <c r="AD95" i="29"/>
  <c r="AD93" i="29"/>
  <c r="AD92" i="29"/>
  <c r="AD94" i="29"/>
  <c r="AB93" i="29"/>
  <c r="AB90" i="29"/>
  <c r="AB89" i="29"/>
  <c r="U95" i="29"/>
  <c r="U96" i="29"/>
  <c r="U94" i="29"/>
  <c r="U93" i="29"/>
  <c r="U92" i="29"/>
  <c r="U91" i="29"/>
  <c r="U90" i="29"/>
  <c r="U89" i="29"/>
  <c r="S94" i="29"/>
  <c r="S90" i="29"/>
  <c r="S89" i="29"/>
  <c r="Q96" i="29"/>
  <c r="Q94" i="29"/>
  <c r="Q95" i="29"/>
  <c r="Q93" i="29"/>
  <c r="Q92" i="29"/>
  <c r="Q91" i="29"/>
  <c r="Q90" i="29"/>
  <c r="Q89" i="29"/>
  <c r="M93" i="29"/>
  <c r="M92" i="29"/>
  <c r="I93" i="29"/>
  <c r="I92" i="29"/>
  <c r="I91" i="29"/>
  <c r="I90" i="29"/>
  <c r="I89" i="29"/>
  <c r="G95" i="29"/>
  <c r="G93" i="29"/>
  <c r="G90" i="29"/>
  <c r="G89" i="29"/>
  <c r="E96" i="29"/>
  <c r="E94" i="29"/>
  <c r="E95" i="29"/>
  <c r="E93" i="29"/>
  <c r="E92" i="29"/>
  <c r="E91" i="29"/>
  <c r="E90" i="29"/>
  <c r="E89" i="29"/>
  <c r="BK94" i="29"/>
  <c r="BK93" i="29"/>
  <c r="BK90" i="29"/>
  <c r="BK89" i="29"/>
  <c r="BI95" i="29"/>
  <c r="BI96" i="29"/>
  <c r="BI94" i="29"/>
  <c r="BI93" i="29"/>
  <c r="BI92" i="29"/>
  <c r="BI87" i="29"/>
  <c r="K60" i="81" s="1"/>
  <c r="BI85" i="29"/>
  <c r="K58" i="81" s="1"/>
  <c r="BI91" i="29"/>
  <c r="BI90" i="29"/>
  <c r="BI89" i="29"/>
  <c r="BI86" i="29"/>
  <c r="K59" i="81" s="1"/>
  <c r="BI84" i="29"/>
  <c r="K57" i="81" s="1"/>
  <c r="BE93" i="29"/>
  <c r="BE92" i="29"/>
  <c r="H65" i="81" s="1"/>
  <c r="X92" i="29"/>
  <c r="X94" i="29"/>
  <c r="X91" i="29"/>
  <c r="X90" i="29"/>
  <c r="X89" i="29"/>
  <c r="BO95" i="29"/>
  <c r="O68" i="81" s="1"/>
  <c r="BO96" i="29"/>
  <c r="O69" i="81" s="1"/>
  <c r="BO94" i="29"/>
  <c r="O67" i="81" s="1"/>
  <c r="BO93" i="29"/>
  <c r="O66" i="81" s="1"/>
  <c r="AS93" i="29"/>
  <c r="G66" i="81" s="1"/>
  <c r="AQ95" i="29"/>
  <c r="AQ96" i="29"/>
  <c r="AQ94" i="29"/>
  <c r="AQ93" i="29"/>
  <c r="AQ92" i="29"/>
  <c r="AQ91" i="29"/>
  <c r="AQ90" i="29"/>
  <c r="AQ89" i="29"/>
  <c r="AO92" i="29"/>
  <c r="AE95" i="29"/>
  <c r="AE96" i="29"/>
  <c r="AC91" i="29"/>
  <c r="V96" i="29"/>
  <c r="D69" i="81" s="1"/>
  <c r="V95" i="29"/>
  <c r="D68" i="81" s="1"/>
  <c r="V93" i="29"/>
  <c r="D66" i="81" s="1"/>
  <c r="V92" i="29"/>
  <c r="D65" i="81" s="1"/>
  <c r="V94" i="29"/>
  <c r="D67" i="81" s="1"/>
  <c r="V91" i="29"/>
  <c r="D64" i="81" s="1"/>
  <c r="V90" i="29"/>
  <c r="D63" i="81" s="1"/>
  <c r="V89" i="29"/>
  <c r="D62" i="81" s="1"/>
  <c r="T90" i="29"/>
  <c r="H95" i="29"/>
  <c r="F96" i="29"/>
  <c r="F95" i="29"/>
  <c r="F93" i="29"/>
  <c r="F94" i="29"/>
  <c r="F92" i="29"/>
  <c r="F91" i="29"/>
  <c r="F90" i="29"/>
  <c r="F89" i="29"/>
  <c r="BL95" i="29"/>
  <c r="BF91" i="29"/>
  <c r="I64" i="81" s="1"/>
  <c r="Y95" i="29"/>
  <c r="Y92" i="29"/>
  <c r="Y91" i="29"/>
  <c r="Y90" i="29"/>
  <c r="Y89" i="29"/>
  <c r="W91" i="29"/>
  <c r="C26" i="87"/>
  <c r="AD58" i="87" s="1"/>
  <c r="AR93" i="75"/>
  <c r="AM93" i="75"/>
  <c r="V102" i="75"/>
  <c r="K93" i="75"/>
  <c r="N93" i="75"/>
  <c r="AU41" i="75"/>
  <c r="AZ41" i="75"/>
  <c r="AZ61" i="75"/>
  <c r="AZ19" i="75"/>
  <c r="BG75" i="75"/>
  <c r="AW19" i="75"/>
  <c r="AZ16" i="75"/>
  <c r="AW41" i="75"/>
  <c r="AW61" i="75"/>
  <c r="AW75" i="75"/>
  <c r="AY82" i="75"/>
  <c r="AY75" i="75"/>
  <c r="AY61" i="75"/>
  <c r="BF93" i="75"/>
  <c r="AQ88" i="75"/>
  <c r="AY16" i="75"/>
  <c r="AL16" i="75"/>
  <c r="AW16" i="75"/>
  <c r="AY19" i="75"/>
  <c r="AM16" i="75"/>
  <c r="AX88" i="75"/>
  <c r="AX19" i="75"/>
  <c r="AX61" i="75"/>
  <c r="AP41" i="75"/>
  <c r="V75" i="75"/>
  <c r="AX82" i="75"/>
  <c r="AX41" i="75"/>
  <c r="AJ41" i="75"/>
  <c r="AX75" i="75"/>
  <c r="AK41" i="75"/>
  <c r="E28" i="87"/>
  <c r="C17" i="78"/>
  <c r="BO117" i="5"/>
  <c r="BE117" i="5"/>
  <c r="AU117" i="5"/>
  <c r="AU118" i="5"/>
  <c r="AQ117" i="5"/>
  <c r="BB117" i="5"/>
  <c r="BB118" i="5"/>
  <c r="AT118" i="5"/>
  <c r="AS117" i="5"/>
  <c r="AS118" i="5"/>
  <c r="M20" i="81"/>
  <c r="A42" i="7"/>
  <c r="BB2" i="29"/>
  <c r="B51" i="96"/>
  <c r="AY2" i="29"/>
  <c r="B48" i="96"/>
  <c r="AB46" i="88"/>
  <c r="A11" i="5"/>
  <c r="F3" i="7"/>
  <c r="A20" i="5"/>
  <c r="J3" i="7"/>
  <c r="A27" i="29"/>
  <c r="I3" i="7"/>
  <c r="A12" i="5"/>
  <c r="G3" i="7"/>
  <c r="R2" i="29"/>
  <c r="A51" i="7"/>
  <c r="B36" i="96"/>
  <c r="BI2" i="29"/>
  <c r="B38" i="96"/>
  <c r="G40" i="88"/>
  <c r="AE46" i="88" s="1"/>
  <c r="A13" i="29"/>
  <c r="A11" i="81"/>
  <c r="A36" i="29"/>
  <c r="A26" i="81"/>
  <c r="A59" i="29"/>
  <c r="A32" i="81"/>
  <c r="A65" i="29"/>
  <c r="A38" i="81"/>
  <c r="A61" i="29"/>
  <c r="A34" i="81"/>
  <c r="A40" i="81"/>
  <c r="A76" i="29"/>
  <c r="A80" i="29"/>
  <c r="A58" i="81"/>
  <c r="BM2" i="29"/>
  <c r="A16" i="29"/>
  <c r="A102" i="29" s="1"/>
  <c r="A73" i="81" s="1"/>
  <c r="A13" i="81"/>
  <c r="A19" i="29"/>
  <c r="A105" i="29" s="1"/>
  <c r="A76" i="81" s="1"/>
  <c r="A16" i="81"/>
  <c r="A31" i="5"/>
  <c r="A21" i="81"/>
  <c r="A40" i="5"/>
  <c r="A25" i="81"/>
  <c r="A63" i="5"/>
  <c r="A31" i="81"/>
  <c r="A64" i="29"/>
  <c r="A37" i="81"/>
  <c r="A60" i="29"/>
  <c r="A33" i="81"/>
  <c r="A70" i="29"/>
  <c r="A43" i="81"/>
  <c r="AH65" i="90" s="1"/>
  <c r="A66" i="29"/>
  <c r="A39" i="81"/>
  <c r="A83" i="29"/>
  <c r="A56" i="81"/>
  <c r="A79" i="29"/>
  <c r="A52" i="81"/>
  <c r="A12" i="29"/>
  <c r="A10" i="81"/>
  <c r="A15" i="29"/>
  <c r="A101" i="29" s="1"/>
  <c r="A72" i="81" s="1"/>
  <c r="A12" i="81"/>
  <c r="A69" i="29"/>
  <c r="A42" i="81"/>
  <c r="A78" i="29"/>
  <c r="A51" i="81"/>
  <c r="AH66" i="90" s="1"/>
  <c r="A74" i="29"/>
  <c r="A47" i="81"/>
  <c r="A82" i="29"/>
  <c r="A55" i="81"/>
  <c r="A87" i="29"/>
  <c r="A60" i="81"/>
  <c r="A88" i="29"/>
  <c r="A61" i="81"/>
  <c r="A20" i="29"/>
  <c r="A106" i="29" s="1"/>
  <c r="A77" i="81" s="1"/>
  <c r="A17" i="81"/>
  <c r="A60" i="5"/>
  <c r="A28" i="81"/>
  <c r="AH69" i="90" s="1"/>
  <c r="AH79" i="90" s="1"/>
  <c r="A41" i="81"/>
  <c r="A97" i="29"/>
  <c r="A70" i="81"/>
  <c r="BP3" i="5"/>
  <c r="W2" i="29"/>
  <c r="E2" i="81"/>
  <c r="BF2" i="29"/>
  <c r="I2" i="81"/>
  <c r="AH7" i="90" s="1"/>
  <c r="V2" i="29"/>
  <c r="D2" i="81"/>
  <c r="BG2" i="29"/>
  <c r="J2" i="81"/>
  <c r="AH10" i="90" s="1"/>
  <c r="C2" i="81"/>
  <c r="H2" i="81"/>
  <c r="AH6" i="90" s="1"/>
  <c r="C4" i="11"/>
  <c r="A3" i="81"/>
  <c r="A6" i="29"/>
  <c r="A4" i="81"/>
  <c r="A5" i="81"/>
  <c r="A9" i="29"/>
  <c r="A7" i="81"/>
  <c r="A83" i="5"/>
  <c r="A81" i="5"/>
  <c r="A79" i="5"/>
  <c r="A87" i="5"/>
  <c r="A85" i="5"/>
  <c r="A92" i="5"/>
  <c r="A102" i="5"/>
  <c r="A73" i="5"/>
  <c r="A71" i="5"/>
  <c r="A88" i="5"/>
  <c r="A84" i="5"/>
  <c r="AY117" i="5"/>
  <c r="AY118" i="5"/>
  <c r="AC117" i="5"/>
  <c r="AM118" i="5"/>
  <c r="AM117" i="5"/>
  <c r="AN118" i="5"/>
  <c r="AN117" i="5"/>
  <c r="P118" i="5"/>
  <c r="P117" i="5"/>
  <c r="AD118" i="5"/>
  <c r="AD117" i="5"/>
  <c r="BG118" i="5"/>
  <c r="BG117" i="5"/>
  <c r="V117" i="5"/>
  <c r="V118" i="5"/>
  <c r="AK117" i="5"/>
  <c r="AK118" i="5"/>
  <c r="E177" i="11"/>
  <c r="K21" i="82"/>
  <c r="Y118" i="5"/>
  <c r="X118" i="5"/>
  <c r="A15" i="5"/>
  <c r="A32" i="5"/>
  <c r="A37" i="5"/>
  <c r="A41" i="5"/>
  <c r="A43" i="5"/>
  <c r="A58" i="5"/>
  <c r="A54" i="5"/>
  <c r="A64" i="5"/>
  <c r="A66" i="5"/>
  <c r="A26" i="29"/>
  <c r="A50" i="29"/>
  <c r="A58" i="29"/>
  <c r="A21" i="5"/>
  <c r="A31" i="29"/>
  <c r="A35" i="29"/>
  <c r="A39" i="29"/>
  <c r="A43" i="29"/>
  <c r="A14" i="5"/>
  <c r="A33" i="5"/>
  <c r="A34" i="5"/>
  <c r="A46" i="5"/>
  <c r="A42" i="5"/>
  <c r="A57" i="5"/>
  <c r="A53" i="5"/>
  <c r="A69" i="5"/>
  <c r="A65" i="5"/>
  <c r="A77" i="5"/>
  <c r="A74" i="5"/>
  <c r="G118" i="5"/>
  <c r="G117" i="5"/>
  <c r="N118" i="5"/>
  <c r="N117" i="5"/>
  <c r="C118" i="5"/>
  <c r="C117" i="5"/>
  <c r="S117" i="5"/>
  <c r="S118" i="5"/>
  <c r="H118" i="5"/>
  <c r="H117" i="5"/>
  <c r="T117" i="5"/>
  <c r="T118" i="5"/>
  <c r="O117" i="5"/>
  <c r="O118" i="5"/>
  <c r="AW118" i="5"/>
  <c r="AW117" i="5"/>
  <c r="AR117" i="5"/>
  <c r="AR118" i="5"/>
  <c r="K118" i="5"/>
  <c r="K117" i="5"/>
  <c r="BN117" i="5"/>
  <c r="BN118" i="5"/>
  <c r="AZ117" i="5"/>
  <c r="AZ118" i="5"/>
  <c r="F117" i="5"/>
  <c r="F118" i="5"/>
  <c r="Z118" i="5"/>
  <c r="Z117" i="5"/>
  <c r="D118" i="5"/>
  <c r="D117" i="5"/>
  <c r="E117" i="5"/>
  <c r="E118" i="5"/>
  <c r="R117" i="5"/>
  <c r="R118" i="5"/>
  <c r="L118" i="5"/>
  <c r="L117" i="5"/>
  <c r="J117" i="5"/>
  <c r="J118" i="5"/>
  <c r="M117" i="5"/>
  <c r="M118" i="5"/>
  <c r="I118" i="5"/>
  <c r="I117" i="5"/>
  <c r="AR6" i="29" l="1"/>
  <c r="AR7" i="29"/>
  <c r="AR8" i="29"/>
  <c r="AR9" i="29"/>
  <c r="AR10" i="29"/>
  <c r="AQ6" i="29"/>
  <c r="AQ7" i="29"/>
  <c r="AQ8" i="29"/>
  <c r="AQ9" i="29"/>
  <c r="AQ10" i="29"/>
  <c r="AP6" i="29"/>
  <c r="AP7" i="29"/>
  <c r="AP8" i="29"/>
  <c r="AP9" i="29"/>
  <c r="AP10" i="29"/>
  <c r="AO6" i="29"/>
  <c r="AO7" i="29"/>
  <c r="AO8" i="29"/>
  <c r="AO9" i="29"/>
  <c r="AO10" i="29"/>
  <c r="AN6" i="29"/>
  <c r="AN7" i="29"/>
  <c r="AN8" i="29"/>
  <c r="AN9" i="29"/>
  <c r="AN10" i="29"/>
  <c r="AM5" i="29"/>
  <c r="AM6" i="29"/>
  <c r="AM7" i="29"/>
  <c r="AM8" i="29"/>
  <c r="AM9" i="29"/>
  <c r="AM10" i="29"/>
  <c r="AL5" i="29"/>
  <c r="AL6" i="29"/>
  <c r="AL7" i="29"/>
  <c r="AL8" i="29"/>
  <c r="AL9" i="29"/>
  <c r="AL10" i="29"/>
  <c r="AK5" i="29"/>
  <c r="AK6" i="29"/>
  <c r="AK7" i="29"/>
  <c r="AK8" i="29"/>
  <c r="AK9" i="29"/>
  <c r="AK10" i="29"/>
  <c r="AJ5" i="29"/>
  <c r="AJ6" i="29"/>
  <c r="AJ7" i="29"/>
  <c r="AJ8" i="29"/>
  <c r="AJ9" i="29"/>
  <c r="AJ10" i="29"/>
  <c r="AI5" i="29"/>
  <c r="AI6" i="29"/>
  <c r="AI7" i="29"/>
  <c r="AI8" i="29"/>
  <c r="AI9" i="29"/>
  <c r="AI10" i="29"/>
  <c r="AH5" i="29"/>
  <c r="AH6" i="29"/>
  <c r="AH7" i="29"/>
  <c r="AH8" i="29"/>
  <c r="AH9" i="29"/>
  <c r="AH10" i="29"/>
  <c r="AG5" i="29"/>
  <c r="AG6" i="29"/>
  <c r="AG7" i="29"/>
  <c r="AG8" i="29"/>
  <c r="AG9" i="29"/>
  <c r="AG10" i="29"/>
  <c r="AF5" i="29"/>
  <c r="AF6" i="29"/>
  <c r="AF7" i="29"/>
  <c r="AF8" i="29"/>
  <c r="AF9" i="29"/>
  <c r="AF10" i="29"/>
  <c r="AE5" i="29"/>
  <c r="AE6" i="29"/>
  <c r="AE7" i="29"/>
  <c r="AE8" i="29"/>
  <c r="AE9" i="29"/>
  <c r="AE10" i="29"/>
  <c r="AD5" i="29"/>
  <c r="AD6" i="29"/>
  <c r="AD7" i="29"/>
  <c r="AD8" i="29"/>
  <c r="AD9" i="29"/>
  <c r="AD10" i="29"/>
  <c r="AC5" i="29"/>
  <c r="AC6" i="29"/>
  <c r="AC7" i="29"/>
  <c r="AC8" i="29"/>
  <c r="AC9" i="29"/>
  <c r="AC10" i="29"/>
  <c r="AB5" i="29"/>
  <c r="AB6" i="29"/>
  <c r="AB7" i="29"/>
  <c r="AB8" i="29"/>
  <c r="AB9" i="29"/>
  <c r="AB10" i="29"/>
  <c r="AA5" i="29"/>
  <c r="AA6" i="29"/>
  <c r="AA7" i="29"/>
  <c r="AA8" i="29"/>
  <c r="AA9" i="29"/>
  <c r="AA10" i="29"/>
  <c r="Z93" i="29"/>
  <c r="Z5" i="29"/>
  <c r="Z6" i="29"/>
  <c r="Z7" i="29"/>
  <c r="Z8" i="29"/>
  <c r="Z9" i="29"/>
  <c r="Z10" i="29"/>
  <c r="Y96" i="29"/>
  <c r="Y5" i="29"/>
  <c r="Y6" i="29"/>
  <c r="Y7" i="29"/>
  <c r="Y8" i="29"/>
  <c r="Y9" i="29"/>
  <c r="Y10" i="29"/>
  <c r="X96" i="29"/>
  <c r="X5" i="29"/>
  <c r="X6" i="29"/>
  <c r="X7" i="29"/>
  <c r="X8" i="29"/>
  <c r="X9" i="29"/>
  <c r="X10" i="29"/>
  <c r="W94" i="29"/>
  <c r="W6" i="29"/>
  <c r="W7" i="29"/>
  <c r="W8" i="29"/>
  <c r="W9" i="29"/>
  <c r="W10" i="29"/>
  <c r="W5" i="29"/>
  <c r="AU93" i="29"/>
  <c r="AU46" i="29"/>
  <c r="AS91" i="29"/>
  <c r="G64" i="81" s="1"/>
  <c r="AS49" i="29"/>
  <c r="AR95" i="29"/>
  <c r="AR85" i="29"/>
  <c r="AR86" i="29"/>
  <c r="AR87" i="29"/>
  <c r="AR84" i="29"/>
  <c r="AR30" i="29"/>
  <c r="AQ85" i="29"/>
  <c r="AQ86" i="29"/>
  <c r="AQ87" i="29"/>
  <c r="AQ84" i="29"/>
  <c r="AQ30" i="29"/>
  <c r="AP85" i="29"/>
  <c r="AP86" i="29"/>
  <c r="AP87" i="29"/>
  <c r="AP84" i="29"/>
  <c r="AP30" i="29"/>
  <c r="AO94" i="29"/>
  <c r="AO85" i="29"/>
  <c r="AO86" i="29"/>
  <c r="AO87" i="29"/>
  <c r="AO84" i="29"/>
  <c r="AO30" i="29"/>
  <c r="AN93" i="29"/>
  <c r="AN85" i="29"/>
  <c r="AN86" i="29"/>
  <c r="AN87" i="29"/>
  <c r="AN84" i="29"/>
  <c r="AN30" i="29"/>
  <c r="AM95" i="29"/>
  <c r="AM58" i="29"/>
  <c r="AM59" i="29"/>
  <c r="AM60" i="29"/>
  <c r="AM61" i="29"/>
  <c r="AM62" i="29"/>
  <c r="AM63" i="29"/>
  <c r="AM64" i="29"/>
  <c r="AM65" i="29"/>
  <c r="AM66" i="29"/>
  <c r="AM67" i="29"/>
  <c r="AM68" i="29"/>
  <c r="AM69" i="29"/>
  <c r="AM57" i="29"/>
  <c r="AM71" i="29"/>
  <c r="AM72" i="29"/>
  <c r="AM73" i="29"/>
  <c r="AM74" i="29"/>
  <c r="AM75" i="29"/>
  <c r="AM76" i="29"/>
  <c r="AM78" i="29"/>
  <c r="AM79" i="29"/>
  <c r="AM80" i="29"/>
  <c r="AM81" i="29"/>
  <c r="AM82" i="29"/>
  <c r="AM85" i="29"/>
  <c r="AM86" i="29"/>
  <c r="AM87" i="29"/>
  <c r="AM84" i="29"/>
  <c r="AM30" i="29"/>
  <c r="AL58" i="29"/>
  <c r="AL59" i="29"/>
  <c r="AL60" i="29"/>
  <c r="AL61" i="29"/>
  <c r="AL62" i="29"/>
  <c r="AL63" i="29"/>
  <c r="AL64" i="29"/>
  <c r="AL65" i="29"/>
  <c r="AL66" i="29"/>
  <c r="AL67" i="29"/>
  <c r="AL68" i="29"/>
  <c r="AL69" i="29"/>
  <c r="AL57" i="29"/>
  <c r="AL71" i="29"/>
  <c r="AL72" i="29"/>
  <c r="AL73" i="29"/>
  <c r="AL74" i="29"/>
  <c r="AL75" i="29"/>
  <c r="AL76" i="29"/>
  <c r="AL78" i="29"/>
  <c r="AL79" i="29"/>
  <c r="AL80" i="29"/>
  <c r="AL81" i="29"/>
  <c r="AL82" i="29"/>
  <c r="AL84" i="29"/>
  <c r="AL85" i="29"/>
  <c r="AL86" i="29"/>
  <c r="AL87" i="29"/>
  <c r="AL30" i="29"/>
  <c r="AK94" i="29"/>
  <c r="AK58" i="29"/>
  <c r="AK59" i="29"/>
  <c r="AK60" i="29"/>
  <c r="AK61" i="29"/>
  <c r="AK62" i="29"/>
  <c r="AK63" i="29"/>
  <c r="AK64" i="29"/>
  <c r="AK65" i="29"/>
  <c r="AK66" i="29"/>
  <c r="AK67" i="29"/>
  <c r="AK68" i="29"/>
  <c r="AK69" i="29"/>
  <c r="AK57" i="29"/>
  <c r="AK71" i="29"/>
  <c r="AK72" i="29"/>
  <c r="AK73" i="29"/>
  <c r="AK74" i="29"/>
  <c r="AK75" i="29"/>
  <c r="AK76" i="29"/>
  <c r="AK78" i="29"/>
  <c r="AK79" i="29"/>
  <c r="AK80" i="29"/>
  <c r="AK81" i="29"/>
  <c r="AK82" i="29"/>
  <c r="AK84" i="29"/>
  <c r="AK85" i="29"/>
  <c r="AK86" i="29"/>
  <c r="AK87" i="29"/>
  <c r="AK30" i="29"/>
  <c r="AJ95" i="29"/>
  <c r="AJ58" i="29"/>
  <c r="AJ59" i="29"/>
  <c r="AJ60" i="29"/>
  <c r="AJ61" i="29"/>
  <c r="AJ62" i="29"/>
  <c r="AJ63" i="29"/>
  <c r="AJ64" i="29"/>
  <c r="AJ65" i="29"/>
  <c r="AJ66" i="29"/>
  <c r="AJ67" i="29"/>
  <c r="AJ68" i="29"/>
  <c r="AJ69" i="29"/>
  <c r="AJ57" i="29"/>
  <c r="AJ71" i="29"/>
  <c r="AJ72" i="29"/>
  <c r="AJ73" i="29"/>
  <c r="AJ74" i="29"/>
  <c r="AJ75" i="29"/>
  <c r="AJ76" i="29"/>
  <c r="AJ78" i="29"/>
  <c r="AJ79" i="29"/>
  <c r="AJ80" i="29"/>
  <c r="AJ81" i="29"/>
  <c r="AJ82" i="29"/>
  <c r="AJ84" i="29"/>
  <c r="AJ85" i="29"/>
  <c r="AJ86" i="29"/>
  <c r="AJ87" i="29"/>
  <c r="AJ30" i="29"/>
  <c r="AI95" i="29"/>
  <c r="AI58" i="29"/>
  <c r="AI59" i="29"/>
  <c r="AI60" i="29"/>
  <c r="AI61" i="29"/>
  <c r="AI62" i="29"/>
  <c r="AI63" i="29"/>
  <c r="AI64" i="29"/>
  <c r="AI65" i="29"/>
  <c r="AI66" i="29"/>
  <c r="AI67" i="29"/>
  <c r="AI68" i="29"/>
  <c r="AI69" i="29"/>
  <c r="AI57" i="29"/>
  <c r="AI71" i="29"/>
  <c r="AI72" i="29"/>
  <c r="AI73" i="29"/>
  <c r="AI74" i="29"/>
  <c r="AI75" i="29"/>
  <c r="AI76" i="29"/>
  <c r="AI78" i="29"/>
  <c r="AI79" i="29"/>
  <c r="AI80" i="29"/>
  <c r="AI81" i="29"/>
  <c r="AI82" i="29"/>
  <c r="AI84" i="29"/>
  <c r="AI85" i="29"/>
  <c r="AI86" i="29"/>
  <c r="AI87" i="29"/>
  <c r="AI30" i="29"/>
  <c r="AH58" i="29"/>
  <c r="AH59" i="29"/>
  <c r="AH60" i="29"/>
  <c r="AH61" i="29"/>
  <c r="AH62" i="29"/>
  <c r="AH63" i="29"/>
  <c r="AH64" i="29"/>
  <c r="AH65" i="29"/>
  <c r="AH66" i="29"/>
  <c r="AH67" i="29"/>
  <c r="AH68" i="29"/>
  <c r="AH69" i="29"/>
  <c r="AH57" i="29"/>
  <c r="AH71" i="29"/>
  <c r="AH72" i="29"/>
  <c r="AH73" i="29"/>
  <c r="AH74" i="29"/>
  <c r="AH75" i="29"/>
  <c r="AH76" i="29"/>
  <c r="AH78" i="29"/>
  <c r="AH79" i="29"/>
  <c r="AH80" i="29"/>
  <c r="AH81" i="29"/>
  <c r="AH82" i="29"/>
  <c r="AH84" i="29"/>
  <c r="AH85" i="29"/>
  <c r="AH86" i="29"/>
  <c r="AH87" i="29"/>
  <c r="AH30" i="29"/>
  <c r="AG91" i="29"/>
  <c r="AG58" i="29"/>
  <c r="AG59" i="29"/>
  <c r="AG60" i="29"/>
  <c r="AG61" i="29"/>
  <c r="AG62" i="29"/>
  <c r="AG63" i="29"/>
  <c r="AG64" i="29"/>
  <c r="AG65" i="29"/>
  <c r="AG66" i="29"/>
  <c r="AG67" i="29"/>
  <c r="AG68" i="29"/>
  <c r="AG69" i="29"/>
  <c r="AG57" i="29"/>
  <c r="AG71" i="29"/>
  <c r="AG72" i="29"/>
  <c r="AG73" i="29"/>
  <c r="AG74" i="29"/>
  <c r="AG75" i="29"/>
  <c r="AG76" i="29"/>
  <c r="AG78" i="29"/>
  <c r="AG79" i="29"/>
  <c r="AG80" i="29"/>
  <c r="AG81" i="29"/>
  <c r="AG82" i="29"/>
  <c r="AG84" i="29"/>
  <c r="AG85" i="29"/>
  <c r="AG86" i="29"/>
  <c r="AG87" i="29"/>
  <c r="AG30" i="29"/>
  <c r="AF58" i="29"/>
  <c r="AF59" i="29"/>
  <c r="AF60" i="29"/>
  <c r="AF61" i="29"/>
  <c r="AF62" i="29"/>
  <c r="AF63" i="29"/>
  <c r="AF64" i="29"/>
  <c r="AF65" i="29"/>
  <c r="AF66" i="29"/>
  <c r="AF67" i="29"/>
  <c r="AF68" i="29"/>
  <c r="AF69" i="29"/>
  <c r="AF57" i="29"/>
  <c r="AF71" i="29"/>
  <c r="AF72" i="29"/>
  <c r="AF73" i="29"/>
  <c r="AF74" i="29"/>
  <c r="AF75" i="29"/>
  <c r="AF76" i="29"/>
  <c r="AF78" i="29"/>
  <c r="AF79" i="29"/>
  <c r="AF80" i="29"/>
  <c r="AF81" i="29"/>
  <c r="AF82" i="29"/>
  <c r="AF84" i="29"/>
  <c r="AF85" i="29"/>
  <c r="AF86" i="29"/>
  <c r="AF87" i="29"/>
  <c r="AF30" i="29"/>
  <c r="AE58" i="29"/>
  <c r="AE59" i="29"/>
  <c r="AE60" i="29"/>
  <c r="AE61" i="29"/>
  <c r="AE62" i="29"/>
  <c r="AE63" i="29"/>
  <c r="AE64" i="29"/>
  <c r="AE65" i="29"/>
  <c r="AE66" i="29"/>
  <c r="AE67" i="29"/>
  <c r="AE68" i="29"/>
  <c r="AE69" i="29"/>
  <c r="AE57" i="29"/>
  <c r="AE71" i="29"/>
  <c r="AE72" i="29"/>
  <c r="AE73" i="29"/>
  <c r="AE74" i="29"/>
  <c r="AE75" i="29"/>
  <c r="AE76" i="29"/>
  <c r="AE78" i="29"/>
  <c r="AE79" i="29"/>
  <c r="AE80" i="29"/>
  <c r="AE81" i="29"/>
  <c r="AE82" i="29"/>
  <c r="AE84" i="29"/>
  <c r="AE85" i="29"/>
  <c r="AE86" i="29"/>
  <c r="AE87" i="29"/>
  <c r="AE30" i="29"/>
  <c r="AE24" i="29"/>
  <c r="AD58" i="29"/>
  <c r="AD59" i="29"/>
  <c r="AD60" i="29"/>
  <c r="AD61" i="29"/>
  <c r="AD62" i="29"/>
  <c r="AD63" i="29"/>
  <c r="AD64" i="29"/>
  <c r="AD65" i="29"/>
  <c r="AD66" i="29"/>
  <c r="AD67" i="29"/>
  <c r="AD68" i="29"/>
  <c r="AD69" i="29"/>
  <c r="AD57" i="29"/>
  <c r="AD71" i="29"/>
  <c r="AD72" i="29"/>
  <c r="AD73" i="29"/>
  <c r="AD74" i="29"/>
  <c r="AD75" i="29"/>
  <c r="AD76" i="29"/>
  <c r="AD78" i="29"/>
  <c r="AD79" i="29"/>
  <c r="AD80" i="29"/>
  <c r="AD81" i="29"/>
  <c r="AD82" i="29"/>
  <c r="AD84" i="29"/>
  <c r="AD85" i="29"/>
  <c r="AD86" i="29"/>
  <c r="AD87" i="29"/>
  <c r="AD30" i="29"/>
  <c r="AC94" i="29"/>
  <c r="AC30" i="29"/>
  <c r="AC58" i="29"/>
  <c r="AC59" i="29"/>
  <c r="AC60" i="29"/>
  <c r="AC61" i="29"/>
  <c r="AC62" i="29"/>
  <c r="AC63" i="29"/>
  <c r="AC64" i="29"/>
  <c r="AC65" i="29"/>
  <c r="AC66" i="29"/>
  <c r="AC67" i="29"/>
  <c r="AC68" i="29"/>
  <c r="AC69" i="29"/>
  <c r="AC72" i="29"/>
  <c r="AC73" i="29"/>
  <c r="AC74" i="29"/>
  <c r="AC75" i="29"/>
  <c r="AC76" i="29"/>
  <c r="AC71" i="29"/>
  <c r="AC79" i="29"/>
  <c r="AC80" i="29"/>
  <c r="AC81" i="29"/>
  <c r="AC82" i="29"/>
  <c r="AC78" i="29"/>
  <c r="AC84" i="29"/>
  <c r="AC85" i="29"/>
  <c r="AC86" i="29"/>
  <c r="AC87" i="29"/>
  <c r="AC57" i="29"/>
  <c r="AB95" i="29"/>
  <c r="AB30" i="29"/>
  <c r="AB84" i="29"/>
  <c r="AB85" i="29"/>
  <c r="AB86" i="29"/>
  <c r="AB87" i="29"/>
  <c r="AB57" i="29"/>
  <c r="AF93" i="29"/>
  <c r="AD89" i="29"/>
  <c r="C19" i="75"/>
  <c r="U19" i="75"/>
  <c r="AL19" i="75"/>
  <c r="AO19" i="75"/>
  <c r="AP19" i="75"/>
  <c r="Z41" i="75"/>
  <c r="C61" i="75"/>
  <c r="AD75" i="75"/>
  <c r="Z82" i="75"/>
  <c r="E82" i="75"/>
  <c r="AT93" i="75"/>
  <c r="AT102" i="75"/>
  <c r="C8" i="78"/>
  <c r="C9" i="78"/>
  <c r="H93" i="75"/>
  <c r="H41" i="75"/>
  <c r="I102" i="75"/>
  <c r="I93" i="75"/>
  <c r="I19" i="75"/>
  <c r="K19" i="75"/>
  <c r="L41" i="75"/>
  <c r="M19" i="75"/>
  <c r="BE75" i="75"/>
  <c r="AR82" i="75"/>
  <c r="AS61" i="75"/>
  <c r="AT19" i="75"/>
  <c r="AU82" i="75"/>
  <c r="AU61" i="75"/>
  <c r="AN61" i="75"/>
  <c r="O9" i="81"/>
  <c r="H10" i="91"/>
  <c r="O56" i="81"/>
  <c r="AA94" i="29"/>
  <c r="A23" i="7"/>
  <c r="AB2" i="29"/>
  <c r="A61" i="7"/>
  <c r="AA3" i="5"/>
  <c r="A62" i="7"/>
  <c r="AB3" i="5"/>
  <c r="A63" i="7"/>
  <c r="AC3" i="5"/>
  <c r="A64" i="7"/>
  <c r="B42" i="87"/>
  <c r="A65" i="7"/>
  <c r="B43" i="87"/>
  <c r="A66" i="7"/>
  <c r="B46" i="87"/>
  <c r="A67" i="7"/>
  <c r="A30" i="7"/>
  <c r="A68" i="7"/>
  <c r="AH3" i="5"/>
  <c r="A69" i="7"/>
  <c r="AI3" i="5"/>
  <c r="A70" i="7"/>
  <c r="AK3" i="5"/>
  <c r="A72" i="7"/>
  <c r="H96" i="29"/>
  <c r="AC92" i="29"/>
  <c r="AO96" i="29"/>
  <c r="AS94" i="29"/>
  <c r="G67" i="81" s="1"/>
  <c r="AW89" i="29"/>
  <c r="AM32" i="98"/>
  <c r="I12" i="98" s="1"/>
  <c r="O29" i="81"/>
  <c r="O61" i="81"/>
  <c r="J7" i="91"/>
  <c r="W96" i="29"/>
  <c r="BL91" i="29"/>
  <c r="H91" i="29"/>
  <c r="L95" i="29"/>
  <c r="T95" i="29"/>
  <c r="AC96" i="29"/>
  <c r="AO95" i="29"/>
  <c r="S93" i="29"/>
  <c r="AB92" i="29"/>
  <c r="AR93" i="29"/>
  <c r="BD92" i="29"/>
  <c r="AW90" i="29"/>
  <c r="I56" i="81"/>
  <c r="AK32" i="98"/>
  <c r="H12" i="98" s="1"/>
  <c r="AB40" i="98"/>
  <c r="AB39" i="98"/>
  <c r="AB73" i="98"/>
  <c r="AB54" i="98"/>
  <c r="AB72" i="98"/>
  <c r="AB43" i="98"/>
  <c r="H9" i="91"/>
  <c r="AE92" i="29"/>
  <c r="AG94" i="29"/>
  <c r="W92" i="29"/>
  <c r="BL96" i="29"/>
  <c r="T91" i="29"/>
  <c r="W95" i="29"/>
  <c r="BL94" i="29"/>
  <c r="L96" i="29"/>
  <c r="T93" i="29"/>
  <c r="AC95" i="29"/>
  <c r="AO91" i="29"/>
  <c r="BA89" i="29"/>
  <c r="AB71" i="98"/>
  <c r="AB33" i="98"/>
  <c r="AB36" i="98"/>
  <c r="AB79" i="98"/>
  <c r="AB58" i="98"/>
  <c r="AB65" i="98"/>
  <c r="AI32" i="98"/>
  <c r="E12" i="98" s="1"/>
  <c r="AB35" i="98"/>
  <c r="O50" i="81"/>
  <c r="AH92" i="29"/>
  <c r="BE96" i="29"/>
  <c r="H69" i="81" s="1"/>
  <c r="AG95" i="29"/>
  <c r="BF89" i="29"/>
  <c r="L91" i="29"/>
  <c r="AE93" i="29"/>
  <c r="BE90" i="29"/>
  <c r="M90" i="29"/>
  <c r="AD90" i="29"/>
  <c r="AH93" i="29"/>
  <c r="AT93" i="29"/>
  <c r="AU94" i="29"/>
  <c r="BF96" i="29"/>
  <c r="I69" i="81" s="1"/>
  <c r="G67" i="91" s="1"/>
  <c r="BF90" i="29"/>
  <c r="L92" i="29"/>
  <c r="AE94" i="29"/>
  <c r="BE91" i="29"/>
  <c r="H64" i="81" s="1"/>
  <c r="F64" i="91" s="1"/>
  <c r="M91" i="29"/>
  <c r="AD91" i="29"/>
  <c r="AH95" i="29"/>
  <c r="AT95" i="29"/>
  <c r="AU96" i="29"/>
  <c r="M95" i="29"/>
  <c r="M94" i="29"/>
  <c r="AW93" i="29"/>
  <c r="BF94" i="29"/>
  <c r="I67" i="81" s="1"/>
  <c r="BE94" i="29"/>
  <c r="H67" i="81" s="1"/>
  <c r="M96" i="29"/>
  <c r="AW94" i="29"/>
  <c r="AX89" i="29"/>
  <c r="AY89" i="29"/>
  <c r="Y93" i="29"/>
  <c r="J89" i="29"/>
  <c r="N94" i="29"/>
  <c r="AI89" i="29"/>
  <c r="X93" i="29"/>
  <c r="I95" i="29"/>
  <c r="AF90" i="29"/>
  <c r="AX90" i="29"/>
  <c r="AY90" i="29"/>
  <c r="N89" i="29"/>
  <c r="N90" i="29"/>
  <c r="AG96" i="29"/>
  <c r="N92" i="29"/>
  <c r="Y94" i="29"/>
  <c r="J90" i="29"/>
  <c r="N93" i="29"/>
  <c r="AI90" i="29"/>
  <c r="X95" i="29"/>
  <c r="I94" i="29"/>
  <c r="AF92" i="29"/>
  <c r="AX91" i="29"/>
  <c r="AY91" i="29"/>
  <c r="J91" i="29"/>
  <c r="N95" i="29"/>
  <c r="AI91" i="29"/>
  <c r="AX94" i="29"/>
  <c r="AY92" i="29"/>
  <c r="BF93" i="29"/>
  <c r="J92" i="29"/>
  <c r="N96" i="29"/>
  <c r="AI92" i="29"/>
  <c r="Z89" i="29"/>
  <c r="K89" i="29"/>
  <c r="AH89" i="29"/>
  <c r="AT89" i="29"/>
  <c r="AX92" i="29"/>
  <c r="AU89" i="29"/>
  <c r="AY93" i="29"/>
  <c r="BF92" i="29"/>
  <c r="I65" i="81" s="1"/>
  <c r="AA91" i="29"/>
  <c r="J94" i="29"/>
  <c r="AE89" i="29"/>
  <c r="AI93" i="29"/>
  <c r="Z90" i="29"/>
  <c r="K90" i="29"/>
  <c r="AH90" i="29"/>
  <c r="AT90" i="29"/>
  <c r="AX93" i="29"/>
  <c r="AU90" i="29"/>
  <c r="AY94" i="29"/>
  <c r="AA92" i="29"/>
  <c r="J93" i="29"/>
  <c r="AE90" i="29"/>
  <c r="AI94" i="29"/>
  <c r="Z92" i="29"/>
  <c r="K93" i="29"/>
  <c r="AH91" i="29"/>
  <c r="AT91" i="29"/>
  <c r="AX95" i="29"/>
  <c r="AU91" i="29"/>
  <c r="AY96" i="29"/>
  <c r="AG92" i="29"/>
  <c r="AA96" i="29"/>
  <c r="J95" i="29"/>
  <c r="AE91" i="29"/>
  <c r="AI96" i="29"/>
  <c r="K95" i="29"/>
  <c r="AH94" i="29"/>
  <c r="AT94" i="29"/>
  <c r="AU92" i="29"/>
  <c r="BE95" i="29"/>
  <c r="H68" i="81" s="1"/>
  <c r="AA95" i="29"/>
  <c r="BH94" i="29"/>
  <c r="P92" i="29"/>
  <c r="AK92" i="29"/>
  <c r="BC89" i="29"/>
  <c r="AZ93" i="75"/>
  <c r="R61" i="75"/>
  <c r="E96" i="11"/>
  <c r="BH95" i="29"/>
  <c r="P95" i="29"/>
  <c r="AK96" i="29"/>
  <c r="BC90" i="29"/>
  <c r="E102" i="11"/>
  <c r="V19" i="75"/>
  <c r="A48" i="81"/>
  <c r="BH96" i="29"/>
  <c r="P96" i="29"/>
  <c r="AK95" i="29"/>
  <c r="BG85" i="29"/>
  <c r="J58" i="81" s="1"/>
  <c r="H59" i="91" s="1"/>
  <c r="BC91" i="29"/>
  <c r="P91" i="29"/>
  <c r="A75" i="29"/>
  <c r="BJ89" i="29"/>
  <c r="R89" i="29"/>
  <c r="AM89" i="29"/>
  <c r="BG87" i="29"/>
  <c r="J60" i="81" s="1"/>
  <c r="BC92" i="29"/>
  <c r="AG19" i="75"/>
  <c r="E61" i="75"/>
  <c r="AM61" i="75"/>
  <c r="AK75" i="75"/>
  <c r="BE93" i="75"/>
  <c r="AP102" i="75"/>
  <c r="BH91" i="29"/>
  <c r="A20" i="81"/>
  <c r="BJ90" i="29"/>
  <c r="R90" i="29"/>
  <c r="AM90" i="29"/>
  <c r="BG91" i="29"/>
  <c r="J64" i="81" s="1"/>
  <c r="BC93" i="29"/>
  <c r="F61" i="75"/>
  <c r="C88" i="75"/>
  <c r="E102" i="75"/>
  <c r="E153" i="11"/>
  <c r="A78" i="5"/>
  <c r="A23" i="29"/>
  <c r="BJ91" i="29"/>
  <c r="R91" i="29"/>
  <c r="AM91" i="29"/>
  <c r="BG84" i="29"/>
  <c r="J57" i="81" s="1"/>
  <c r="BC94" i="29"/>
  <c r="I5" i="29"/>
  <c r="A8" i="81"/>
  <c r="A46" i="81"/>
  <c r="A14" i="81"/>
  <c r="BJ94" i="29"/>
  <c r="R92" i="29"/>
  <c r="AM92" i="29"/>
  <c r="BG93" i="29"/>
  <c r="J66" i="81" s="1"/>
  <c r="BC96" i="29"/>
  <c r="BJ92" i="29"/>
  <c r="R94" i="29"/>
  <c r="AM93" i="29"/>
  <c r="BG94" i="29"/>
  <c r="J67" i="81" s="1"/>
  <c r="A27" i="7"/>
  <c r="A35" i="81"/>
  <c r="BJ93" i="29"/>
  <c r="K66" i="81" s="1"/>
  <c r="R93" i="29"/>
  <c r="AM94" i="29"/>
  <c r="O89" i="29"/>
  <c r="AJ89" i="29"/>
  <c r="AZ89" i="29"/>
  <c r="AM19" i="75"/>
  <c r="A67" i="5"/>
  <c r="A57" i="81"/>
  <c r="BJ95" i="29"/>
  <c r="R95" i="29"/>
  <c r="AM96" i="29"/>
  <c r="O90" i="29"/>
  <c r="AJ90" i="29"/>
  <c r="AZ90" i="29"/>
  <c r="AK91" i="29"/>
  <c r="BA94" i="29"/>
  <c r="AB19" i="75"/>
  <c r="AB44" i="88"/>
  <c r="O93" i="29"/>
  <c r="AJ92" i="29"/>
  <c r="AZ92" i="29"/>
  <c r="O95" i="29"/>
  <c r="AJ93" i="29"/>
  <c r="AZ93" i="29"/>
  <c r="D23" i="95"/>
  <c r="AQ2" i="5"/>
  <c r="A11" i="29"/>
  <c r="A16" i="5"/>
  <c r="AB75" i="75"/>
  <c r="BJ2" i="29"/>
  <c r="BA90" i="29"/>
  <c r="AS95" i="29"/>
  <c r="G68" i="81" s="1"/>
  <c r="AS66" i="29"/>
  <c r="G39" i="81" s="1"/>
  <c r="E39" i="91" s="1"/>
  <c r="AS67" i="29"/>
  <c r="H93" i="29"/>
  <c r="H5" i="29"/>
  <c r="Y10" i="75"/>
  <c r="Y16" i="75" s="1"/>
  <c r="BB16" i="75"/>
  <c r="AO16" i="75"/>
  <c r="AN16" i="75"/>
  <c r="V16" i="75"/>
  <c r="AD19" i="75"/>
  <c r="AE19" i="75"/>
  <c r="AE41" i="75"/>
  <c r="V41" i="75"/>
  <c r="AA61" i="75"/>
  <c r="AJ61" i="75"/>
  <c r="Z75" i="75"/>
  <c r="AB82" i="75"/>
  <c r="AL82" i="75"/>
  <c r="BN93" i="75"/>
  <c r="U102" i="75"/>
  <c r="F102" i="75"/>
  <c r="AH102" i="75"/>
  <c r="AO102" i="75"/>
  <c r="D16" i="75"/>
  <c r="H102" i="75"/>
  <c r="H61" i="75"/>
  <c r="I16" i="75"/>
  <c r="K61" i="75"/>
  <c r="C13" i="78"/>
  <c r="L93" i="75"/>
  <c r="L19" i="75"/>
  <c r="M41" i="75"/>
  <c r="BG41" i="75"/>
  <c r="AR75" i="75"/>
  <c r="AS19" i="75"/>
  <c r="AV41" i="75"/>
  <c r="Z61" i="75"/>
  <c r="AH19" i="75"/>
  <c r="AH75" i="75"/>
  <c r="AA88" i="75"/>
  <c r="O43" i="81"/>
  <c r="BD87" i="29"/>
  <c r="BD86" i="29"/>
  <c r="BD85" i="29"/>
  <c r="BD84" i="29"/>
  <c r="BD82" i="29"/>
  <c r="BD81" i="29"/>
  <c r="BD80" i="29"/>
  <c r="BD79" i="29"/>
  <c r="BD78" i="29"/>
  <c r="BD76" i="29"/>
  <c r="BD75" i="29"/>
  <c r="BD74" i="29"/>
  <c r="BD73" i="29"/>
  <c r="BD72" i="29"/>
  <c r="BD71" i="29"/>
  <c r="BD69" i="29"/>
  <c r="BD68" i="29"/>
  <c r="BD67" i="29"/>
  <c r="BD66" i="29"/>
  <c r="BD65" i="29"/>
  <c r="BD64" i="29"/>
  <c r="BD63" i="29"/>
  <c r="BD62" i="29"/>
  <c r="BD60" i="29"/>
  <c r="BD54" i="29"/>
  <c r="BD53" i="29"/>
  <c r="BD52" i="29"/>
  <c r="BD51" i="29"/>
  <c r="BD50" i="29"/>
  <c r="BD49" i="29"/>
  <c r="BD48" i="29"/>
  <c r="BD47" i="29"/>
  <c r="BD46" i="29"/>
  <c r="BD61" i="29"/>
  <c r="BD59" i="29"/>
  <c r="BD30" i="29"/>
  <c r="BD29" i="29"/>
  <c r="BD28" i="29"/>
  <c r="BD27" i="29"/>
  <c r="BD26" i="29"/>
  <c r="BD25" i="29"/>
  <c r="BD24" i="29"/>
  <c r="BD57" i="29"/>
  <c r="BD45" i="29"/>
  <c r="BD43" i="29"/>
  <c r="BD41" i="29"/>
  <c r="BD44" i="29"/>
  <c r="BD42" i="29"/>
  <c r="BD38" i="29"/>
  <c r="BD33" i="29"/>
  <c r="BD22" i="29"/>
  <c r="BD20" i="29"/>
  <c r="BD106" i="29" s="1"/>
  <c r="BD18" i="29"/>
  <c r="BD104" i="29" s="1"/>
  <c r="BD16" i="29"/>
  <c r="BD102" i="29" s="1"/>
  <c r="BD12" i="29"/>
  <c r="BD9" i="29"/>
  <c r="BD37" i="29"/>
  <c r="BD19" i="29"/>
  <c r="BD105" i="29" s="1"/>
  <c r="BD32" i="29"/>
  <c r="BD23" i="29"/>
  <c r="BD21" i="29"/>
  <c r="BD10" i="29"/>
  <c r="BD8" i="29"/>
  <c r="BD58" i="29"/>
  <c r="BD40" i="29"/>
  <c r="BD35" i="29"/>
  <c r="BD31" i="29"/>
  <c r="BD15" i="29"/>
  <c r="BD101" i="29" s="1"/>
  <c r="BD39" i="29"/>
  <c r="BD34" i="29"/>
  <c r="BD6" i="29"/>
  <c r="BD7" i="29"/>
  <c r="BD17" i="29"/>
  <c r="BD103" i="29" s="1"/>
  <c r="AV84" i="29"/>
  <c r="AV81" i="29"/>
  <c r="AV79" i="29"/>
  <c r="AV76" i="29"/>
  <c r="AV74" i="29"/>
  <c r="AV72" i="29"/>
  <c r="AV85" i="29"/>
  <c r="AV78" i="29"/>
  <c r="AV71" i="29"/>
  <c r="AV68" i="29"/>
  <c r="AV66" i="29"/>
  <c r="AV64" i="29"/>
  <c r="AV62" i="29"/>
  <c r="AV60" i="29"/>
  <c r="AV82" i="29"/>
  <c r="AV75" i="29"/>
  <c r="AV69" i="29"/>
  <c r="AV65" i="29"/>
  <c r="AV61" i="29"/>
  <c r="AV58" i="29"/>
  <c r="AV54" i="29"/>
  <c r="AV52" i="29"/>
  <c r="AV50" i="29"/>
  <c r="AV48" i="29"/>
  <c r="AV46" i="29"/>
  <c r="AV86" i="29"/>
  <c r="AV80" i="29"/>
  <c r="AV87" i="29"/>
  <c r="AV73" i="29"/>
  <c r="AV67" i="29"/>
  <c r="AV59" i="29"/>
  <c r="AV49" i="29"/>
  <c r="AV44" i="29"/>
  <c r="AV18" i="29"/>
  <c r="AV104" i="29" s="1"/>
  <c r="AV16" i="29"/>
  <c r="AV102" i="29" s="1"/>
  <c r="AV9" i="29"/>
  <c r="AV8" i="29"/>
  <c r="AV7" i="29"/>
  <c r="AV6" i="29"/>
  <c r="AV51" i="29"/>
  <c r="AV43" i="29"/>
  <c r="AV41" i="29"/>
  <c r="AV39" i="29"/>
  <c r="AV37" i="29"/>
  <c r="AV34" i="29"/>
  <c r="AV32" i="29"/>
  <c r="AV30" i="29"/>
  <c r="AV28" i="29"/>
  <c r="AV26" i="29"/>
  <c r="AV24" i="29"/>
  <c r="AV22" i="29"/>
  <c r="AV5" i="29"/>
  <c r="AV47" i="29"/>
  <c r="AV40" i="29"/>
  <c r="AV35" i="29"/>
  <c r="AV31" i="29"/>
  <c r="AV27" i="29"/>
  <c r="AV23" i="29"/>
  <c r="AV45" i="29"/>
  <c r="AV20" i="29"/>
  <c r="AV106" i="29" s="1"/>
  <c r="AV17" i="29"/>
  <c r="AV103" i="29" s="1"/>
  <c r="AV12" i="29"/>
  <c r="AV53" i="29"/>
  <c r="AV38" i="29"/>
  <c r="AV29" i="29"/>
  <c r="AV21" i="29"/>
  <c r="AV15" i="29"/>
  <c r="AV101" i="29" s="1"/>
  <c r="AV63" i="29"/>
  <c r="AV25" i="29"/>
  <c r="AV10" i="29"/>
  <c r="AV57" i="29"/>
  <c r="AV33" i="29"/>
  <c r="AV42" i="29"/>
  <c r="AV19" i="29"/>
  <c r="AV105" i="29" s="1"/>
  <c r="AN82" i="29"/>
  <c r="AN81" i="29"/>
  <c r="AN80" i="29"/>
  <c r="AN79" i="29"/>
  <c r="AN78" i="29"/>
  <c r="AN76" i="29"/>
  <c r="AN75" i="29"/>
  <c r="AN74" i="29"/>
  <c r="AN73" i="29"/>
  <c r="AN72" i="29"/>
  <c r="AN62" i="29"/>
  <c r="AN61" i="29"/>
  <c r="AN60" i="29"/>
  <c r="AN59" i="29"/>
  <c r="AN58" i="29"/>
  <c r="AN57" i="29"/>
  <c r="AN69" i="29"/>
  <c r="AN67" i="29"/>
  <c r="AN65" i="29"/>
  <c r="AN63" i="29"/>
  <c r="AN71" i="29"/>
  <c r="AN45" i="29"/>
  <c r="AN44" i="29"/>
  <c r="AN43" i="29"/>
  <c r="AN42" i="29"/>
  <c r="AN64" i="29"/>
  <c r="AN54" i="29"/>
  <c r="AN53" i="29"/>
  <c r="AN52" i="29"/>
  <c r="AN51" i="29"/>
  <c r="AN50" i="29"/>
  <c r="AN49" i="29"/>
  <c r="AN48" i="29"/>
  <c r="AN47" i="29"/>
  <c r="AN46" i="29"/>
  <c r="AN66" i="29"/>
  <c r="AN41" i="29"/>
  <c r="AN40" i="29"/>
  <c r="AN39" i="29"/>
  <c r="AN38" i="29"/>
  <c r="AN37" i="29"/>
  <c r="AN35" i="29"/>
  <c r="AN34" i="29"/>
  <c r="AN33" i="29"/>
  <c r="AN32" i="29"/>
  <c r="AN31" i="29"/>
  <c r="AN24" i="29"/>
  <c r="AN23" i="29"/>
  <c r="AN22" i="29"/>
  <c r="AN21" i="29"/>
  <c r="AN20" i="29"/>
  <c r="AN106" i="29" s="1"/>
  <c r="AN19" i="29"/>
  <c r="AN105" i="29" s="1"/>
  <c r="AN18" i="29"/>
  <c r="AN104" i="29" s="1"/>
  <c r="AN17" i="29"/>
  <c r="AN103" i="29" s="1"/>
  <c r="AN16" i="29"/>
  <c r="AN102" i="29" s="1"/>
  <c r="AN15" i="29"/>
  <c r="AN101" i="29" s="1"/>
  <c r="AN12" i="29"/>
  <c r="AN68" i="29"/>
  <c r="AN26" i="29"/>
  <c r="AN28" i="29"/>
  <c r="AN29" i="29"/>
  <c r="AN25" i="29"/>
  <c r="AN27" i="29"/>
  <c r="AF45" i="29"/>
  <c r="AF44" i="29"/>
  <c r="AF43" i="29"/>
  <c r="AF42" i="29"/>
  <c r="AF54" i="29"/>
  <c r="AF53" i="29"/>
  <c r="AF52" i="29"/>
  <c r="AF51" i="29"/>
  <c r="AF50" i="29"/>
  <c r="AF49" i="29"/>
  <c r="AF48" i="29"/>
  <c r="AF47" i="29"/>
  <c r="AF46" i="29"/>
  <c r="AF41" i="29"/>
  <c r="AF40" i="29"/>
  <c r="AF39" i="29"/>
  <c r="AF38" i="29"/>
  <c r="AF37" i="29"/>
  <c r="AF35" i="29"/>
  <c r="AF34" i="29"/>
  <c r="AF33" i="29"/>
  <c r="AF32" i="29"/>
  <c r="AF31" i="29"/>
  <c r="AF24" i="29"/>
  <c r="AF23" i="29"/>
  <c r="AF22" i="29"/>
  <c r="AF21" i="29"/>
  <c r="AF20" i="29"/>
  <c r="AF106" i="29" s="1"/>
  <c r="AF19" i="29"/>
  <c r="AF105" i="29" s="1"/>
  <c r="AF18" i="29"/>
  <c r="AF104" i="29" s="1"/>
  <c r="AF17" i="29"/>
  <c r="AF103" i="29" s="1"/>
  <c r="AF16" i="29"/>
  <c r="AF102" i="29" s="1"/>
  <c r="AF15" i="29"/>
  <c r="AF101" i="29" s="1"/>
  <c r="AF12" i="29"/>
  <c r="AF27" i="29"/>
  <c r="AF26" i="29"/>
  <c r="AF25" i="29"/>
  <c r="AF29" i="29"/>
  <c r="AF28" i="29"/>
  <c r="BK15" i="29"/>
  <c r="BK101" i="29" s="1"/>
  <c r="BK16" i="29"/>
  <c r="BK102" i="29" s="1"/>
  <c r="BK18" i="29"/>
  <c r="BK104" i="29" s="1"/>
  <c r="BK17" i="29"/>
  <c r="BK103" i="29" s="1"/>
  <c r="BK20" i="29"/>
  <c r="BK106" i="29" s="1"/>
  <c r="BK19" i="29"/>
  <c r="BK105" i="29" s="1"/>
  <c r="Z87" i="29"/>
  <c r="Z86" i="29"/>
  <c r="Z69" i="29"/>
  <c r="Z67" i="29"/>
  <c r="Z65" i="29"/>
  <c r="Z84" i="29"/>
  <c r="Z81" i="29"/>
  <c r="Z79" i="29"/>
  <c r="Z76" i="29"/>
  <c r="Z74" i="29"/>
  <c r="Z73" i="29"/>
  <c r="Z72" i="29"/>
  <c r="Z71" i="29"/>
  <c r="Z68" i="29"/>
  <c r="Z66" i="29"/>
  <c r="Z64" i="29"/>
  <c r="Z63" i="29"/>
  <c r="Z62" i="29"/>
  <c r="Z61" i="29"/>
  <c r="Z60" i="29"/>
  <c r="Z59" i="29"/>
  <c r="Z58" i="29"/>
  <c r="Z57" i="29"/>
  <c r="Z78" i="29"/>
  <c r="Z85" i="29"/>
  <c r="Z75" i="29"/>
  <c r="Z30" i="29"/>
  <c r="Z29" i="29"/>
  <c r="Z28" i="29"/>
  <c r="Z27" i="29"/>
  <c r="Z26" i="29"/>
  <c r="Z25" i="29"/>
  <c r="Z82" i="29"/>
  <c r="Z45" i="29"/>
  <c r="Z44" i="29"/>
  <c r="Z43" i="29"/>
  <c r="Z42" i="29"/>
  <c r="Z41" i="29"/>
  <c r="Z40" i="29"/>
  <c r="Z39" i="29"/>
  <c r="Z38" i="29"/>
  <c r="Z37" i="29"/>
  <c r="Z35" i="29"/>
  <c r="Z34" i="29"/>
  <c r="Z33" i="29"/>
  <c r="Z32" i="29"/>
  <c r="Z31" i="29"/>
  <c r="Z54" i="29"/>
  <c r="Z52" i="29"/>
  <c r="Z50" i="29"/>
  <c r="Z48" i="29"/>
  <c r="Z46" i="29"/>
  <c r="Z16" i="29"/>
  <c r="Z102" i="29" s="1"/>
  <c r="Z15" i="29"/>
  <c r="Z101" i="29" s="1"/>
  <c r="Z19" i="29"/>
  <c r="Z105" i="29" s="1"/>
  <c r="Z18" i="29"/>
  <c r="Z104" i="29" s="1"/>
  <c r="Z17" i="29"/>
  <c r="Z103" i="29" s="1"/>
  <c r="Z12" i="29"/>
  <c r="Z80" i="29"/>
  <c r="Z53" i="29"/>
  <c r="Z51" i="29"/>
  <c r="Z49" i="29"/>
  <c r="Z47" i="29"/>
  <c r="Z24" i="29"/>
  <c r="Z23" i="29"/>
  <c r="Z22" i="29"/>
  <c r="Z21" i="29"/>
  <c r="Z20" i="29"/>
  <c r="Z106" i="29" s="1"/>
  <c r="G37" i="82"/>
  <c r="E176" i="11"/>
  <c r="A91" i="5"/>
  <c r="A90" i="5"/>
  <c r="A89" i="5"/>
  <c r="A72" i="5"/>
  <c r="BE2" i="29"/>
  <c r="T2" i="29"/>
  <c r="A45" i="81"/>
  <c r="A29" i="81"/>
  <c r="AH64" i="90" s="1"/>
  <c r="A27" i="81"/>
  <c r="A36" i="81"/>
  <c r="A17" i="29"/>
  <c r="A103" i="29" s="1"/>
  <c r="A74" i="81" s="1"/>
  <c r="A26" i="5"/>
  <c r="W89" i="29"/>
  <c r="W93" i="29"/>
  <c r="W97" i="29" s="1"/>
  <c r="AA89" i="29"/>
  <c r="AA93" i="29"/>
  <c r="BH89" i="29"/>
  <c r="BH92" i="29"/>
  <c r="BL89" i="29"/>
  <c r="BL92" i="29"/>
  <c r="H89" i="29"/>
  <c r="H94" i="29"/>
  <c r="L89" i="29"/>
  <c r="L94" i="29"/>
  <c r="P89" i="29"/>
  <c r="P94" i="29"/>
  <c r="T92" i="29"/>
  <c r="C65" i="81" s="1"/>
  <c r="T96" i="29"/>
  <c r="AC89" i="29"/>
  <c r="AC93" i="29"/>
  <c r="AG89" i="29"/>
  <c r="AG93" i="29"/>
  <c r="AG97" i="29" s="1"/>
  <c r="AK89" i="29"/>
  <c r="AK93" i="29"/>
  <c r="AO89" i="29"/>
  <c r="AO93" i="29"/>
  <c r="AS89" i="29"/>
  <c r="G62" i="81" s="1"/>
  <c r="AS96" i="29"/>
  <c r="G69" i="81" s="1"/>
  <c r="Z91" i="29"/>
  <c r="Z95" i="29"/>
  <c r="BG89" i="29"/>
  <c r="J62" i="81" s="1"/>
  <c r="BG86" i="29"/>
  <c r="J59" i="81" s="1"/>
  <c r="BK91" i="29"/>
  <c r="BK96" i="29"/>
  <c r="G91" i="29"/>
  <c r="K91" i="29"/>
  <c r="O91" i="29"/>
  <c r="S91" i="29"/>
  <c r="S96" i="29"/>
  <c r="S97" i="29" s="1"/>
  <c r="AB91" i="29"/>
  <c r="AF91" i="29"/>
  <c r="AF95" i="29"/>
  <c r="AJ91" i="29"/>
  <c r="AN91" i="29"/>
  <c r="AN88" i="29" s="1"/>
  <c r="AN95" i="29"/>
  <c r="AR91" i="29"/>
  <c r="AR88" i="29" s="1"/>
  <c r="AV91" i="29"/>
  <c r="AV95" i="29"/>
  <c r="AZ91" i="29"/>
  <c r="BD91" i="29"/>
  <c r="BD95" i="29"/>
  <c r="AW91" i="29"/>
  <c r="AW96" i="29"/>
  <c r="BA91" i="29"/>
  <c r="BA96" i="29"/>
  <c r="A22" i="7"/>
  <c r="A32" i="7"/>
  <c r="P2" i="29"/>
  <c r="A15" i="7"/>
  <c r="AE3" i="5"/>
  <c r="N3" i="5"/>
  <c r="AO32" i="98"/>
  <c r="L12" i="98" s="1"/>
  <c r="AB56" i="98"/>
  <c r="AB83" i="98"/>
  <c r="AB55" i="98"/>
  <c r="AB81" i="98"/>
  <c r="AB53" i="98"/>
  <c r="AB41" i="98"/>
  <c r="AB63" i="98"/>
  <c r="AB84" i="98"/>
  <c r="AB46" i="98"/>
  <c r="AB62" i="98"/>
  <c r="AB78" i="98"/>
  <c r="AB59" i="98"/>
  <c r="AL32" i="98"/>
  <c r="H40" i="98" s="1"/>
  <c r="AJ32" i="98"/>
  <c r="E40" i="98" s="1"/>
  <c r="E164" i="11"/>
  <c r="E174" i="11"/>
  <c r="E165" i="11"/>
  <c r="E166" i="11"/>
  <c r="E150" i="11"/>
  <c r="E171" i="11"/>
  <c r="E155" i="11"/>
  <c r="E138" i="11"/>
  <c r="E91" i="11"/>
  <c r="E97" i="11"/>
  <c r="E105" i="11"/>
  <c r="E113" i="11"/>
  <c r="E125" i="11"/>
  <c r="BN87" i="29"/>
  <c r="N60" i="81" s="1"/>
  <c r="K58" i="91" s="1"/>
  <c r="BN82" i="29"/>
  <c r="N55" i="81" s="1"/>
  <c r="BN80" i="29"/>
  <c r="BN78" i="29"/>
  <c r="N51" i="81" s="1"/>
  <c r="BN75" i="29"/>
  <c r="N48" i="81" s="1"/>
  <c r="K48" i="91" s="1"/>
  <c r="BN73" i="29"/>
  <c r="BN71" i="29"/>
  <c r="BN84" i="29"/>
  <c r="N57" i="81" s="1"/>
  <c r="K57" i="91" s="1"/>
  <c r="BN72" i="29"/>
  <c r="N45" i="81" s="1"/>
  <c r="K44" i="91" s="1"/>
  <c r="BN69" i="29"/>
  <c r="N42" i="81" s="1"/>
  <c r="K42" i="91" s="1"/>
  <c r="BN67" i="29"/>
  <c r="BN65" i="29"/>
  <c r="N38" i="81" s="1"/>
  <c r="K38" i="91" s="1"/>
  <c r="BN63" i="29"/>
  <c r="N36" i="81" s="1"/>
  <c r="K36" i="91" s="1"/>
  <c r="BN61" i="29"/>
  <c r="BN81" i="29"/>
  <c r="BN85" i="29"/>
  <c r="N58" i="81" s="1"/>
  <c r="K59" i="91" s="1"/>
  <c r="BN79" i="29"/>
  <c r="N52" i="81" s="1"/>
  <c r="BN74" i="29"/>
  <c r="BN86" i="29"/>
  <c r="BN76" i="29"/>
  <c r="N49" i="81" s="1"/>
  <c r="K49" i="91" s="1"/>
  <c r="BN68" i="29"/>
  <c r="N41" i="81" s="1"/>
  <c r="K41" i="91" s="1"/>
  <c r="BN64" i="29"/>
  <c r="BN59" i="29"/>
  <c r="BN57" i="29"/>
  <c r="BN53" i="29"/>
  <c r="BN51" i="29"/>
  <c r="BN49" i="29"/>
  <c r="BN47" i="29"/>
  <c r="BN60" i="29"/>
  <c r="N33" i="81" s="1"/>
  <c r="K33" i="91" s="1"/>
  <c r="BN62" i="29"/>
  <c r="BN52" i="29"/>
  <c r="BN44" i="29"/>
  <c r="BN17" i="29"/>
  <c r="N14" i="81" s="1"/>
  <c r="BN15" i="29"/>
  <c r="N12" i="81" s="1"/>
  <c r="BN8" i="29"/>
  <c r="BN7" i="29"/>
  <c r="N5" i="81" s="1"/>
  <c r="K9" i="91" s="1"/>
  <c r="BN6" i="29"/>
  <c r="N4" i="81" s="1"/>
  <c r="K8" i="91" s="1"/>
  <c r="BN66" i="29"/>
  <c r="BN54" i="29"/>
  <c r="N27" i="81" s="1"/>
  <c r="K27" i="91" s="1"/>
  <c r="BN46" i="29"/>
  <c r="BN45" i="29"/>
  <c r="BN42" i="29"/>
  <c r="BN40" i="29"/>
  <c r="BN38" i="29"/>
  <c r="BN35" i="29"/>
  <c r="BN33" i="29"/>
  <c r="BN31" i="29"/>
  <c r="BN29" i="29"/>
  <c r="BN27" i="29"/>
  <c r="K19" i="91" s="1"/>
  <c r="BN25" i="29"/>
  <c r="BN23" i="29"/>
  <c r="BN43" i="29"/>
  <c r="BN39" i="29"/>
  <c r="BN34" i="29"/>
  <c r="BN30" i="29"/>
  <c r="N22" i="81" s="1"/>
  <c r="K22" i="91" s="1"/>
  <c r="BN26" i="29"/>
  <c r="BN58" i="29"/>
  <c r="N31" i="81" s="1"/>
  <c r="K31" i="91" s="1"/>
  <c r="BN19" i="29"/>
  <c r="N16" i="81" s="1"/>
  <c r="BN16" i="29"/>
  <c r="BN10" i="29"/>
  <c r="N8" i="81" s="1"/>
  <c r="K12" i="91" s="1"/>
  <c r="BN48" i="29"/>
  <c r="BN41" i="29"/>
  <c r="BN32" i="29"/>
  <c r="BN24" i="29"/>
  <c r="BN18" i="29"/>
  <c r="N15" i="81" s="1"/>
  <c r="BN9" i="29"/>
  <c r="N7" i="81" s="1"/>
  <c r="K11" i="91" s="1"/>
  <c r="BN28" i="29"/>
  <c r="BN20" i="29"/>
  <c r="N17" i="81" s="1"/>
  <c r="BN50" i="29"/>
  <c r="BN37" i="29"/>
  <c r="BN12" i="29"/>
  <c r="N10" i="81" s="1"/>
  <c r="K14" i="91" s="1"/>
  <c r="BC86" i="29"/>
  <c r="BC87" i="29"/>
  <c r="BC81" i="29"/>
  <c r="BC79" i="29"/>
  <c r="BC85" i="29"/>
  <c r="BC82" i="29"/>
  <c r="BC76" i="29"/>
  <c r="BC73" i="29"/>
  <c r="BC84" i="29"/>
  <c r="BC74" i="29"/>
  <c r="BC71" i="29"/>
  <c r="BC68" i="29"/>
  <c r="BC66" i="29"/>
  <c r="BC64" i="29"/>
  <c r="BC62" i="29"/>
  <c r="BC75" i="29"/>
  <c r="BC69" i="29"/>
  <c r="BC65" i="29"/>
  <c r="BC61" i="29"/>
  <c r="BC60" i="29"/>
  <c r="BC59" i="29"/>
  <c r="BC57" i="29"/>
  <c r="BC53" i="29"/>
  <c r="BC51" i="29"/>
  <c r="BC49" i="29"/>
  <c r="BC47" i="29"/>
  <c r="BC45" i="29"/>
  <c r="BC80" i="29"/>
  <c r="BC78" i="29"/>
  <c r="BC67" i="29"/>
  <c r="BC63" i="29"/>
  <c r="BC58" i="29"/>
  <c r="BC54" i="29"/>
  <c r="BC52" i="29"/>
  <c r="BC50" i="29"/>
  <c r="BC48" i="29"/>
  <c r="BC42" i="29"/>
  <c r="BC40" i="29"/>
  <c r="BC38" i="29"/>
  <c r="BC35" i="29"/>
  <c r="BC33" i="29"/>
  <c r="BC31" i="29"/>
  <c r="BC29" i="29"/>
  <c r="BC27" i="29"/>
  <c r="BC25" i="29"/>
  <c r="BC23" i="29"/>
  <c r="BC72" i="29"/>
  <c r="BC18" i="29"/>
  <c r="BC104" i="29" s="1"/>
  <c r="BC16" i="29"/>
  <c r="BC102" i="29" s="1"/>
  <c r="BC9" i="29"/>
  <c r="BC8" i="29"/>
  <c r="BC7" i="29"/>
  <c r="BC6" i="29"/>
  <c r="BC21" i="29"/>
  <c r="BC19" i="29"/>
  <c r="BC105" i="29" s="1"/>
  <c r="BC15" i="29"/>
  <c r="BC101" i="29" s="1"/>
  <c r="BC10" i="29"/>
  <c r="BC44" i="29"/>
  <c r="BC41" i="29"/>
  <c r="BC37" i="29"/>
  <c r="BC32" i="29"/>
  <c r="BC28" i="29"/>
  <c r="BC24" i="29"/>
  <c r="BC5" i="29"/>
  <c r="BC39" i="29"/>
  <c r="BC30" i="29"/>
  <c r="BC12" i="29"/>
  <c r="BC22" i="29"/>
  <c r="BC46" i="29"/>
  <c r="BC43" i="29"/>
  <c r="BC34" i="29"/>
  <c r="BC26" i="29"/>
  <c r="BC20" i="29"/>
  <c r="BC106" i="29" s="1"/>
  <c r="BC17" i="29"/>
  <c r="BC103" i="29" s="1"/>
  <c r="AY87" i="29"/>
  <c r="AY86" i="29"/>
  <c r="AY85" i="29"/>
  <c r="AY84" i="29"/>
  <c r="AY82" i="29"/>
  <c r="AY81" i="29"/>
  <c r="AY80" i="29"/>
  <c r="AY79" i="29"/>
  <c r="AY78" i="29"/>
  <c r="AY76" i="29"/>
  <c r="AY75" i="29"/>
  <c r="AY74" i="29"/>
  <c r="AY73" i="29"/>
  <c r="AY72" i="29"/>
  <c r="AY71" i="29"/>
  <c r="AY69" i="29"/>
  <c r="AY68" i="29"/>
  <c r="AY67" i="29"/>
  <c r="AY66" i="29"/>
  <c r="AY65" i="29"/>
  <c r="AY64" i="29"/>
  <c r="AY63" i="29"/>
  <c r="AY54" i="29"/>
  <c r="AY53" i="29"/>
  <c r="AY52" i="29"/>
  <c r="AY51" i="29"/>
  <c r="AY50" i="29"/>
  <c r="AY49" i="29"/>
  <c r="AY48" i="29"/>
  <c r="AY47" i="29"/>
  <c r="AY46" i="29"/>
  <c r="AY62" i="29"/>
  <c r="AY60" i="29"/>
  <c r="AY58" i="29"/>
  <c r="AY57" i="29"/>
  <c r="AY30" i="29"/>
  <c r="AY29" i="29"/>
  <c r="AY28" i="29"/>
  <c r="AY27" i="29"/>
  <c r="AY26" i="29"/>
  <c r="AY25" i="29"/>
  <c r="AY24" i="29"/>
  <c r="AY59" i="29"/>
  <c r="AY45" i="29"/>
  <c r="AY43" i="29"/>
  <c r="AY41" i="29"/>
  <c r="AY40" i="29"/>
  <c r="AY39" i="29"/>
  <c r="AY38" i="29"/>
  <c r="AY37" i="29"/>
  <c r="AY35" i="29"/>
  <c r="AY34" i="29"/>
  <c r="AY33" i="29"/>
  <c r="AY32" i="29"/>
  <c r="AY31" i="29"/>
  <c r="AY61" i="29"/>
  <c r="AY5" i="29"/>
  <c r="AY20" i="29"/>
  <c r="AY106" i="29" s="1"/>
  <c r="AY16" i="29"/>
  <c r="AY102" i="29" s="1"/>
  <c r="AY12" i="29"/>
  <c r="AY9" i="29"/>
  <c r="AY6" i="29"/>
  <c r="AY7" i="29"/>
  <c r="AY22" i="29"/>
  <c r="AY18" i="29"/>
  <c r="AY104" i="29" s="1"/>
  <c r="AY44" i="29"/>
  <c r="AY42" i="29"/>
  <c r="AY23" i="29"/>
  <c r="AY21" i="29"/>
  <c r="AY19" i="29"/>
  <c r="AY105" i="29" s="1"/>
  <c r="AY17" i="29"/>
  <c r="AY103" i="29" s="1"/>
  <c r="AY15" i="29"/>
  <c r="AY101" i="29" s="1"/>
  <c r="AY10" i="29"/>
  <c r="AY8" i="29"/>
  <c r="AU87" i="29"/>
  <c r="AU84" i="29"/>
  <c r="AU81" i="29"/>
  <c r="AU79" i="29"/>
  <c r="AU86" i="29"/>
  <c r="AU80" i="29"/>
  <c r="AU74" i="29"/>
  <c r="AU85" i="29"/>
  <c r="AU78" i="29"/>
  <c r="AU72" i="29"/>
  <c r="AU71" i="29"/>
  <c r="AU68" i="29"/>
  <c r="AU66" i="29"/>
  <c r="AU64" i="29"/>
  <c r="AU62" i="29"/>
  <c r="AU76" i="29"/>
  <c r="AU73" i="29"/>
  <c r="AU67" i="29"/>
  <c r="AU63" i="29"/>
  <c r="AU59" i="29"/>
  <c r="AU57" i="29"/>
  <c r="AU53" i="29"/>
  <c r="AU51" i="29"/>
  <c r="AU49" i="29"/>
  <c r="AU47" i="29"/>
  <c r="AU45" i="29"/>
  <c r="AU75" i="29"/>
  <c r="AU69" i="29"/>
  <c r="AU65" i="29"/>
  <c r="AU61" i="29"/>
  <c r="AU58" i="29"/>
  <c r="AU54" i="29"/>
  <c r="AU52" i="29"/>
  <c r="AU50" i="29"/>
  <c r="AU48" i="29"/>
  <c r="AU42" i="29"/>
  <c r="AU40" i="29"/>
  <c r="AU38" i="29"/>
  <c r="AU35" i="29"/>
  <c r="AU33" i="29"/>
  <c r="AU31" i="29"/>
  <c r="AU29" i="29"/>
  <c r="AU27" i="29"/>
  <c r="AU25" i="29"/>
  <c r="AU23" i="29"/>
  <c r="AU60" i="29"/>
  <c r="AU44" i="29"/>
  <c r="AU18" i="29"/>
  <c r="AU104" i="29" s="1"/>
  <c r="AU16" i="29"/>
  <c r="AU102" i="29" s="1"/>
  <c r="AU9" i="29"/>
  <c r="AU8" i="29"/>
  <c r="AU7" i="29"/>
  <c r="AU6" i="29"/>
  <c r="AU20" i="29"/>
  <c r="AU106" i="29" s="1"/>
  <c r="AU17" i="29"/>
  <c r="AU103" i="29" s="1"/>
  <c r="AU12" i="29"/>
  <c r="AU43" i="29"/>
  <c r="AU39" i="29"/>
  <c r="AU34" i="29"/>
  <c r="AU30" i="29"/>
  <c r="AU26" i="29"/>
  <c r="AU22" i="29"/>
  <c r="AU37" i="29"/>
  <c r="AU28" i="29"/>
  <c r="AU19" i="29"/>
  <c r="AU105" i="29" s="1"/>
  <c r="AU10" i="29"/>
  <c r="AU82" i="29"/>
  <c r="AU41" i="29"/>
  <c r="AU32" i="29"/>
  <c r="AU24" i="29"/>
  <c r="AU21" i="29"/>
  <c r="AU15" i="29"/>
  <c r="AU101" i="29" s="1"/>
  <c r="AU5" i="29"/>
  <c r="AQ82" i="29"/>
  <c r="AQ81" i="29"/>
  <c r="AQ80" i="29"/>
  <c r="AQ79" i="29"/>
  <c r="AQ78" i="29"/>
  <c r="AQ76" i="29"/>
  <c r="AQ75" i="29"/>
  <c r="AQ74" i="29"/>
  <c r="AQ73" i="29"/>
  <c r="AQ72" i="29"/>
  <c r="AQ71" i="29"/>
  <c r="AQ68" i="29"/>
  <c r="AQ66" i="29"/>
  <c r="AQ64" i="29"/>
  <c r="AQ62" i="29"/>
  <c r="AQ61" i="29"/>
  <c r="AQ60" i="29"/>
  <c r="AQ59" i="29"/>
  <c r="AQ63" i="29"/>
  <c r="AQ65" i="29"/>
  <c r="AQ45" i="29"/>
  <c r="AQ44" i="29"/>
  <c r="AQ43" i="29"/>
  <c r="AQ42" i="29"/>
  <c r="AQ41" i="29"/>
  <c r="AQ40" i="29"/>
  <c r="AQ39" i="29"/>
  <c r="AQ38" i="29"/>
  <c r="AQ37" i="29"/>
  <c r="AQ35" i="29"/>
  <c r="AQ34" i="29"/>
  <c r="AQ33" i="29"/>
  <c r="AQ32" i="29"/>
  <c r="AQ31" i="29"/>
  <c r="AQ67" i="29"/>
  <c r="AQ58" i="29"/>
  <c r="AQ57" i="29"/>
  <c r="AQ54" i="29"/>
  <c r="AQ53" i="29"/>
  <c r="AQ52" i="29"/>
  <c r="AQ51" i="29"/>
  <c r="AQ50" i="29"/>
  <c r="AQ49" i="29"/>
  <c r="AQ48" i="29"/>
  <c r="AQ47" i="29"/>
  <c r="AQ46" i="29"/>
  <c r="AQ23" i="29"/>
  <c r="AQ22" i="29"/>
  <c r="AQ21" i="29"/>
  <c r="AQ20" i="29"/>
  <c r="AQ106" i="29" s="1"/>
  <c r="AQ19" i="29"/>
  <c r="AQ105" i="29" s="1"/>
  <c r="AQ18" i="29"/>
  <c r="AQ104" i="29" s="1"/>
  <c r="AQ17" i="29"/>
  <c r="AQ103" i="29" s="1"/>
  <c r="AQ16" i="29"/>
  <c r="AQ102" i="29" s="1"/>
  <c r="AQ15" i="29"/>
  <c r="AQ101" i="29" s="1"/>
  <c r="AQ12" i="29"/>
  <c r="AQ29" i="29"/>
  <c r="AQ28" i="29"/>
  <c r="AQ27" i="29"/>
  <c r="AQ26" i="29"/>
  <c r="AQ25" i="29"/>
  <c r="AQ24" i="29"/>
  <c r="AQ69" i="29"/>
  <c r="AM45" i="29"/>
  <c r="AM44" i="29"/>
  <c r="AM43" i="29"/>
  <c r="AM42" i="29"/>
  <c r="AM41" i="29"/>
  <c r="AM40" i="29"/>
  <c r="AM39" i="29"/>
  <c r="AM38" i="29"/>
  <c r="AM37" i="29"/>
  <c r="AM35" i="29"/>
  <c r="AM34" i="29"/>
  <c r="AM33" i="29"/>
  <c r="AM32" i="29"/>
  <c r="AM31" i="29"/>
  <c r="AM54" i="29"/>
  <c r="AM53" i="29"/>
  <c r="AM52" i="29"/>
  <c r="AM51" i="29"/>
  <c r="AM50" i="29"/>
  <c r="AM49" i="29"/>
  <c r="AM48" i="29"/>
  <c r="AM47" i="29"/>
  <c r="AM46" i="29"/>
  <c r="AM29" i="29"/>
  <c r="AM28" i="29"/>
  <c r="AM27" i="29"/>
  <c r="AM26" i="29"/>
  <c r="AM25" i="29"/>
  <c r="AM24" i="29"/>
  <c r="AM23" i="29"/>
  <c r="AM22" i="29"/>
  <c r="AM21" i="29"/>
  <c r="AM20" i="29"/>
  <c r="AM106" i="29" s="1"/>
  <c r="AM19" i="29"/>
  <c r="AM105" i="29" s="1"/>
  <c r="AM18" i="29"/>
  <c r="AM104" i="29" s="1"/>
  <c r="AM17" i="29"/>
  <c r="AM103" i="29" s="1"/>
  <c r="AM16" i="29"/>
  <c r="AM102" i="29" s="1"/>
  <c r="AM15" i="29"/>
  <c r="AM101" i="29" s="1"/>
  <c r="AM12" i="29"/>
  <c r="AI45" i="29"/>
  <c r="AI44" i="29"/>
  <c r="AI43" i="29"/>
  <c r="AI42" i="29"/>
  <c r="AI41" i="29"/>
  <c r="AI40" i="29"/>
  <c r="AI39" i="29"/>
  <c r="AI38" i="29"/>
  <c r="AI37" i="29"/>
  <c r="AI35" i="29"/>
  <c r="AI34" i="29"/>
  <c r="AI33" i="29"/>
  <c r="AI32" i="29"/>
  <c r="AI31" i="29"/>
  <c r="AI54" i="29"/>
  <c r="AI53" i="29"/>
  <c r="AI52" i="29"/>
  <c r="AI51" i="29"/>
  <c r="AI50" i="29"/>
  <c r="AI49" i="29"/>
  <c r="AI48" i="29"/>
  <c r="AI47" i="29"/>
  <c r="AI46" i="29"/>
  <c r="AI24" i="29"/>
  <c r="AI23" i="29"/>
  <c r="AI22" i="29"/>
  <c r="AI21" i="29"/>
  <c r="AI20" i="29"/>
  <c r="AI106" i="29" s="1"/>
  <c r="AI19" i="29"/>
  <c r="AI105" i="29" s="1"/>
  <c r="AI18" i="29"/>
  <c r="AI104" i="29" s="1"/>
  <c r="AI17" i="29"/>
  <c r="AI103" i="29" s="1"/>
  <c r="AI16" i="29"/>
  <c r="AI102" i="29" s="1"/>
  <c r="AI15" i="29"/>
  <c r="AI101" i="29" s="1"/>
  <c r="AI12" i="29"/>
  <c r="AI29" i="29"/>
  <c r="AI28" i="29"/>
  <c r="AI27" i="29"/>
  <c r="AI26" i="29"/>
  <c r="AI25" i="29"/>
  <c r="AE45" i="29"/>
  <c r="AE44" i="29"/>
  <c r="AE43" i="29"/>
  <c r="AE42" i="29"/>
  <c r="AE41" i="29"/>
  <c r="AE40" i="29"/>
  <c r="AE39" i="29"/>
  <c r="AE38" i="29"/>
  <c r="AE37" i="29"/>
  <c r="AE35" i="29"/>
  <c r="AE34" i="29"/>
  <c r="AE33" i="29"/>
  <c r="AE32" i="29"/>
  <c r="AE31" i="29"/>
  <c r="AE54" i="29"/>
  <c r="AE53" i="29"/>
  <c r="AE52" i="29"/>
  <c r="AE51" i="29"/>
  <c r="AE50" i="29"/>
  <c r="AE49" i="29"/>
  <c r="AE48" i="29"/>
  <c r="AE47" i="29"/>
  <c r="AE46" i="29"/>
  <c r="AE29" i="29"/>
  <c r="AE28" i="29"/>
  <c r="AE27" i="29"/>
  <c r="AE26" i="29"/>
  <c r="AE25" i="29"/>
  <c r="AE23" i="29"/>
  <c r="AE22" i="29"/>
  <c r="AE21" i="29"/>
  <c r="AE20" i="29"/>
  <c r="AE106" i="29" s="1"/>
  <c r="AE19" i="29"/>
  <c r="AE105" i="29" s="1"/>
  <c r="AE18" i="29"/>
  <c r="AE104" i="29" s="1"/>
  <c r="AE17" i="29"/>
  <c r="AE103" i="29" s="1"/>
  <c r="AE16" i="29"/>
  <c r="AE102" i="29" s="1"/>
  <c r="AE15" i="29"/>
  <c r="AE101" i="29" s="1"/>
  <c r="AE12" i="29"/>
  <c r="V87" i="29"/>
  <c r="D60" i="81" s="1"/>
  <c r="V86" i="29"/>
  <c r="D59" i="81" s="1"/>
  <c r="V85" i="29"/>
  <c r="D58" i="81" s="1"/>
  <c r="V82" i="29"/>
  <c r="D55" i="81" s="1"/>
  <c r="V80" i="29"/>
  <c r="D53" i="81" s="1"/>
  <c r="V78" i="29"/>
  <c r="D51" i="81" s="1"/>
  <c r="V75" i="29"/>
  <c r="D48" i="81" s="1"/>
  <c r="V74" i="29"/>
  <c r="D47" i="81" s="1"/>
  <c r="V73" i="29"/>
  <c r="D46" i="81" s="1"/>
  <c r="V72" i="29"/>
  <c r="D45" i="81" s="1"/>
  <c r="V71" i="29"/>
  <c r="D44" i="81" s="1"/>
  <c r="V68" i="29"/>
  <c r="D41" i="81" s="1"/>
  <c r="V66" i="29"/>
  <c r="D39" i="81" s="1"/>
  <c r="V64" i="29"/>
  <c r="D37" i="81" s="1"/>
  <c r="V84" i="29"/>
  <c r="D57" i="81" s="1"/>
  <c r="V81" i="29"/>
  <c r="D54" i="81" s="1"/>
  <c r="V79" i="29"/>
  <c r="D52" i="81" s="1"/>
  <c r="V76" i="29"/>
  <c r="D49" i="81" s="1"/>
  <c r="V63" i="29"/>
  <c r="D36" i="81" s="1"/>
  <c r="V62" i="29"/>
  <c r="D35" i="81" s="1"/>
  <c r="V61" i="29"/>
  <c r="D34" i="81" s="1"/>
  <c r="V60" i="29"/>
  <c r="D33" i="81" s="1"/>
  <c r="V59" i="29"/>
  <c r="D32" i="81" s="1"/>
  <c r="V58" i="29"/>
  <c r="D31" i="81" s="1"/>
  <c r="V57" i="29"/>
  <c r="D30" i="81" s="1"/>
  <c r="V65" i="29"/>
  <c r="D38" i="81" s="1"/>
  <c r="V30" i="29"/>
  <c r="D22" i="81" s="1"/>
  <c r="V29" i="29"/>
  <c r="V28" i="29"/>
  <c r="V27" i="29"/>
  <c r="V26" i="29"/>
  <c r="V25" i="29"/>
  <c r="V67" i="29"/>
  <c r="D40" i="81" s="1"/>
  <c r="V45" i="29"/>
  <c r="V44" i="29"/>
  <c r="V43" i="29"/>
  <c r="V42" i="29"/>
  <c r="V41" i="29"/>
  <c r="V40" i="29"/>
  <c r="V39" i="29"/>
  <c r="V38" i="29"/>
  <c r="V37" i="29"/>
  <c r="V35" i="29"/>
  <c r="V34" i="29"/>
  <c r="V33" i="29"/>
  <c r="V32" i="29"/>
  <c r="V31" i="29"/>
  <c r="V69" i="29"/>
  <c r="D42" i="81" s="1"/>
  <c r="V5" i="29"/>
  <c r="D3" i="81" s="1"/>
  <c r="V17" i="29"/>
  <c r="D14" i="81" s="1"/>
  <c r="D74" i="81" s="1"/>
  <c r="V15" i="29"/>
  <c r="D12" i="81" s="1"/>
  <c r="D72" i="81" s="1"/>
  <c r="V12" i="29"/>
  <c r="D10" i="81" s="1"/>
  <c r="V10" i="29"/>
  <c r="D8" i="81" s="1"/>
  <c r="V54" i="29"/>
  <c r="D27" i="81" s="1"/>
  <c r="V52" i="29"/>
  <c r="V50" i="29"/>
  <c r="V48" i="29"/>
  <c r="V46" i="29"/>
  <c r="V20" i="29"/>
  <c r="D17" i="81" s="1"/>
  <c r="D77" i="81" s="1"/>
  <c r="V19" i="29"/>
  <c r="D16" i="81" s="1"/>
  <c r="D76" i="81" s="1"/>
  <c r="V18" i="29"/>
  <c r="D15" i="81" s="1"/>
  <c r="D75" i="81" s="1"/>
  <c r="V16" i="29"/>
  <c r="D13" i="81" s="1"/>
  <c r="D73" i="81" s="1"/>
  <c r="V24" i="29"/>
  <c r="V23" i="29"/>
  <c r="D20" i="81" s="1"/>
  <c r="V22" i="29"/>
  <c r="D19" i="81" s="1"/>
  <c r="V21" i="29"/>
  <c r="D18" i="81" s="1"/>
  <c r="V9" i="29"/>
  <c r="D7" i="81" s="1"/>
  <c r="V47" i="29"/>
  <c r="V7" i="29"/>
  <c r="D5" i="81" s="1"/>
  <c r="V6" i="29"/>
  <c r="D4" i="81" s="1"/>
  <c r="V53" i="29"/>
  <c r="V8" i="29"/>
  <c r="D6" i="81" s="1"/>
  <c r="V51" i="29"/>
  <c r="V49" i="29"/>
  <c r="R84" i="29"/>
  <c r="R81" i="29"/>
  <c r="R79" i="29"/>
  <c r="R76" i="29"/>
  <c r="R74" i="29"/>
  <c r="R72" i="29"/>
  <c r="R85" i="29"/>
  <c r="R87" i="29"/>
  <c r="R75" i="29"/>
  <c r="R71" i="29"/>
  <c r="R68" i="29"/>
  <c r="R66" i="29"/>
  <c r="R64" i="29"/>
  <c r="R62" i="29"/>
  <c r="R60" i="29"/>
  <c r="R86" i="29"/>
  <c r="R80" i="29"/>
  <c r="R73" i="29"/>
  <c r="R82" i="29"/>
  <c r="R78" i="29"/>
  <c r="R67" i="29"/>
  <c r="R63" i="29"/>
  <c r="R58" i="29"/>
  <c r="R54" i="29"/>
  <c r="R52" i="29"/>
  <c r="R50" i="29"/>
  <c r="R48" i="29"/>
  <c r="R65" i="29"/>
  <c r="R57" i="29"/>
  <c r="R47" i="29"/>
  <c r="R18" i="29"/>
  <c r="R104" i="29" s="1"/>
  <c r="R16" i="29"/>
  <c r="R102" i="29" s="1"/>
  <c r="R9" i="29"/>
  <c r="R8" i="29"/>
  <c r="R7" i="29"/>
  <c r="R6" i="29"/>
  <c r="R69" i="29"/>
  <c r="R59" i="29"/>
  <c r="R49" i="29"/>
  <c r="R45" i="29"/>
  <c r="R43" i="29"/>
  <c r="R41" i="29"/>
  <c r="R39" i="29"/>
  <c r="R37" i="29"/>
  <c r="R34" i="29"/>
  <c r="R32" i="29"/>
  <c r="R30" i="29"/>
  <c r="R28" i="29"/>
  <c r="R26" i="29"/>
  <c r="R24" i="29"/>
  <c r="R22" i="29"/>
  <c r="R61" i="29"/>
  <c r="R42" i="29"/>
  <c r="R38" i="29"/>
  <c r="R33" i="29"/>
  <c r="R29" i="29"/>
  <c r="R25" i="29"/>
  <c r="R46" i="29"/>
  <c r="R21" i="29"/>
  <c r="R19" i="29"/>
  <c r="R105" i="29" s="1"/>
  <c r="R15" i="29"/>
  <c r="R101" i="29" s="1"/>
  <c r="R10" i="29"/>
  <c r="R53" i="29"/>
  <c r="R44" i="29"/>
  <c r="R35" i="29"/>
  <c r="R27" i="29"/>
  <c r="G41" i="88" s="1"/>
  <c r="AE47" i="88" s="1"/>
  <c r="R12" i="29"/>
  <c r="R51" i="29"/>
  <c r="R40" i="29"/>
  <c r="R17" i="29"/>
  <c r="R103" i="29" s="1"/>
  <c r="R23" i="29"/>
  <c r="R20" i="29"/>
  <c r="R106" i="29" s="1"/>
  <c r="R31" i="29"/>
  <c r="N87" i="29"/>
  <c r="N86" i="29"/>
  <c r="N85" i="29"/>
  <c r="N84" i="29"/>
  <c r="N82" i="29"/>
  <c r="N81" i="29"/>
  <c r="N80" i="29"/>
  <c r="N79" i="29"/>
  <c r="N78" i="29"/>
  <c r="N76" i="29"/>
  <c r="N75" i="29"/>
  <c r="N74" i="29"/>
  <c r="N73" i="29"/>
  <c r="N72" i="29"/>
  <c r="N69" i="29"/>
  <c r="N67" i="29"/>
  <c r="N65" i="29"/>
  <c r="N63" i="29"/>
  <c r="N62" i="29"/>
  <c r="N61" i="29"/>
  <c r="N60" i="29"/>
  <c r="N71" i="29"/>
  <c r="N64" i="29"/>
  <c r="N45" i="29"/>
  <c r="N44" i="29"/>
  <c r="N43" i="29"/>
  <c r="N42" i="29"/>
  <c r="N41" i="29"/>
  <c r="N40" i="29"/>
  <c r="N39" i="29"/>
  <c r="N38" i="29"/>
  <c r="N37" i="29"/>
  <c r="N35" i="29"/>
  <c r="N34" i="29"/>
  <c r="N33" i="29"/>
  <c r="N32" i="29"/>
  <c r="N31" i="29"/>
  <c r="N66" i="29"/>
  <c r="N59" i="29"/>
  <c r="N58" i="29"/>
  <c r="N57" i="29"/>
  <c r="N54" i="29"/>
  <c r="N53" i="29"/>
  <c r="N52" i="29"/>
  <c r="N51" i="29"/>
  <c r="N50" i="29"/>
  <c r="N49" i="29"/>
  <c r="N48" i="29"/>
  <c r="N47" i="29"/>
  <c r="N46" i="29"/>
  <c r="N24" i="29"/>
  <c r="N23" i="29"/>
  <c r="N22" i="29"/>
  <c r="N21" i="29"/>
  <c r="N20" i="29"/>
  <c r="N106" i="29" s="1"/>
  <c r="N19" i="29"/>
  <c r="N105" i="29" s="1"/>
  <c r="N18" i="29"/>
  <c r="N104" i="29" s="1"/>
  <c r="N17" i="29"/>
  <c r="N103" i="29" s="1"/>
  <c r="N16" i="29"/>
  <c r="N102" i="29" s="1"/>
  <c r="N15" i="29"/>
  <c r="N101" i="29" s="1"/>
  <c r="N12" i="29"/>
  <c r="N10" i="29"/>
  <c r="N9" i="29"/>
  <c r="N8" i="29"/>
  <c r="N7" i="29"/>
  <c r="N6" i="29"/>
  <c r="N68" i="29"/>
  <c r="N30" i="29"/>
  <c r="N29" i="29"/>
  <c r="N28" i="29"/>
  <c r="N27" i="29"/>
  <c r="N26" i="29"/>
  <c r="N25" i="29"/>
  <c r="J87" i="29"/>
  <c r="J86" i="29"/>
  <c r="J85" i="29"/>
  <c r="J84" i="29"/>
  <c r="J82" i="29"/>
  <c r="J81" i="29"/>
  <c r="J80" i="29"/>
  <c r="J79" i="29"/>
  <c r="J78" i="29"/>
  <c r="J76" i="29"/>
  <c r="J72" i="29"/>
  <c r="J69" i="29"/>
  <c r="J67" i="29"/>
  <c r="J65" i="29"/>
  <c r="J63" i="29"/>
  <c r="J62" i="29"/>
  <c r="J61" i="29"/>
  <c r="J60" i="29"/>
  <c r="J71" i="29"/>
  <c r="J68" i="29"/>
  <c r="J66" i="29"/>
  <c r="J64" i="29"/>
  <c r="J73" i="29"/>
  <c r="J59" i="29"/>
  <c r="J58" i="29"/>
  <c r="J45" i="29"/>
  <c r="J44" i="29"/>
  <c r="J43" i="29"/>
  <c r="J42" i="29"/>
  <c r="J41" i="29"/>
  <c r="J40" i="29"/>
  <c r="J39" i="29"/>
  <c r="J38" i="29"/>
  <c r="J37" i="29"/>
  <c r="J35" i="29"/>
  <c r="J34" i="29"/>
  <c r="J33" i="29"/>
  <c r="J32" i="29"/>
  <c r="J31" i="29"/>
  <c r="J75" i="29"/>
  <c r="J57" i="29"/>
  <c r="J54" i="29"/>
  <c r="J53" i="29"/>
  <c r="J52" i="29"/>
  <c r="J51" i="29"/>
  <c r="J50" i="29"/>
  <c r="J49" i="29"/>
  <c r="J48" i="29"/>
  <c r="J47" i="29"/>
  <c r="J46" i="29"/>
  <c r="J30" i="29"/>
  <c r="J29" i="29"/>
  <c r="J28" i="29"/>
  <c r="J27" i="29"/>
  <c r="J26" i="29"/>
  <c r="J25" i="29"/>
  <c r="J24" i="29"/>
  <c r="J23" i="29"/>
  <c r="J22" i="29"/>
  <c r="J21" i="29"/>
  <c r="J20" i="29"/>
  <c r="J106" i="29" s="1"/>
  <c r="J19" i="29"/>
  <c r="J105" i="29" s="1"/>
  <c r="J18" i="29"/>
  <c r="J104" i="29" s="1"/>
  <c r="J17" i="29"/>
  <c r="J103" i="29" s="1"/>
  <c r="J16" i="29"/>
  <c r="J102" i="29" s="1"/>
  <c r="J15" i="29"/>
  <c r="J101" i="29" s="1"/>
  <c r="J12" i="29"/>
  <c r="J10" i="29"/>
  <c r="J9" i="29"/>
  <c r="J8" i="29"/>
  <c r="J7" i="29"/>
  <c r="J6" i="29"/>
  <c r="J74" i="29"/>
  <c r="F87" i="29"/>
  <c r="F85" i="29"/>
  <c r="F84" i="29"/>
  <c r="F82" i="29"/>
  <c r="F81" i="29"/>
  <c r="F80" i="29"/>
  <c r="F79" i="29"/>
  <c r="F78" i="29"/>
  <c r="F76" i="29"/>
  <c r="F86" i="29"/>
  <c r="F75" i="29"/>
  <c r="F74" i="29"/>
  <c r="F73" i="29"/>
  <c r="F71" i="29"/>
  <c r="F68" i="29"/>
  <c r="F66" i="29"/>
  <c r="F64" i="29"/>
  <c r="F63" i="29"/>
  <c r="F62" i="29"/>
  <c r="F61" i="29"/>
  <c r="F60" i="29"/>
  <c r="F67" i="29"/>
  <c r="F69" i="29"/>
  <c r="F46" i="29"/>
  <c r="F45" i="29"/>
  <c r="F44" i="29"/>
  <c r="F43" i="29"/>
  <c r="F42" i="29"/>
  <c r="F41" i="29"/>
  <c r="F40" i="29"/>
  <c r="F39" i="29"/>
  <c r="F38" i="29"/>
  <c r="F37" i="29"/>
  <c r="F35" i="29"/>
  <c r="F34" i="29"/>
  <c r="F33" i="29"/>
  <c r="F32" i="29"/>
  <c r="F72" i="29"/>
  <c r="F59" i="29"/>
  <c r="F58" i="29"/>
  <c r="F57" i="29"/>
  <c r="F54" i="29"/>
  <c r="F53" i="29"/>
  <c r="F52" i="29"/>
  <c r="F51" i="29"/>
  <c r="F50" i="29"/>
  <c r="F49" i="29"/>
  <c r="F48" i="29"/>
  <c r="F47" i="29"/>
  <c r="F65" i="29"/>
  <c r="F24" i="29"/>
  <c r="F23" i="29"/>
  <c r="F22" i="29"/>
  <c r="F21" i="29"/>
  <c r="F20" i="29"/>
  <c r="F106" i="29" s="1"/>
  <c r="F19" i="29"/>
  <c r="F105" i="29" s="1"/>
  <c r="F18" i="29"/>
  <c r="F104" i="29" s="1"/>
  <c r="F17" i="29"/>
  <c r="F103" i="29" s="1"/>
  <c r="F16" i="29"/>
  <c r="F102" i="29" s="1"/>
  <c r="F15" i="29"/>
  <c r="F101" i="29" s="1"/>
  <c r="F12" i="29"/>
  <c r="F10" i="29"/>
  <c r="F9" i="29"/>
  <c r="F8" i="29"/>
  <c r="F7" i="29"/>
  <c r="F6" i="29"/>
  <c r="F5" i="29"/>
  <c r="F26" i="29"/>
  <c r="F31" i="29"/>
  <c r="F30" i="29"/>
  <c r="F29" i="29"/>
  <c r="F28" i="29"/>
  <c r="F27" i="29"/>
  <c r="F25" i="29"/>
  <c r="BJ18" i="29"/>
  <c r="BJ104" i="29" s="1"/>
  <c r="BJ15" i="29"/>
  <c r="BJ101" i="29" s="1"/>
  <c r="BJ17" i="29"/>
  <c r="BJ103" i="29" s="1"/>
  <c r="BJ16" i="29"/>
  <c r="BJ102" i="29" s="1"/>
  <c r="BJ20" i="29"/>
  <c r="BJ106" i="29" s="1"/>
  <c r="BJ19" i="29"/>
  <c r="BJ105" i="29" s="1"/>
  <c r="BF16" i="29"/>
  <c r="BF17" i="29"/>
  <c r="BF103" i="29" s="1"/>
  <c r="BF15" i="29"/>
  <c r="BF101" i="29" s="1"/>
  <c r="BF18" i="29"/>
  <c r="BF104" i="29" s="1"/>
  <c r="BF20" i="29"/>
  <c r="BF106" i="29" s="1"/>
  <c r="BF19" i="29"/>
  <c r="BF105" i="29" s="1"/>
  <c r="Y87" i="29"/>
  <c r="Y86" i="29"/>
  <c r="Y85" i="29"/>
  <c r="Y84" i="29"/>
  <c r="Y82" i="29"/>
  <c r="Y81" i="29"/>
  <c r="Y80" i="29"/>
  <c r="Y79" i="29"/>
  <c r="Y78" i="29"/>
  <c r="Y76" i="29"/>
  <c r="Y75" i="29"/>
  <c r="Y74" i="29"/>
  <c r="Y73" i="29"/>
  <c r="Y72" i="29"/>
  <c r="Y71" i="29"/>
  <c r="Y69" i="29"/>
  <c r="Y68" i="29"/>
  <c r="Y67" i="29"/>
  <c r="Y66" i="29"/>
  <c r="Y65" i="29"/>
  <c r="Y64" i="29"/>
  <c r="Y63" i="29"/>
  <c r="Y61" i="29"/>
  <c r="Y59" i="29"/>
  <c r="Y54" i="29"/>
  <c r="Y53" i="29"/>
  <c r="Y52" i="29"/>
  <c r="Y51" i="29"/>
  <c r="Y50" i="29"/>
  <c r="Y49" i="29"/>
  <c r="Y48" i="29"/>
  <c r="Y47" i="29"/>
  <c r="Y46" i="29"/>
  <c r="Y62" i="29"/>
  <c r="Y60" i="29"/>
  <c r="Y30" i="29"/>
  <c r="Y29" i="29"/>
  <c r="Y28" i="29"/>
  <c r="Y27" i="29"/>
  <c r="Y26" i="29"/>
  <c r="Y25" i="29"/>
  <c r="Y44" i="29"/>
  <c r="Y42" i="29"/>
  <c r="Y58" i="29"/>
  <c r="Y45" i="29"/>
  <c r="Y43" i="29"/>
  <c r="Y57" i="29"/>
  <c r="Y41" i="29"/>
  <c r="Y37" i="29"/>
  <c r="Y32" i="29"/>
  <c r="Y23" i="29"/>
  <c r="Y21" i="29"/>
  <c r="Y19" i="29"/>
  <c r="Y105" i="29" s="1"/>
  <c r="Y17" i="29"/>
  <c r="Y103" i="29" s="1"/>
  <c r="Y15" i="29"/>
  <c r="Y101" i="29" s="1"/>
  <c r="Y40" i="29"/>
  <c r="Y35" i="29"/>
  <c r="Y34" i="29"/>
  <c r="Y18" i="29"/>
  <c r="Y104" i="29" s="1"/>
  <c r="Y31" i="29"/>
  <c r="Y20" i="29"/>
  <c r="Y106" i="29" s="1"/>
  <c r="Y39" i="29"/>
  <c r="Y24" i="29"/>
  <c r="Y12" i="29"/>
  <c r="Y38" i="29"/>
  <c r="Y33" i="29"/>
  <c r="Y22" i="29"/>
  <c r="Y16" i="29"/>
  <c r="Y102" i="29" s="1"/>
  <c r="BL55" i="29"/>
  <c r="Q60" i="75"/>
  <c r="AZ87" i="29"/>
  <c r="AZ86" i="29"/>
  <c r="AZ84" i="29"/>
  <c r="AZ81" i="29"/>
  <c r="AZ79" i="29"/>
  <c r="AZ76" i="29"/>
  <c r="AZ74" i="29"/>
  <c r="AZ73" i="29"/>
  <c r="AZ72" i="29"/>
  <c r="AZ69" i="29"/>
  <c r="AZ67" i="29"/>
  <c r="AZ65" i="29"/>
  <c r="AZ63" i="29"/>
  <c r="AZ85" i="29"/>
  <c r="AZ82" i="29"/>
  <c r="AZ80" i="29"/>
  <c r="AZ78" i="29"/>
  <c r="AZ75" i="29"/>
  <c r="AZ62" i="29"/>
  <c r="AZ61" i="29"/>
  <c r="AZ60" i="29"/>
  <c r="AZ59" i="29"/>
  <c r="AZ58" i="29"/>
  <c r="AZ57" i="29"/>
  <c r="AZ64" i="29"/>
  <c r="AZ66" i="29"/>
  <c r="AZ30" i="29"/>
  <c r="AZ29" i="29"/>
  <c r="AZ28" i="29"/>
  <c r="AZ27" i="29"/>
  <c r="AZ26" i="29"/>
  <c r="AZ25" i="29"/>
  <c r="AZ24" i="29"/>
  <c r="AZ68" i="29"/>
  <c r="AZ45" i="29"/>
  <c r="AZ44" i="29"/>
  <c r="AZ43" i="29"/>
  <c r="AZ42" i="29"/>
  <c r="AZ41" i="29"/>
  <c r="AZ40" i="29"/>
  <c r="AZ39" i="29"/>
  <c r="AZ38" i="29"/>
  <c r="AZ37" i="29"/>
  <c r="AZ35" i="29"/>
  <c r="AZ34" i="29"/>
  <c r="AZ33" i="29"/>
  <c r="AZ32" i="29"/>
  <c r="AZ31" i="29"/>
  <c r="AZ17" i="29"/>
  <c r="AZ16" i="29"/>
  <c r="AZ10" i="29"/>
  <c r="AZ7" i="29"/>
  <c r="AZ71" i="29"/>
  <c r="AZ53" i="29"/>
  <c r="AZ51" i="29"/>
  <c r="AZ49" i="29"/>
  <c r="AZ47" i="29"/>
  <c r="AZ5" i="29"/>
  <c r="AZ21" i="29"/>
  <c r="AZ19" i="29"/>
  <c r="AZ18" i="29"/>
  <c r="AZ15" i="29"/>
  <c r="AZ12" i="29"/>
  <c r="AZ23" i="29"/>
  <c r="AZ22" i="29"/>
  <c r="AZ20" i="29"/>
  <c r="AZ9" i="29"/>
  <c r="AZ8" i="29"/>
  <c r="AZ48" i="29"/>
  <c r="AZ6" i="29"/>
  <c r="AZ54" i="29"/>
  <c r="AZ46" i="29"/>
  <c r="AZ52" i="29"/>
  <c r="AZ50" i="29"/>
  <c r="AR82" i="29"/>
  <c r="AR81" i="29"/>
  <c r="AR80" i="29"/>
  <c r="AR79" i="29"/>
  <c r="AR78" i="29"/>
  <c r="AR76" i="29"/>
  <c r="AR75" i="29"/>
  <c r="AR74" i="29"/>
  <c r="AR73" i="29"/>
  <c r="AR72" i="29"/>
  <c r="AR71" i="29"/>
  <c r="AR68" i="29"/>
  <c r="AR66" i="29"/>
  <c r="AR64" i="29"/>
  <c r="AR62" i="29"/>
  <c r="AR61" i="29"/>
  <c r="AR60" i="29"/>
  <c r="AR59" i="29"/>
  <c r="AR58" i="29"/>
  <c r="AR57" i="29"/>
  <c r="AR69" i="29"/>
  <c r="AR67" i="29"/>
  <c r="AR65" i="29"/>
  <c r="AR63" i="29"/>
  <c r="AR45" i="29"/>
  <c r="AR44" i="29"/>
  <c r="AR43" i="29"/>
  <c r="AR42" i="29"/>
  <c r="AR54" i="29"/>
  <c r="AR53" i="29"/>
  <c r="AR52" i="29"/>
  <c r="AR51" i="29"/>
  <c r="AR50" i="29"/>
  <c r="AR49" i="29"/>
  <c r="AR48" i="29"/>
  <c r="AR47" i="29"/>
  <c r="AR46" i="29"/>
  <c r="AR23" i="29"/>
  <c r="AR22" i="29"/>
  <c r="AR21" i="29"/>
  <c r="AR20" i="29"/>
  <c r="AR106" i="29" s="1"/>
  <c r="AR19" i="29"/>
  <c r="AR105" i="29" s="1"/>
  <c r="AR18" i="29"/>
  <c r="AR104" i="29" s="1"/>
  <c r="AR17" i="29"/>
  <c r="AR103" i="29" s="1"/>
  <c r="AR16" i="29"/>
  <c r="AR102" i="29" s="1"/>
  <c r="AR15" i="29"/>
  <c r="AR101" i="29" s="1"/>
  <c r="AR12" i="29"/>
  <c r="AR29" i="29"/>
  <c r="AR28" i="29"/>
  <c r="AR27" i="29"/>
  <c r="AR26" i="29"/>
  <c r="AR25" i="29"/>
  <c r="AR24" i="29"/>
  <c r="AR41" i="29"/>
  <c r="AR40" i="29"/>
  <c r="AR39" i="29"/>
  <c r="AR38" i="29"/>
  <c r="AR37" i="29"/>
  <c r="AR35" i="29"/>
  <c r="AR34" i="29"/>
  <c r="AR33" i="29"/>
  <c r="AR32" i="29"/>
  <c r="AR31" i="29"/>
  <c r="AJ45" i="29"/>
  <c r="AJ44" i="29"/>
  <c r="AJ43" i="29"/>
  <c r="AJ42" i="29"/>
  <c r="AJ54" i="29"/>
  <c r="AJ53" i="29"/>
  <c r="AJ52" i="29"/>
  <c r="AJ51" i="29"/>
  <c r="AJ50" i="29"/>
  <c r="AJ49" i="29"/>
  <c r="AJ48" i="29"/>
  <c r="AJ47" i="29"/>
  <c r="AJ46" i="29"/>
  <c r="AJ24" i="29"/>
  <c r="AJ23" i="29"/>
  <c r="AJ22" i="29"/>
  <c r="AJ21" i="29"/>
  <c r="AJ20" i="29"/>
  <c r="AJ19" i="29"/>
  <c r="AJ105" i="29" s="1"/>
  <c r="AJ18" i="29"/>
  <c r="AJ17" i="29"/>
  <c r="AJ103" i="29" s="1"/>
  <c r="AJ16" i="29"/>
  <c r="AJ102" i="29" s="1"/>
  <c r="AJ15" i="29"/>
  <c r="AJ101" i="29" s="1"/>
  <c r="AJ12" i="29"/>
  <c r="AJ29" i="29"/>
  <c r="AJ28" i="29"/>
  <c r="AJ27" i="29"/>
  <c r="AJ26" i="29"/>
  <c r="AJ25" i="29"/>
  <c r="AJ41" i="29"/>
  <c r="AJ40" i="29"/>
  <c r="AJ39" i="29"/>
  <c r="AJ38" i="29"/>
  <c r="AJ37" i="29"/>
  <c r="AJ35" i="29"/>
  <c r="AJ34" i="29"/>
  <c r="AJ33" i="29"/>
  <c r="AJ32" i="29"/>
  <c r="AJ31" i="29"/>
  <c r="AB82" i="29"/>
  <c r="AB81" i="29"/>
  <c r="AB80" i="29"/>
  <c r="AB79" i="29"/>
  <c r="AB78" i="29"/>
  <c r="AB76" i="29"/>
  <c r="AB75" i="29"/>
  <c r="AB74" i="29"/>
  <c r="AB73" i="29"/>
  <c r="AB72" i="29"/>
  <c r="AB71" i="29"/>
  <c r="AB68" i="29"/>
  <c r="AB66" i="29"/>
  <c r="AB64" i="29"/>
  <c r="AB63" i="29"/>
  <c r="AB62" i="29"/>
  <c r="AB61" i="29"/>
  <c r="AB60" i="29"/>
  <c r="AB59" i="29"/>
  <c r="AB58" i="29"/>
  <c r="AB69" i="29"/>
  <c r="AB67" i="29"/>
  <c r="AB65" i="29"/>
  <c r="AB45" i="29"/>
  <c r="AB44" i="29"/>
  <c r="AB43" i="29"/>
  <c r="AB42" i="29"/>
  <c r="AB54" i="29"/>
  <c r="AB53" i="29"/>
  <c r="AB52" i="29"/>
  <c r="AB51" i="29"/>
  <c r="AB50" i="29"/>
  <c r="AB49" i="29"/>
  <c r="AB48" i="29"/>
  <c r="AB47" i="29"/>
  <c r="AB46" i="29"/>
  <c r="AB24" i="29"/>
  <c r="AB23" i="29"/>
  <c r="AB22" i="29"/>
  <c r="AB21" i="29"/>
  <c r="AB20" i="29"/>
  <c r="AB106" i="29" s="1"/>
  <c r="AB19" i="29"/>
  <c r="AB105" i="29" s="1"/>
  <c r="AB18" i="29"/>
  <c r="AB104" i="29" s="1"/>
  <c r="AB17" i="29"/>
  <c r="AB103" i="29" s="1"/>
  <c r="AB16" i="29"/>
  <c r="AB102" i="29" s="1"/>
  <c r="AB15" i="29"/>
  <c r="AB101" i="29" s="1"/>
  <c r="AB12" i="29"/>
  <c r="AB29" i="29"/>
  <c r="AB28" i="29"/>
  <c r="AB27" i="29"/>
  <c r="AB26" i="29"/>
  <c r="AB25" i="29"/>
  <c r="AB41" i="29"/>
  <c r="AB40" i="29"/>
  <c r="AB39" i="29"/>
  <c r="AB38" i="29"/>
  <c r="AB37" i="29"/>
  <c r="AB35" i="29"/>
  <c r="AB34" i="29"/>
  <c r="AB33" i="29"/>
  <c r="AB32" i="29"/>
  <c r="AB31" i="29"/>
  <c r="O85" i="29"/>
  <c r="O86" i="29"/>
  <c r="O82" i="29"/>
  <c r="O80" i="29"/>
  <c r="O81" i="29"/>
  <c r="O76" i="29"/>
  <c r="O87" i="29"/>
  <c r="O78" i="29"/>
  <c r="O74" i="29"/>
  <c r="O69" i="29"/>
  <c r="O67" i="29"/>
  <c r="O65" i="29"/>
  <c r="O63" i="29"/>
  <c r="O79" i="29"/>
  <c r="O68" i="29"/>
  <c r="O64" i="29"/>
  <c r="O60" i="29"/>
  <c r="O58" i="29"/>
  <c r="O54" i="29"/>
  <c r="O52" i="29"/>
  <c r="O50" i="29"/>
  <c r="O48" i="29"/>
  <c r="O46" i="29"/>
  <c r="O84" i="29"/>
  <c r="O61" i="29"/>
  <c r="O73" i="29"/>
  <c r="O71" i="29"/>
  <c r="O66" i="29"/>
  <c r="O62" i="29"/>
  <c r="O59" i="29"/>
  <c r="O57" i="29"/>
  <c r="O53" i="29"/>
  <c r="O51" i="29"/>
  <c r="O49" i="29"/>
  <c r="O47" i="29"/>
  <c r="O43" i="29"/>
  <c r="O41" i="29"/>
  <c r="O39" i="29"/>
  <c r="O37" i="29"/>
  <c r="O34" i="29"/>
  <c r="O32" i="29"/>
  <c r="O30" i="29"/>
  <c r="O28" i="29"/>
  <c r="O26" i="29"/>
  <c r="O24" i="29"/>
  <c r="O22" i="29"/>
  <c r="O21" i="29"/>
  <c r="O20" i="29"/>
  <c r="O106" i="29" s="1"/>
  <c r="O19" i="29"/>
  <c r="O105" i="29" s="1"/>
  <c r="O17" i="29"/>
  <c r="O103" i="29" s="1"/>
  <c r="O15" i="29"/>
  <c r="O101" i="29" s="1"/>
  <c r="O12" i="29"/>
  <c r="O10" i="29"/>
  <c r="O18" i="29"/>
  <c r="O104" i="29" s="1"/>
  <c r="O9" i="29"/>
  <c r="O72" i="29"/>
  <c r="O44" i="29"/>
  <c r="O40" i="29"/>
  <c r="O35" i="29"/>
  <c r="O31" i="29"/>
  <c r="O27" i="29"/>
  <c r="O23" i="29"/>
  <c r="O42" i="29"/>
  <c r="O33" i="29"/>
  <c r="O25" i="29"/>
  <c r="O16" i="29"/>
  <c r="O102" i="29" s="1"/>
  <c r="O8" i="29"/>
  <c r="O7" i="29"/>
  <c r="O6" i="29"/>
  <c r="O75" i="29"/>
  <c r="O38" i="29"/>
  <c r="O29" i="29"/>
  <c r="O45" i="29"/>
  <c r="K85" i="29"/>
  <c r="K84" i="29"/>
  <c r="K82" i="29"/>
  <c r="K81" i="29"/>
  <c r="K80" i="29"/>
  <c r="K79" i="29"/>
  <c r="K78" i="29"/>
  <c r="K76" i="29"/>
  <c r="K75" i="29"/>
  <c r="K74" i="29"/>
  <c r="K73" i="29"/>
  <c r="K87" i="29"/>
  <c r="K86" i="29"/>
  <c r="K63" i="29"/>
  <c r="K62" i="29"/>
  <c r="K61" i="29"/>
  <c r="K60" i="29"/>
  <c r="K59" i="29"/>
  <c r="K58" i="29"/>
  <c r="K71" i="29"/>
  <c r="K68" i="29"/>
  <c r="K66" i="29"/>
  <c r="K64" i="29"/>
  <c r="K69" i="29"/>
  <c r="K45" i="29"/>
  <c r="K44" i="29"/>
  <c r="K43" i="29"/>
  <c r="K42" i="29"/>
  <c r="K72" i="29"/>
  <c r="K57" i="29"/>
  <c r="K54" i="29"/>
  <c r="K53" i="29"/>
  <c r="K52" i="29"/>
  <c r="K51" i="29"/>
  <c r="K50" i="29"/>
  <c r="K49" i="29"/>
  <c r="K48" i="29"/>
  <c r="K47" i="29"/>
  <c r="K46" i="29"/>
  <c r="K65" i="29"/>
  <c r="K67" i="29"/>
  <c r="K41" i="29"/>
  <c r="K40" i="29"/>
  <c r="K39" i="29"/>
  <c r="K38" i="29"/>
  <c r="K37" i="29"/>
  <c r="K35" i="29"/>
  <c r="K34" i="29"/>
  <c r="K33" i="29"/>
  <c r="K32" i="29"/>
  <c r="K31" i="29"/>
  <c r="K24" i="29"/>
  <c r="K23" i="29"/>
  <c r="K22" i="29"/>
  <c r="K21" i="29"/>
  <c r="K20" i="29"/>
  <c r="K106" i="29" s="1"/>
  <c r="K19" i="29"/>
  <c r="K105" i="29" s="1"/>
  <c r="K18" i="29"/>
  <c r="K104" i="29" s="1"/>
  <c r="K17" i="29"/>
  <c r="K103" i="29" s="1"/>
  <c r="K16" i="29"/>
  <c r="K102" i="29" s="1"/>
  <c r="K15" i="29"/>
  <c r="K101" i="29" s="1"/>
  <c r="K12" i="29"/>
  <c r="K10" i="29"/>
  <c r="K9" i="29"/>
  <c r="K8" i="29"/>
  <c r="K7" i="29"/>
  <c r="K6" i="29"/>
  <c r="K29" i="29"/>
  <c r="K25" i="29"/>
  <c r="K28" i="29"/>
  <c r="K27" i="29"/>
  <c r="K30" i="29"/>
  <c r="K26" i="29"/>
  <c r="G87" i="29"/>
  <c r="G85" i="29"/>
  <c r="G84" i="29"/>
  <c r="G82" i="29"/>
  <c r="G81" i="29"/>
  <c r="G80" i="29"/>
  <c r="G79" i="29"/>
  <c r="G78" i="29"/>
  <c r="G76" i="29"/>
  <c r="G75" i="29"/>
  <c r="G74" i="29"/>
  <c r="G73" i="29"/>
  <c r="G86" i="29"/>
  <c r="G71" i="29"/>
  <c r="G68" i="29"/>
  <c r="G66" i="29"/>
  <c r="G64" i="29"/>
  <c r="G63" i="29"/>
  <c r="G62" i="29"/>
  <c r="G61" i="29"/>
  <c r="G60" i="29"/>
  <c r="G59" i="29"/>
  <c r="G58" i="29"/>
  <c r="G72" i="29"/>
  <c r="G69" i="29"/>
  <c r="G67" i="29"/>
  <c r="G65" i="29"/>
  <c r="G45" i="29"/>
  <c r="G44" i="29"/>
  <c r="G43" i="29"/>
  <c r="G42" i="29"/>
  <c r="G57" i="29"/>
  <c r="G54" i="29"/>
  <c r="G53" i="29"/>
  <c r="G52" i="29"/>
  <c r="G51" i="29"/>
  <c r="G50" i="29"/>
  <c r="G49" i="29"/>
  <c r="G48" i="29"/>
  <c r="G47" i="29"/>
  <c r="G24" i="29"/>
  <c r="G23" i="29"/>
  <c r="G22" i="29"/>
  <c r="G21" i="29"/>
  <c r="G20" i="29"/>
  <c r="G106" i="29" s="1"/>
  <c r="G19" i="29"/>
  <c r="G105" i="29" s="1"/>
  <c r="G18" i="29"/>
  <c r="G104" i="29" s="1"/>
  <c r="G17" i="29"/>
  <c r="G103" i="29" s="1"/>
  <c r="G16" i="29"/>
  <c r="G102" i="29" s="1"/>
  <c r="G15" i="29"/>
  <c r="G101" i="29" s="1"/>
  <c r="G12" i="29"/>
  <c r="G10" i="29"/>
  <c r="G9" i="29"/>
  <c r="G8" i="29"/>
  <c r="G7" i="29"/>
  <c r="G6" i="29"/>
  <c r="G5" i="29"/>
  <c r="G46" i="29"/>
  <c r="G30" i="29"/>
  <c r="G29" i="29"/>
  <c r="G28" i="29"/>
  <c r="G27" i="29"/>
  <c r="G26" i="29"/>
  <c r="G25" i="29"/>
  <c r="G31" i="29"/>
  <c r="G41" i="29"/>
  <c r="G40" i="29"/>
  <c r="G39" i="29"/>
  <c r="G38" i="29"/>
  <c r="G37" i="29"/>
  <c r="G35" i="29"/>
  <c r="G34" i="29"/>
  <c r="G33" i="29"/>
  <c r="G32" i="29"/>
  <c r="BG81" i="29"/>
  <c r="J54" i="81" s="1"/>
  <c r="BG79" i="29"/>
  <c r="J52" i="81" s="1"/>
  <c r="BG76" i="29"/>
  <c r="J49" i="81" s="1"/>
  <c r="BG74" i="29"/>
  <c r="J47" i="81" s="1"/>
  <c r="BG72" i="29"/>
  <c r="J45" i="81" s="1"/>
  <c r="BG71" i="29"/>
  <c r="J44" i="81" s="1"/>
  <c r="BG68" i="29"/>
  <c r="J41" i="81" s="1"/>
  <c r="BG66" i="29"/>
  <c r="J39" i="81" s="1"/>
  <c r="BG64" i="29"/>
  <c r="J37" i="81" s="1"/>
  <c r="BG62" i="29"/>
  <c r="J35" i="81" s="1"/>
  <c r="BG60" i="29"/>
  <c r="J33" i="81" s="1"/>
  <c r="BG80" i="29"/>
  <c r="J53" i="81" s="1"/>
  <c r="BG78" i="29"/>
  <c r="J51" i="81" s="1"/>
  <c r="BG67" i="29"/>
  <c r="J40" i="81" s="1"/>
  <c r="BG63" i="29"/>
  <c r="J36" i="81" s="1"/>
  <c r="BG58" i="29"/>
  <c r="J31" i="81" s="1"/>
  <c r="BG54" i="29"/>
  <c r="J27" i="81" s="1"/>
  <c r="BG52" i="29"/>
  <c r="BG50" i="29"/>
  <c r="BG48" i="29"/>
  <c r="BG46" i="29"/>
  <c r="BG82" i="29"/>
  <c r="J55" i="81" s="1"/>
  <c r="BG73" i="29"/>
  <c r="J46" i="81" s="1"/>
  <c r="BG69" i="29"/>
  <c r="J42" i="81" s="1"/>
  <c r="BG51" i="29"/>
  <c r="BG20" i="29"/>
  <c r="BG106" i="29" s="1"/>
  <c r="BG19" i="29"/>
  <c r="BG105" i="29" s="1"/>
  <c r="BG18" i="29"/>
  <c r="BG104" i="29" s="1"/>
  <c r="BG16" i="29"/>
  <c r="BG102" i="29" s="1"/>
  <c r="BG9" i="29"/>
  <c r="J7" i="81" s="1"/>
  <c r="BG75" i="29"/>
  <c r="J48" i="81" s="1"/>
  <c r="BG53" i="29"/>
  <c r="BG44" i="29"/>
  <c r="BG43" i="29"/>
  <c r="BG41" i="29"/>
  <c r="BG39" i="29"/>
  <c r="BG37" i="29"/>
  <c r="BG34" i="29"/>
  <c r="BG32" i="29"/>
  <c r="BG30" i="29"/>
  <c r="J22" i="81" s="1"/>
  <c r="BG28" i="29"/>
  <c r="BG26" i="29"/>
  <c r="BG24" i="29"/>
  <c r="BG22" i="29"/>
  <c r="J19" i="81" s="1"/>
  <c r="BG5" i="29"/>
  <c r="J3" i="81" s="1"/>
  <c r="BG65" i="29"/>
  <c r="BG49" i="29"/>
  <c r="BG42" i="29"/>
  <c r="BG38" i="29"/>
  <c r="BG33" i="29"/>
  <c r="BG29" i="29"/>
  <c r="BG25" i="29"/>
  <c r="BG61" i="29"/>
  <c r="J34" i="81" s="1"/>
  <c r="BG47" i="29"/>
  <c r="BG21" i="29"/>
  <c r="J18" i="81" s="1"/>
  <c r="BG15" i="29"/>
  <c r="BG101" i="29" s="1"/>
  <c r="BG59" i="29"/>
  <c r="BG45" i="29"/>
  <c r="BG40" i="29"/>
  <c r="BG31" i="29"/>
  <c r="BG23" i="29"/>
  <c r="J20" i="81" s="1"/>
  <c r="BG17" i="29"/>
  <c r="BG103" i="29" s="1"/>
  <c r="BG57" i="29"/>
  <c r="J30" i="81" s="1"/>
  <c r="BG27" i="29"/>
  <c r="BG35" i="29"/>
  <c r="I50" i="81"/>
  <c r="A61" i="5"/>
  <c r="A54" i="29"/>
  <c r="E88" i="11"/>
  <c r="G2" i="81"/>
  <c r="AH5" i="90" s="1"/>
  <c r="AK63" i="90" s="1"/>
  <c r="AK73" i="90" s="1"/>
  <c r="BN2" i="29"/>
  <c r="A59" i="81"/>
  <c r="A22" i="81"/>
  <c r="B37" i="96"/>
  <c r="B49" i="96"/>
  <c r="W90" i="29"/>
  <c r="AA90" i="29"/>
  <c r="BH90" i="29"/>
  <c r="BL90" i="29"/>
  <c r="H90" i="29"/>
  <c r="L90" i="29"/>
  <c r="P90" i="29"/>
  <c r="T89" i="29"/>
  <c r="AC90" i="29"/>
  <c r="AG90" i="29"/>
  <c r="AK90" i="29"/>
  <c r="AO90" i="29"/>
  <c r="AS90" i="29"/>
  <c r="G63" i="81" s="1"/>
  <c r="AS92" i="29"/>
  <c r="G65" i="81" s="1"/>
  <c r="E64" i="91" s="1"/>
  <c r="Z94" i="29"/>
  <c r="Z96" i="29"/>
  <c r="BG90" i="29"/>
  <c r="J63" i="81" s="1"/>
  <c r="BG92" i="29"/>
  <c r="J65" i="81" s="1"/>
  <c r="BG95" i="29"/>
  <c r="J68" i="81" s="1"/>
  <c r="BK92" i="29"/>
  <c r="BK95" i="29"/>
  <c r="G92" i="29"/>
  <c r="G96" i="29"/>
  <c r="K92" i="29"/>
  <c r="K96" i="29"/>
  <c r="O92" i="29"/>
  <c r="O96" i="29"/>
  <c r="S92" i="29"/>
  <c r="AB94" i="29"/>
  <c r="AB96" i="29"/>
  <c r="AF94" i="29"/>
  <c r="AF96" i="29"/>
  <c r="AJ94" i="29"/>
  <c r="AJ96" i="29"/>
  <c r="AN94" i="29"/>
  <c r="AN96" i="29"/>
  <c r="AR94" i="29"/>
  <c r="AR96" i="29"/>
  <c r="AV94" i="29"/>
  <c r="AV96" i="29"/>
  <c r="AZ94" i="29"/>
  <c r="AZ96" i="29"/>
  <c r="BD94" i="29"/>
  <c r="BD96" i="29"/>
  <c r="AW92" i="29"/>
  <c r="BA92" i="29"/>
  <c r="H43" i="81"/>
  <c r="I29" i="81"/>
  <c r="A21" i="7"/>
  <c r="A28" i="7"/>
  <c r="L2" i="29"/>
  <c r="X3" i="5"/>
  <c r="B50" i="87"/>
  <c r="AB77" i="98"/>
  <c r="AB76" i="98"/>
  <c r="AB48" i="98"/>
  <c r="AB75" i="98"/>
  <c r="AB45" i="98"/>
  <c r="AB47" i="98"/>
  <c r="AB68" i="98"/>
  <c r="AB34" i="98"/>
  <c r="AB50" i="98"/>
  <c r="AB66" i="98"/>
  <c r="AB82" i="98"/>
  <c r="AB51" i="98"/>
  <c r="AB49" i="98"/>
  <c r="E156" i="11"/>
  <c r="E168" i="11"/>
  <c r="E157" i="11"/>
  <c r="E162" i="11"/>
  <c r="E146" i="11"/>
  <c r="E167" i="11"/>
  <c r="E151" i="11"/>
  <c r="E134" i="11"/>
  <c r="E16" i="11"/>
  <c r="E20" i="11"/>
  <c r="E24" i="11"/>
  <c r="E29" i="11"/>
  <c r="E35" i="11"/>
  <c r="E43" i="11"/>
  <c r="E50" i="11"/>
  <c r="E59" i="11"/>
  <c r="E70" i="11"/>
  <c r="E92" i="11"/>
  <c r="E100" i="11"/>
  <c r="E108" i="11"/>
  <c r="E116" i="11"/>
  <c r="E127" i="11"/>
  <c r="G33" i="82"/>
  <c r="BM84" i="29"/>
  <c r="M57" i="81" s="1"/>
  <c r="BM79" i="29"/>
  <c r="M52" i="81" s="1"/>
  <c r="J52" i="91" s="1"/>
  <c r="BM74" i="29"/>
  <c r="M47" i="81" s="1"/>
  <c r="J47" i="91" s="1"/>
  <c r="BM69" i="29"/>
  <c r="M42" i="81" s="1"/>
  <c r="J42" i="91" s="1"/>
  <c r="BM65" i="29"/>
  <c r="M38" i="81" s="1"/>
  <c r="J38" i="91" s="1"/>
  <c r="BM61" i="29"/>
  <c r="M34" i="81" s="1"/>
  <c r="J34" i="91" s="1"/>
  <c r="BM57" i="29"/>
  <c r="M30" i="81" s="1"/>
  <c r="J30" i="91" s="1"/>
  <c r="BM51" i="29"/>
  <c r="BM47" i="29"/>
  <c r="BM43" i="29"/>
  <c r="BM39" i="29"/>
  <c r="BM34" i="29"/>
  <c r="BM30" i="29"/>
  <c r="M22" i="81" s="1"/>
  <c r="J22" i="91" s="1"/>
  <c r="BM26" i="29"/>
  <c r="BM22" i="29"/>
  <c r="M19" i="81" s="1"/>
  <c r="BM19" i="29"/>
  <c r="M16" i="81" s="1"/>
  <c r="BM17" i="29"/>
  <c r="M14" i="81" s="1"/>
  <c r="BM8" i="29"/>
  <c r="M6" i="81" s="1"/>
  <c r="J10" i="91" s="1"/>
  <c r="BM87" i="29"/>
  <c r="M60" i="81" s="1"/>
  <c r="J58" i="91" s="1"/>
  <c r="BM82" i="29"/>
  <c r="M55" i="81" s="1"/>
  <c r="BM78" i="29"/>
  <c r="BM73" i="29"/>
  <c r="M46" i="81" s="1"/>
  <c r="J46" i="91" s="1"/>
  <c r="BM68" i="29"/>
  <c r="BM64" i="29"/>
  <c r="M37" i="81" s="1"/>
  <c r="J37" i="91" s="1"/>
  <c r="BM60" i="29"/>
  <c r="M33" i="81" s="1"/>
  <c r="J33" i="91" s="1"/>
  <c r="BM54" i="29"/>
  <c r="M27" i="81" s="1"/>
  <c r="J27" i="91" s="1"/>
  <c r="BM50" i="29"/>
  <c r="BM46" i="29"/>
  <c r="BM42" i="29"/>
  <c r="BM38" i="29"/>
  <c r="BM33" i="29"/>
  <c r="BM29" i="29"/>
  <c r="BM25" i="29"/>
  <c r="BM18" i="29"/>
  <c r="M15" i="81" s="1"/>
  <c r="BM12" i="29"/>
  <c r="M10" i="81" s="1"/>
  <c r="J14" i="91" s="1"/>
  <c r="BM7" i="29"/>
  <c r="M5" i="81" s="1"/>
  <c r="J9" i="91" s="1"/>
  <c r="BM81" i="29"/>
  <c r="M54" i="81" s="1"/>
  <c r="BM72" i="29"/>
  <c r="BM63" i="29"/>
  <c r="M36" i="81" s="1"/>
  <c r="J36" i="91" s="1"/>
  <c r="BM53" i="29"/>
  <c r="BM45" i="29"/>
  <c r="BM37" i="29"/>
  <c r="BM28" i="29"/>
  <c r="BM80" i="29"/>
  <c r="M53" i="81" s="1"/>
  <c r="J53" i="91" s="1"/>
  <c r="BM71" i="29"/>
  <c r="BM62" i="29"/>
  <c r="M35" i="81" s="1"/>
  <c r="J35" i="91" s="1"/>
  <c r="BM52" i="29"/>
  <c r="BM44" i="29"/>
  <c r="BM35" i="29"/>
  <c r="BM27" i="29"/>
  <c r="J19" i="91" s="1"/>
  <c r="BM21" i="29"/>
  <c r="M18" i="81" s="1"/>
  <c r="BM15" i="29"/>
  <c r="BM10" i="29"/>
  <c r="M8" i="81" s="1"/>
  <c r="J12" i="91" s="1"/>
  <c r="BM86" i="29"/>
  <c r="M59" i="81" s="1"/>
  <c r="J60" i="91" s="1"/>
  <c r="BM67" i="29"/>
  <c r="M40" i="81" s="1"/>
  <c r="J40" i="91" s="1"/>
  <c r="BM49" i="29"/>
  <c r="BM32" i="29"/>
  <c r="BM85" i="29"/>
  <c r="M58" i="81" s="1"/>
  <c r="J59" i="91" s="1"/>
  <c r="BM66" i="29"/>
  <c r="M39" i="81" s="1"/>
  <c r="J39" i="91" s="1"/>
  <c r="BM48" i="29"/>
  <c r="BM31" i="29"/>
  <c r="M24" i="81" s="1"/>
  <c r="BM20" i="29"/>
  <c r="M17" i="81" s="1"/>
  <c r="BM16" i="29"/>
  <c r="M13" i="81" s="1"/>
  <c r="BM9" i="29"/>
  <c r="M7" i="81" s="1"/>
  <c r="J11" i="91" s="1"/>
  <c r="BM76" i="29"/>
  <c r="M49" i="81" s="1"/>
  <c r="J49" i="91" s="1"/>
  <c r="BM59" i="29"/>
  <c r="M32" i="81" s="1"/>
  <c r="J32" i="91" s="1"/>
  <c r="BM41" i="29"/>
  <c r="BM24" i="29"/>
  <c r="BM6" i="29"/>
  <c r="M4" i="81" s="1"/>
  <c r="J8" i="91" s="1"/>
  <c r="BM40" i="29"/>
  <c r="BM75" i="29"/>
  <c r="M48" i="81" s="1"/>
  <c r="J48" i="91" s="1"/>
  <c r="BM58" i="29"/>
  <c r="M31" i="81" s="1"/>
  <c r="J31" i="91" s="1"/>
  <c r="BB87" i="29"/>
  <c r="BB85" i="29"/>
  <c r="BB84" i="29"/>
  <c r="BB82" i="29"/>
  <c r="BB81" i="29"/>
  <c r="BB80" i="29"/>
  <c r="BB79" i="29"/>
  <c r="BB78" i="29"/>
  <c r="BB76" i="29"/>
  <c r="BB75" i="29"/>
  <c r="BB74" i="29"/>
  <c r="BB73" i="29"/>
  <c r="BB72" i="29"/>
  <c r="BB86" i="29"/>
  <c r="BB62" i="29"/>
  <c r="BB61" i="29"/>
  <c r="BB60" i="29"/>
  <c r="BB59" i="29"/>
  <c r="BB58" i="29"/>
  <c r="BB57" i="29"/>
  <c r="BB71" i="29"/>
  <c r="BB68" i="29"/>
  <c r="BB66" i="29"/>
  <c r="BB64" i="29"/>
  <c r="BB65" i="29"/>
  <c r="BB45" i="29"/>
  <c r="BB44" i="29"/>
  <c r="BB43" i="29"/>
  <c r="BB42" i="29"/>
  <c r="BB41" i="29"/>
  <c r="BB67" i="29"/>
  <c r="BB54" i="29"/>
  <c r="BB53" i="29"/>
  <c r="BB52" i="29"/>
  <c r="BB51" i="29"/>
  <c r="BB50" i="29"/>
  <c r="BB49" i="29"/>
  <c r="BB48" i="29"/>
  <c r="BB47" i="29"/>
  <c r="BB46" i="29"/>
  <c r="BB69" i="29"/>
  <c r="BB40" i="29"/>
  <c r="BB39" i="29"/>
  <c r="BB38" i="29"/>
  <c r="BB37" i="29"/>
  <c r="BB35" i="29"/>
  <c r="BB34" i="29"/>
  <c r="BB33" i="29"/>
  <c r="BB32" i="29"/>
  <c r="BB31" i="29"/>
  <c r="BB23" i="29"/>
  <c r="BB22" i="29"/>
  <c r="BB21" i="29"/>
  <c r="BB20" i="29"/>
  <c r="BB106" i="29" s="1"/>
  <c r="BB19" i="29"/>
  <c r="BB105" i="29" s="1"/>
  <c r="BB18" i="29"/>
  <c r="BB104" i="29" s="1"/>
  <c r="BB17" i="29"/>
  <c r="BB103" i="29" s="1"/>
  <c r="BB16" i="29"/>
  <c r="BB102" i="29" s="1"/>
  <c r="BB15" i="29"/>
  <c r="BB101" i="29" s="1"/>
  <c r="BB12" i="29"/>
  <c r="BB10" i="29"/>
  <c r="BB9" i="29"/>
  <c r="BB8" i="29"/>
  <c r="BB7" i="29"/>
  <c r="BB6" i="29"/>
  <c r="BB63" i="29"/>
  <c r="BB29" i="29"/>
  <c r="BB25" i="29"/>
  <c r="BB28" i="29"/>
  <c r="BB24" i="29"/>
  <c r="BB27" i="29"/>
  <c r="BB30" i="29"/>
  <c r="BB26" i="29"/>
  <c r="BB5" i="29"/>
  <c r="AX85" i="29"/>
  <c r="AX82" i="29"/>
  <c r="AX80" i="29"/>
  <c r="AX78" i="29"/>
  <c r="AX75" i="29"/>
  <c r="AX73" i="29"/>
  <c r="AX86" i="29"/>
  <c r="AX69" i="29"/>
  <c r="AX67" i="29"/>
  <c r="AX65" i="29"/>
  <c r="AX63" i="29"/>
  <c r="AX61" i="29"/>
  <c r="AX87" i="29"/>
  <c r="AX79" i="29"/>
  <c r="AX76" i="29"/>
  <c r="AX72" i="29"/>
  <c r="AX74" i="29"/>
  <c r="AX71" i="29"/>
  <c r="AX66" i="29"/>
  <c r="AX62" i="29"/>
  <c r="AX60" i="29"/>
  <c r="AX59" i="29"/>
  <c r="AX57" i="29"/>
  <c r="AX53" i="29"/>
  <c r="AX51" i="29"/>
  <c r="AX49" i="29"/>
  <c r="AX47" i="29"/>
  <c r="AX81" i="29"/>
  <c r="AX50" i="29"/>
  <c r="AX45" i="29"/>
  <c r="AX21" i="29"/>
  <c r="AX20" i="29"/>
  <c r="AX106" i="29" s="1"/>
  <c r="AX19" i="29"/>
  <c r="AX105" i="29" s="1"/>
  <c r="AX17" i="29"/>
  <c r="AX103" i="29" s="1"/>
  <c r="AX15" i="29"/>
  <c r="AX101" i="29" s="1"/>
  <c r="AX12" i="29"/>
  <c r="AX10" i="29"/>
  <c r="AX64" i="29"/>
  <c r="AX52" i="29"/>
  <c r="AX42" i="29"/>
  <c r="AX40" i="29"/>
  <c r="AX38" i="29"/>
  <c r="AX35" i="29"/>
  <c r="AX33" i="29"/>
  <c r="AX31" i="29"/>
  <c r="AX29" i="29"/>
  <c r="AX27" i="29"/>
  <c r="AX25" i="29"/>
  <c r="AX23" i="29"/>
  <c r="AX58" i="29"/>
  <c r="AX44" i="29"/>
  <c r="AX41" i="29"/>
  <c r="AX37" i="29"/>
  <c r="AX32" i="29"/>
  <c r="AX28" i="29"/>
  <c r="AX24" i="29"/>
  <c r="AX54" i="29"/>
  <c r="AX18" i="29"/>
  <c r="AX104" i="29" s="1"/>
  <c r="AX9" i="29"/>
  <c r="AX7" i="29"/>
  <c r="AX84" i="29"/>
  <c r="AX68" i="29"/>
  <c r="AX48" i="29"/>
  <c r="AX39" i="29"/>
  <c r="AX30" i="29"/>
  <c r="AX16" i="29"/>
  <c r="AX102" i="29" s="1"/>
  <c r="AX8" i="29"/>
  <c r="AX6" i="29"/>
  <c r="AX22" i="29"/>
  <c r="AX5" i="29"/>
  <c r="AX34" i="29"/>
  <c r="AX43" i="29"/>
  <c r="AX46" i="29"/>
  <c r="AX26" i="29"/>
  <c r="AT86" i="29"/>
  <c r="AT82" i="29"/>
  <c r="AT80" i="29"/>
  <c r="AT78" i="29"/>
  <c r="AT75" i="29"/>
  <c r="AT73" i="29"/>
  <c r="AT87" i="29"/>
  <c r="AT76" i="29"/>
  <c r="AT69" i="29"/>
  <c r="AT67" i="29"/>
  <c r="AT65" i="29"/>
  <c r="AT63" i="29"/>
  <c r="AT61" i="29"/>
  <c r="AT81" i="29"/>
  <c r="AT74" i="29"/>
  <c r="AT84" i="29"/>
  <c r="AT60" i="29"/>
  <c r="AT85" i="29"/>
  <c r="AT72" i="29"/>
  <c r="AT68" i="29"/>
  <c r="AT64" i="29"/>
  <c r="AT59" i="29"/>
  <c r="AT57" i="29"/>
  <c r="AT53" i="29"/>
  <c r="AT51" i="29"/>
  <c r="AT49" i="29"/>
  <c r="AT47" i="29"/>
  <c r="AT79" i="29"/>
  <c r="AT58" i="29"/>
  <c r="AT48" i="29"/>
  <c r="AT21" i="29"/>
  <c r="AT20" i="29"/>
  <c r="AT106" i="29" s="1"/>
  <c r="AT19" i="29"/>
  <c r="AT105" i="29" s="1"/>
  <c r="AT17" i="29"/>
  <c r="AT103" i="29" s="1"/>
  <c r="AT15" i="29"/>
  <c r="AT101" i="29" s="1"/>
  <c r="AT12" i="29"/>
  <c r="AT10" i="29"/>
  <c r="AT62" i="29"/>
  <c r="AT50" i="29"/>
  <c r="AT46" i="29"/>
  <c r="AT42" i="29"/>
  <c r="AT40" i="29"/>
  <c r="AT38" i="29"/>
  <c r="AT35" i="29"/>
  <c r="AT33" i="29"/>
  <c r="AT31" i="29"/>
  <c r="AT29" i="29"/>
  <c r="AT27" i="29"/>
  <c r="AT25" i="29"/>
  <c r="AT23" i="29"/>
  <c r="AT71" i="29"/>
  <c r="AT54" i="29"/>
  <c r="AT45" i="29"/>
  <c r="AT43" i="29"/>
  <c r="AT39" i="29"/>
  <c r="AT34" i="29"/>
  <c r="AT30" i="29"/>
  <c r="AT26" i="29"/>
  <c r="AT22" i="29"/>
  <c r="AT66" i="29"/>
  <c r="AT52" i="29"/>
  <c r="AT16" i="29"/>
  <c r="AT102" i="29" s="1"/>
  <c r="AT8" i="29"/>
  <c r="AT6" i="29"/>
  <c r="AT44" i="29"/>
  <c r="AT5" i="29"/>
  <c r="AT37" i="29"/>
  <c r="AT28" i="29"/>
  <c r="AT7" i="29"/>
  <c r="AT18" i="29"/>
  <c r="AT104" i="29" s="1"/>
  <c r="AT24" i="29"/>
  <c r="AT9" i="29"/>
  <c r="AT32" i="29"/>
  <c r="AT41" i="29"/>
  <c r="AP69" i="29"/>
  <c r="AP67" i="29"/>
  <c r="AP65" i="29"/>
  <c r="AP63" i="29"/>
  <c r="AP81" i="29"/>
  <c r="AP79" i="29"/>
  <c r="AP76" i="29"/>
  <c r="AP74" i="29"/>
  <c r="AP73" i="29"/>
  <c r="AP72" i="29"/>
  <c r="AP71" i="29"/>
  <c r="AP68" i="29"/>
  <c r="AP66" i="29"/>
  <c r="AP64" i="29"/>
  <c r="AP62" i="29"/>
  <c r="AP61" i="29"/>
  <c r="AP60" i="29"/>
  <c r="AP59" i="29"/>
  <c r="AP58" i="29"/>
  <c r="AP57" i="29"/>
  <c r="AP75" i="29"/>
  <c r="AP82" i="29"/>
  <c r="AP29" i="29"/>
  <c r="AP28" i="29"/>
  <c r="AP27" i="29"/>
  <c r="AP26" i="29"/>
  <c r="AP25" i="29"/>
  <c r="AP24" i="29"/>
  <c r="AP80" i="29"/>
  <c r="AP45" i="29"/>
  <c r="AP44" i="29"/>
  <c r="AP43" i="29"/>
  <c r="AP42" i="29"/>
  <c r="AP41" i="29"/>
  <c r="AP40" i="29"/>
  <c r="AP39" i="29"/>
  <c r="AP38" i="29"/>
  <c r="AP37" i="29"/>
  <c r="AP35" i="29"/>
  <c r="AP34" i="29"/>
  <c r="AP33" i="29"/>
  <c r="AP32" i="29"/>
  <c r="AP31" i="29"/>
  <c r="AP54" i="29"/>
  <c r="AP52" i="29"/>
  <c r="AP50" i="29"/>
  <c r="AP48" i="29"/>
  <c r="AP46" i="29"/>
  <c r="AP16" i="29"/>
  <c r="AP102" i="29" s="1"/>
  <c r="AP15" i="29"/>
  <c r="AP101" i="29" s="1"/>
  <c r="AP12" i="29"/>
  <c r="AP20" i="29"/>
  <c r="AP106" i="29" s="1"/>
  <c r="AP19" i="29"/>
  <c r="AP105" i="29" s="1"/>
  <c r="AP18" i="29"/>
  <c r="AP104" i="29" s="1"/>
  <c r="AP17" i="29"/>
  <c r="AP103" i="29" s="1"/>
  <c r="AP53" i="29"/>
  <c r="AP51" i="29"/>
  <c r="AP49" i="29"/>
  <c r="AP47" i="29"/>
  <c r="AP23" i="29"/>
  <c r="AP22" i="29"/>
  <c r="AP21" i="29"/>
  <c r="AP78" i="29"/>
  <c r="AL29" i="29"/>
  <c r="AL28" i="29"/>
  <c r="AL27" i="29"/>
  <c r="AL26" i="29"/>
  <c r="AL25" i="29"/>
  <c r="AL45" i="29"/>
  <c r="AL44" i="29"/>
  <c r="AL43" i="29"/>
  <c r="AL42" i="29"/>
  <c r="AL41" i="29"/>
  <c r="AL40" i="29"/>
  <c r="AL39" i="29"/>
  <c r="AL38" i="29"/>
  <c r="AL37" i="29"/>
  <c r="AL35" i="29"/>
  <c r="AL34" i="29"/>
  <c r="AL33" i="29"/>
  <c r="AL32" i="29"/>
  <c r="AL31" i="29"/>
  <c r="AL18" i="29"/>
  <c r="AL104" i="29" s="1"/>
  <c r="AL17" i="29"/>
  <c r="AL103" i="29" s="1"/>
  <c r="AL15" i="29"/>
  <c r="AL101" i="29" s="1"/>
  <c r="AL12" i="29"/>
  <c r="AL54" i="29"/>
  <c r="AL52" i="29"/>
  <c r="AL50" i="29"/>
  <c r="AL48" i="29"/>
  <c r="AL46" i="29"/>
  <c r="AL22" i="29"/>
  <c r="AL21" i="29"/>
  <c r="AL16" i="29"/>
  <c r="AL102" i="29" s="1"/>
  <c r="AL24" i="29"/>
  <c r="AL23" i="29"/>
  <c r="AL20" i="29"/>
  <c r="AL106" i="29" s="1"/>
  <c r="AL19" i="29"/>
  <c r="AL105" i="29" s="1"/>
  <c r="AL53" i="29"/>
  <c r="AL51" i="29"/>
  <c r="AL49" i="29"/>
  <c r="AL47" i="29"/>
  <c r="AH29" i="29"/>
  <c r="AH28" i="29"/>
  <c r="AH27" i="29"/>
  <c r="AH26" i="29"/>
  <c r="AH25" i="29"/>
  <c r="AH45" i="29"/>
  <c r="AH44" i="29"/>
  <c r="AH43" i="29"/>
  <c r="AH42" i="29"/>
  <c r="AH41" i="29"/>
  <c r="AH40" i="29"/>
  <c r="AH39" i="29"/>
  <c r="AH38" i="29"/>
  <c r="AH37" i="29"/>
  <c r="AH35" i="29"/>
  <c r="AH34" i="29"/>
  <c r="AH33" i="29"/>
  <c r="AH32" i="29"/>
  <c r="AH31" i="29"/>
  <c r="AH53" i="29"/>
  <c r="AH51" i="29"/>
  <c r="AH49" i="29"/>
  <c r="AH47" i="29"/>
  <c r="AH16" i="29"/>
  <c r="AH102" i="29" s="1"/>
  <c r="AH15" i="29"/>
  <c r="AH101" i="29" s="1"/>
  <c r="AH12" i="29"/>
  <c r="AH19" i="29"/>
  <c r="AH105" i="29" s="1"/>
  <c r="AH18" i="29"/>
  <c r="AH104" i="29" s="1"/>
  <c r="AH17" i="29"/>
  <c r="AH103" i="29" s="1"/>
  <c r="AH54" i="29"/>
  <c r="AH52" i="29"/>
  <c r="AH50" i="29"/>
  <c r="AH48" i="29"/>
  <c r="AH46" i="29"/>
  <c r="AH24" i="29"/>
  <c r="AH23" i="29"/>
  <c r="AH22" i="29"/>
  <c r="AH21" i="29"/>
  <c r="AH20" i="29"/>
  <c r="AH106" i="29" s="1"/>
  <c r="AD29" i="29"/>
  <c r="AD28" i="29"/>
  <c r="AD27" i="29"/>
  <c r="AD26" i="29"/>
  <c r="AD25" i="29"/>
  <c r="AD45" i="29"/>
  <c r="AD44" i="29"/>
  <c r="AD43" i="29"/>
  <c r="AD42" i="29"/>
  <c r="AD41" i="29"/>
  <c r="AD40" i="29"/>
  <c r="AD39" i="29"/>
  <c r="AD38" i="29"/>
  <c r="AD37" i="29"/>
  <c r="AD35" i="29"/>
  <c r="AD34" i="29"/>
  <c r="AD33" i="29"/>
  <c r="AD32" i="29"/>
  <c r="AD31" i="29"/>
  <c r="AD17" i="29"/>
  <c r="AD103" i="29" s="1"/>
  <c r="AD16" i="29"/>
  <c r="AD102" i="29" s="1"/>
  <c r="AD12" i="29"/>
  <c r="AD53" i="29"/>
  <c r="AD51" i="29"/>
  <c r="AD49" i="29"/>
  <c r="AD47" i="29"/>
  <c r="AD21" i="29"/>
  <c r="AD20" i="29"/>
  <c r="AD106" i="29" s="1"/>
  <c r="AD18" i="29"/>
  <c r="AD104" i="29" s="1"/>
  <c r="AD15" i="29"/>
  <c r="AD101" i="29" s="1"/>
  <c r="AD24" i="29"/>
  <c r="AD23" i="29"/>
  <c r="AD22" i="29"/>
  <c r="AD19" i="29"/>
  <c r="AD105" i="29" s="1"/>
  <c r="AD50" i="29"/>
  <c r="AD48" i="29"/>
  <c r="AD54" i="29"/>
  <c r="AD46" i="29"/>
  <c r="AD52" i="29"/>
  <c r="U85" i="29"/>
  <c r="U84" i="29"/>
  <c r="U82" i="29"/>
  <c r="U81" i="29"/>
  <c r="U80" i="29"/>
  <c r="U79" i="29"/>
  <c r="U78" i="29"/>
  <c r="U76" i="29"/>
  <c r="U75" i="29"/>
  <c r="U74" i="29"/>
  <c r="U73" i="29"/>
  <c r="U72" i="29"/>
  <c r="U71" i="29"/>
  <c r="U69" i="29"/>
  <c r="U68" i="29"/>
  <c r="U67" i="29"/>
  <c r="U66" i="29"/>
  <c r="U65" i="29"/>
  <c r="U64" i="29"/>
  <c r="U87" i="29"/>
  <c r="U54" i="29"/>
  <c r="U53" i="29"/>
  <c r="U52" i="29"/>
  <c r="U51" i="29"/>
  <c r="U50" i="29"/>
  <c r="U49" i="29"/>
  <c r="U48" i="29"/>
  <c r="U47" i="29"/>
  <c r="U46" i="29"/>
  <c r="U63" i="29"/>
  <c r="U61" i="29"/>
  <c r="U59" i="29"/>
  <c r="U58" i="29"/>
  <c r="U57" i="29"/>
  <c r="U30" i="29"/>
  <c r="U29" i="29"/>
  <c r="U28" i="29"/>
  <c r="U27" i="29"/>
  <c r="U26" i="29"/>
  <c r="U25" i="29"/>
  <c r="U44" i="29"/>
  <c r="U42" i="29"/>
  <c r="U41" i="29"/>
  <c r="U40" i="29"/>
  <c r="U39" i="29"/>
  <c r="U38" i="29"/>
  <c r="U37" i="29"/>
  <c r="U35" i="29"/>
  <c r="U34" i="29"/>
  <c r="U33" i="29"/>
  <c r="U32" i="29"/>
  <c r="U31" i="29"/>
  <c r="U62" i="29"/>
  <c r="U60" i="29"/>
  <c r="U23" i="29"/>
  <c r="U86" i="29"/>
  <c r="U45" i="29"/>
  <c r="U21" i="29"/>
  <c r="U17" i="29"/>
  <c r="U7" i="29"/>
  <c r="U43" i="29"/>
  <c r="U24" i="29"/>
  <c r="U22" i="29"/>
  <c r="U20" i="29"/>
  <c r="U18" i="29"/>
  <c r="U16" i="29"/>
  <c r="U12" i="29"/>
  <c r="U9" i="29"/>
  <c r="U19" i="29"/>
  <c r="U15" i="29"/>
  <c r="U10" i="29"/>
  <c r="U6" i="29"/>
  <c r="U8" i="29"/>
  <c r="Q87" i="29"/>
  <c r="Q84" i="29"/>
  <c r="Q81" i="29"/>
  <c r="Q82" i="29"/>
  <c r="Q78" i="29"/>
  <c r="Q72" i="29"/>
  <c r="Q79" i="29"/>
  <c r="Q75" i="29"/>
  <c r="Q71" i="29"/>
  <c r="Q68" i="29"/>
  <c r="Q66" i="29"/>
  <c r="Q64" i="29"/>
  <c r="Q62" i="29"/>
  <c r="Q74" i="29"/>
  <c r="Q69" i="29"/>
  <c r="Q65" i="29"/>
  <c r="Q61" i="29"/>
  <c r="Q59" i="29"/>
  <c r="Q57" i="29"/>
  <c r="Q53" i="29"/>
  <c r="Q51" i="29"/>
  <c r="Q49" i="29"/>
  <c r="Q47" i="29"/>
  <c r="Q45" i="29"/>
  <c r="Q76" i="29"/>
  <c r="Q73" i="29"/>
  <c r="Q85" i="29"/>
  <c r="Q67" i="29"/>
  <c r="Q63" i="29"/>
  <c r="Q60" i="29"/>
  <c r="Q58" i="29"/>
  <c r="Q54" i="29"/>
  <c r="Q52" i="29"/>
  <c r="Q50" i="29"/>
  <c r="Q48" i="29"/>
  <c r="Q44" i="29"/>
  <c r="Q42" i="29"/>
  <c r="Q40" i="29"/>
  <c r="Q38" i="29"/>
  <c r="Q35" i="29"/>
  <c r="Q33" i="29"/>
  <c r="Q31" i="29"/>
  <c r="Q29" i="29"/>
  <c r="Q27" i="29"/>
  <c r="Q25" i="29"/>
  <c r="Q23" i="29"/>
  <c r="Q86" i="29"/>
  <c r="Q80" i="29"/>
  <c r="Q18" i="29"/>
  <c r="Q104" i="29" s="1"/>
  <c r="Q16" i="29"/>
  <c r="Q102" i="29" s="1"/>
  <c r="Q9" i="29"/>
  <c r="Q8" i="29"/>
  <c r="Q7" i="29"/>
  <c r="Q6" i="29"/>
  <c r="Q46" i="29"/>
  <c r="Q21" i="29"/>
  <c r="Q19" i="29"/>
  <c r="Q105" i="29" s="1"/>
  <c r="Q15" i="29"/>
  <c r="Q101" i="29" s="1"/>
  <c r="Q10" i="29"/>
  <c r="Q41" i="29"/>
  <c r="Q37" i="29"/>
  <c r="Q32" i="29"/>
  <c r="Q28" i="29"/>
  <c r="Q24" i="29"/>
  <c r="Q43" i="29"/>
  <c r="Q34" i="29"/>
  <c r="Q26" i="29"/>
  <c r="Q20" i="29"/>
  <c r="Q106" i="29" s="1"/>
  <c r="Q17" i="29"/>
  <c r="Q103" i="29" s="1"/>
  <c r="Q39" i="29"/>
  <c r="Q30" i="29"/>
  <c r="Q12" i="29"/>
  <c r="Q22" i="29"/>
  <c r="M87" i="29"/>
  <c r="M86" i="29"/>
  <c r="M71" i="29"/>
  <c r="M68" i="29"/>
  <c r="M66" i="29"/>
  <c r="M64" i="29"/>
  <c r="M85" i="29"/>
  <c r="M82" i="29"/>
  <c r="M80" i="29"/>
  <c r="M78" i="29"/>
  <c r="M75" i="29"/>
  <c r="M74" i="29"/>
  <c r="M73" i="29"/>
  <c r="M72" i="29"/>
  <c r="M69" i="29"/>
  <c r="M67" i="29"/>
  <c r="M65" i="29"/>
  <c r="M63" i="29"/>
  <c r="M62" i="29"/>
  <c r="M61" i="29"/>
  <c r="M60" i="29"/>
  <c r="M59" i="29"/>
  <c r="M58" i="29"/>
  <c r="M84" i="29"/>
  <c r="M81" i="29"/>
  <c r="M30" i="29"/>
  <c r="M29" i="29"/>
  <c r="M28" i="29"/>
  <c r="M27" i="29"/>
  <c r="M26" i="29"/>
  <c r="M25" i="29"/>
  <c r="M79" i="29"/>
  <c r="M45" i="29"/>
  <c r="M44" i="29"/>
  <c r="M43" i="29"/>
  <c r="M42" i="29"/>
  <c r="M41" i="29"/>
  <c r="M40" i="29"/>
  <c r="M39" i="29"/>
  <c r="M38" i="29"/>
  <c r="M37" i="29"/>
  <c r="M35" i="29"/>
  <c r="M34" i="29"/>
  <c r="M33" i="29"/>
  <c r="M32" i="29"/>
  <c r="M31" i="29"/>
  <c r="M76" i="29"/>
  <c r="M57" i="29"/>
  <c r="M53" i="29"/>
  <c r="M51" i="29"/>
  <c r="M49" i="29"/>
  <c r="M47" i="29"/>
  <c r="M18" i="29"/>
  <c r="M104" i="29" s="1"/>
  <c r="M17" i="29"/>
  <c r="M103" i="29" s="1"/>
  <c r="M16" i="29"/>
  <c r="M102" i="29" s="1"/>
  <c r="M15" i="29"/>
  <c r="M101" i="29" s="1"/>
  <c r="M12" i="29"/>
  <c r="M10" i="29"/>
  <c r="M9" i="29"/>
  <c r="M22" i="29"/>
  <c r="M21" i="29"/>
  <c r="M54" i="29"/>
  <c r="M52" i="29"/>
  <c r="M50" i="29"/>
  <c r="M48" i="29"/>
  <c r="M46" i="29"/>
  <c r="M24" i="29"/>
  <c r="M23" i="29"/>
  <c r="M20" i="29"/>
  <c r="M106" i="29" s="1"/>
  <c r="M19" i="29"/>
  <c r="M105" i="29" s="1"/>
  <c r="M8" i="29"/>
  <c r="M7" i="29"/>
  <c r="M6" i="29"/>
  <c r="I87" i="29"/>
  <c r="I86" i="29"/>
  <c r="I84" i="29"/>
  <c r="I81" i="29"/>
  <c r="I79" i="29"/>
  <c r="I76" i="29"/>
  <c r="I75" i="29"/>
  <c r="I74" i="29"/>
  <c r="I73" i="29"/>
  <c r="I72" i="29"/>
  <c r="I69" i="29"/>
  <c r="I67" i="29"/>
  <c r="I65" i="29"/>
  <c r="I85" i="29"/>
  <c r="I82" i="29"/>
  <c r="I80" i="29"/>
  <c r="I78" i="29"/>
  <c r="I63" i="29"/>
  <c r="I62" i="29"/>
  <c r="I61" i="29"/>
  <c r="I60" i="29"/>
  <c r="I59" i="29"/>
  <c r="I58" i="29"/>
  <c r="I68" i="29"/>
  <c r="I71" i="29"/>
  <c r="I30" i="29"/>
  <c r="I29" i="29"/>
  <c r="I28" i="29"/>
  <c r="I27" i="29"/>
  <c r="I26" i="29"/>
  <c r="I25" i="29"/>
  <c r="I64" i="29"/>
  <c r="I45" i="29"/>
  <c r="I44" i="29"/>
  <c r="I43" i="29"/>
  <c r="I42" i="29"/>
  <c r="I41" i="29"/>
  <c r="I40" i="29"/>
  <c r="I39" i="29"/>
  <c r="I38" i="29"/>
  <c r="I37" i="29"/>
  <c r="I35" i="29"/>
  <c r="I34" i="29"/>
  <c r="I33" i="29"/>
  <c r="I32" i="29"/>
  <c r="I31" i="29"/>
  <c r="I17" i="29"/>
  <c r="I103" i="29" s="1"/>
  <c r="I16" i="29"/>
  <c r="I102" i="29" s="1"/>
  <c r="I15" i="29"/>
  <c r="I101" i="29" s="1"/>
  <c r="I12" i="29"/>
  <c r="I10" i="29"/>
  <c r="I8" i="29"/>
  <c r="I57" i="29"/>
  <c r="I53" i="29"/>
  <c r="I51" i="29"/>
  <c r="I49" i="29"/>
  <c r="I47" i="29"/>
  <c r="I20" i="29"/>
  <c r="I106" i="29" s="1"/>
  <c r="I19" i="29"/>
  <c r="I105" i="29" s="1"/>
  <c r="I18" i="29"/>
  <c r="I104" i="29" s="1"/>
  <c r="I66" i="29"/>
  <c r="I24" i="29"/>
  <c r="I23" i="29"/>
  <c r="I22" i="29"/>
  <c r="I21" i="29"/>
  <c r="I9" i="29"/>
  <c r="I52" i="29"/>
  <c r="I7" i="29"/>
  <c r="I6" i="29"/>
  <c r="I50" i="29"/>
  <c r="I48" i="29"/>
  <c r="I54" i="29"/>
  <c r="I46" i="29"/>
  <c r="E87" i="29"/>
  <c r="E86" i="29"/>
  <c r="E72" i="29"/>
  <c r="E69" i="29"/>
  <c r="E67" i="29"/>
  <c r="E65" i="29"/>
  <c r="E84" i="29"/>
  <c r="E81" i="29"/>
  <c r="E79" i="29"/>
  <c r="E76" i="29"/>
  <c r="E75" i="29"/>
  <c r="E74" i="29"/>
  <c r="E73" i="29"/>
  <c r="E71" i="29"/>
  <c r="E68" i="29"/>
  <c r="E66" i="29"/>
  <c r="E64" i="29"/>
  <c r="E63" i="29"/>
  <c r="E62" i="29"/>
  <c r="E61" i="29"/>
  <c r="E60" i="29"/>
  <c r="E59" i="29"/>
  <c r="E58" i="29"/>
  <c r="E80" i="29"/>
  <c r="E78" i="29"/>
  <c r="E31" i="29"/>
  <c r="E30" i="29"/>
  <c r="E29" i="29"/>
  <c r="E28" i="29"/>
  <c r="E27" i="29"/>
  <c r="E26" i="29"/>
  <c r="E25" i="29"/>
  <c r="E85" i="29"/>
  <c r="E46" i="29"/>
  <c r="E45" i="29"/>
  <c r="E44" i="29"/>
  <c r="E43" i="29"/>
  <c r="E42" i="29"/>
  <c r="E41" i="29"/>
  <c r="E40" i="29"/>
  <c r="E39" i="29"/>
  <c r="E38" i="29"/>
  <c r="E37" i="29"/>
  <c r="E35" i="29"/>
  <c r="E34" i="29"/>
  <c r="E33" i="29"/>
  <c r="E32" i="29"/>
  <c r="E54" i="29"/>
  <c r="E52" i="29"/>
  <c r="E50" i="29"/>
  <c r="E48" i="29"/>
  <c r="E18" i="29"/>
  <c r="E104" i="29" s="1"/>
  <c r="E16" i="29"/>
  <c r="E102" i="29" s="1"/>
  <c r="E15" i="29"/>
  <c r="E101" i="29" s="1"/>
  <c r="E10" i="29"/>
  <c r="E9" i="29"/>
  <c r="E82" i="29"/>
  <c r="E21" i="29"/>
  <c r="E17" i="29"/>
  <c r="E103" i="29" s="1"/>
  <c r="E12" i="29"/>
  <c r="E57" i="29"/>
  <c r="E53" i="29"/>
  <c r="E51" i="29"/>
  <c r="E49" i="29"/>
  <c r="E47" i="29"/>
  <c r="E24" i="29"/>
  <c r="E23" i="29"/>
  <c r="E22" i="29"/>
  <c r="E20" i="29"/>
  <c r="E106" i="29" s="1"/>
  <c r="E19" i="29"/>
  <c r="E105" i="29" s="1"/>
  <c r="E8" i="29"/>
  <c r="E6" i="29"/>
  <c r="E7" i="29"/>
  <c r="E5" i="29"/>
  <c r="BI82" i="29"/>
  <c r="K55" i="81" s="1"/>
  <c r="BI80" i="29"/>
  <c r="K53" i="81" s="1"/>
  <c r="BI79" i="29"/>
  <c r="K52" i="81" s="1"/>
  <c r="BI78" i="29"/>
  <c r="BI74" i="29"/>
  <c r="K47" i="81" s="1"/>
  <c r="BI75" i="29"/>
  <c r="K48" i="81" s="1"/>
  <c r="BI72" i="29"/>
  <c r="K45" i="81" s="1"/>
  <c r="BI69" i="29"/>
  <c r="K42" i="81" s="1"/>
  <c r="BI67" i="29"/>
  <c r="K40" i="81" s="1"/>
  <c r="BI65" i="29"/>
  <c r="K38" i="81" s="1"/>
  <c r="BI63" i="29"/>
  <c r="K36" i="81" s="1"/>
  <c r="BI61" i="29"/>
  <c r="K34" i="81" s="1"/>
  <c r="BI71" i="29"/>
  <c r="BI66" i="29"/>
  <c r="K39" i="81" s="1"/>
  <c r="BI62" i="29"/>
  <c r="K35" i="81" s="1"/>
  <c r="BI58" i="29"/>
  <c r="K31" i="81" s="1"/>
  <c r="BI54" i="29"/>
  <c r="K27" i="81" s="1"/>
  <c r="BI52" i="29"/>
  <c r="BI50" i="29"/>
  <c r="BI48" i="29"/>
  <c r="BI46" i="29"/>
  <c r="BI44" i="29"/>
  <c r="BI81" i="29"/>
  <c r="K54" i="81" s="1"/>
  <c r="BI73" i="29"/>
  <c r="K46" i="81" s="1"/>
  <c r="BI76" i="29"/>
  <c r="K49" i="81" s="1"/>
  <c r="BI68" i="29"/>
  <c r="K41" i="81" s="1"/>
  <c r="BI64" i="29"/>
  <c r="K37" i="81" s="1"/>
  <c r="BI59" i="29"/>
  <c r="K32" i="81" s="1"/>
  <c r="BI57" i="29"/>
  <c r="K30" i="81" s="1"/>
  <c r="BI53" i="29"/>
  <c r="BI51" i="29"/>
  <c r="BI49" i="29"/>
  <c r="BI47" i="29"/>
  <c r="BI60" i="29"/>
  <c r="K33" i="81" s="1"/>
  <c r="BI43" i="29"/>
  <c r="BI41" i="29"/>
  <c r="BI39" i="29"/>
  <c r="BI37" i="29"/>
  <c r="BI34" i="29"/>
  <c r="BI32" i="29"/>
  <c r="BI30" i="29"/>
  <c r="K22" i="81" s="1"/>
  <c r="BI28" i="29"/>
  <c r="BI26" i="29"/>
  <c r="BI24" i="29"/>
  <c r="BI22" i="29"/>
  <c r="K19" i="81" s="1"/>
  <c r="BI5" i="29"/>
  <c r="BI21" i="29"/>
  <c r="K18" i="81" s="1"/>
  <c r="BI17" i="29"/>
  <c r="BI103" i="29" s="1"/>
  <c r="BI15" i="29"/>
  <c r="BI101" i="29" s="1"/>
  <c r="BI16" i="29"/>
  <c r="BI102" i="29" s="1"/>
  <c r="BI42" i="29"/>
  <c r="BI38" i="29"/>
  <c r="BI33" i="29"/>
  <c r="BI29" i="29"/>
  <c r="BI25" i="29"/>
  <c r="BI20" i="29"/>
  <c r="BI106" i="29" s="1"/>
  <c r="BI45" i="29"/>
  <c r="BI40" i="29"/>
  <c r="BI31" i="29"/>
  <c r="BI23" i="29"/>
  <c r="K20" i="81" s="1"/>
  <c r="BI19" i="29"/>
  <c r="BI105" i="29" s="1"/>
  <c r="BI35" i="29"/>
  <c r="BI27" i="29"/>
  <c r="BI18" i="29"/>
  <c r="BI104" i="29" s="1"/>
  <c r="BI9" i="29"/>
  <c r="K7" i="81" s="1"/>
  <c r="BE15" i="29"/>
  <c r="BE101" i="29" s="1"/>
  <c r="BE16" i="29"/>
  <c r="BE102" i="29" s="1"/>
  <c r="BE17" i="29"/>
  <c r="BE103" i="29" s="1"/>
  <c r="BE19" i="29"/>
  <c r="BE105" i="29" s="1"/>
  <c r="BE18" i="29"/>
  <c r="BE104" i="29" s="1"/>
  <c r="BE20" i="29"/>
  <c r="BE106" i="29" s="1"/>
  <c r="X87" i="29"/>
  <c r="X86" i="29"/>
  <c r="X85" i="29"/>
  <c r="X84" i="29"/>
  <c r="X82" i="29"/>
  <c r="X81" i="29"/>
  <c r="X80" i="29"/>
  <c r="X79" i="29"/>
  <c r="X78" i="29"/>
  <c r="X76" i="29"/>
  <c r="X75" i="29"/>
  <c r="X74" i="29"/>
  <c r="X73" i="29"/>
  <c r="X72" i="29"/>
  <c r="X63" i="29"/>
  <c r="X62" i="29"/>
  <c r="X61" i="29"/>
  <c r="X60" i="29"/>
  <c r="X59" i="29"/>
  <c r="X58" i="29"/>
  <c r="X57" i="29"/>
  <c r="X69" i="29"/>
  <c r="X67" i="29"/>
  <c r="X65" i="29"/>
  <c r="X64" i="29"/>
  <c r="X45" i="29"/>
  <c r="X44" i="29"/>
  <c r="X43" i="29"/>
  <c r="X42" i="29"/>
  <c r="X66" i="29"/>
  <c r="X54" i="29"/>
  <c r="X53" i="29"/>
  <c r="X52" i="29"/>
  <c r="X51" i="29"/>
  <c r="X50" i="29"/>
  <c r="X49" i="29"/>
  <c r="X48" i="29"/>
  <c r="X47" i="29"/>
  <c r="X46" i="29"/>
  <c r="X68" i="29"/>
  <c r="X41" i="29"/>
  <c r="X40" i="29"/>
  <c r="X39" i="29"/>
  <c r="X38" i="29"/>
  <c r="X37" i="29"/>
  <c r="X35" i="29"/>
  <c r="X34" i="29"/>
  <c r="X33" i="29"/>
  <c r="X32" i="29"/>
  <c r="X31" i="29"/>
  <c r="X24" i="29"/>
  <c r="X23" i="29"/>
  <c r="X22" i="29"/>
  <c r="X21" i="29"/>
  <c r="X20" i="29"/>
  <c r="X106" i="29" s="1"/>
  <c r="X19" i="29"/>
  <c r="X105" i="29" s="1"/>
  <c r="X18" i="29"/>
  <c r="X104" i="29" s="1"/>
  <c r="X17" i="29"/>
  <c r="X103" i="29" s="1"/>
  <c r="X16" i="29"/>
  <c r="X102" i="29" s="1"/>
  <c r="X15" i="29"/>
  <c r="X101" i="29" s="1"/>
  <c r="X12" i="29"/>
  <c r="X71" i="29"/>
  <c r="X28" i="29"/>
  <c r="X27" i="29"/>
  <c r="X26" i="29"/>
  <c r="X30" i="29"/>
  <c r="X29" i="29"/>
  <c r="X25" i="29"/>
  <c r="E87" i="11"/>
  <c r="E93" i="11"/>
  <c r="E101" i="11"/>
  <c r="E110" i="11"/>
  <c r="E118" i="11"/>
  <c r="E132" i="11"/>
  <c r="BA87" i="29"/>
  <c r="BA85" i="29"/>
  <c r="BA84" i="29"/>
  <c r="BA82" i="29"/>
  <c r="BA81" i="29"/>
  <c r="BA80" i="29"/>
  <c r="BA79" i="29"/>
  <c r="BA78" i="29"/>
  <c r="BA76" i="29"/>
  <c r="BA75" i="29"/>
  <c r="BA69" i="29"/>
  <c r="BA67" i="29"/>
  <c r="BA65" i="29"/>
  <c r="BA63" i="29"/>
  <c r="BA62" i="29"/>
  <c r="BA61" i="29"/>
  <c r="BA60" i="29"/>
  <c r="BA59" i="29"/>
  <c r="BA71" i="29"/>
  <c r="BA68" i="29"/>
  <c r="BA66" i="29"/>
  <c r="BA64" i="29"/>
  <c r="BA73" i="29"/>
  <c r="BA58" i="29"/>
  <c r="BA57" i="29"/>
  <c r="BA72" i="29"/>
  <c r="BA45" i="29"/>
  <c r="BA44" i="29"/>
  <c r="BA43" i="29"/>
  <c r="BA42" i="29"/>
  <c r="BA41" i="29"/>
  <c r="BA40" i="29"/>
  <c r="BA39" i="29"/>
  <c r="BA38" i="29"/>
  <c r="BA37" i="29"/>
  <c r="BA35" i="29"/>
  <c r="BA34" i="29"/>
  <c r="BA33" i="29"/>
  <c r="BA32" i="29"/>
  <c r="BA31" i="29"/>
  <c r="BA86" i="29"/>
  <c r="BA54" i="29"/>
  <c r="BA53" i="29"/>
  <c r="BA52" i="29"/>
  <c r="BA51" i="29"/>
  <c r="BA50" i="29"/>
  <c r="BA49" i="29"/>
  <c r="BA48" i="29"/>
  <c r="BA47" i="29"/>
  <c r="BA46" i="29"/>
  <c r="BA30" i="29"/>
  <c r="BA29" i="29"/>
  <c r="BA28" i="29"/>
  <c r="BA27" i="29"/>
  <c r="BA26" i="29"/>
  <c r="BA25" i="29"/>
  <c r="BA24" i="29"/>
  <c r="BA5" i="29"/>
  <c r="BA74" i="29"/>
  <c r="BA23" i="29"/>
  <c r="BA22" i="29"/>
  <c r="BA21" i="29"/>
  <c r="BA20" i="29"/>
  <c r="BA106" i="29" s="1"/>
  <c r="BA19" i="29"/>
  <c r="BA105" i="29" s="1"/>
  <c r="BA18" i="29"/>
  <c r="BA104" i="29" s="1"/>
  <c r="BA17" i="29"/>
  <c r="BA16" i="29"/>
  <c r="BA102" i="29" s="1"/>
  <c r="BA15" i="29"/>
  <c r="BA101" i="29" s="1"/>
  <c r="BA12" i="29"/>
  <c r="BA10" i="29"/>
  <c r="BA9" i="29"/>
  <c r="BA8" i="29"/>
  <c r="BA7" i="29"/>
  <c r="BA6" i="29"/>
  <c r="AW82" i="29"/>
  <c r="AW80" i="29"/>
  <c r="AW81" i="29"/>
  <c r="AW75" i="29"/>
  <c r="AW72" i="29"/>
  <c r="AW73" i="29"/>
  <c r="AW69" i="29"/>
  <c r="AW67" i="29"/>
  <c r="AW65" i="29"/>
  <c r="AW63" i="29"/>
  <c r="AW61" i="29"/>
  <c r="AW68" i="29"/>
  <c r="AW64" i="29"/>
  <c r="AW58" i="29"/>
  <c r="AW54" i="29"/>
  <c r="AW52" i="29"/>
  <c r="AW50" i="29"/>
  <c r="AW48" i="29"/>
  <c r="AW46" i="29"/>
  <c r="AW44" i="29"/>
  <c r="AW79" i="29"/>
  <c r="AW78" i="29"/>
  <c r="AW74" i="29"/>
  <c r="AW71" i="29"/>
  <c r="AW66" i="29"/>
  <c r="AW62" i="29"/>
  <c r="AW60" i="29"/>
  <c r="AW59" i="29"/>
  <c r="AW57" i="29"/>
  <c r="AW53" i="29"/>
  <c r="AW51" i="29"/>
  <c r="AW49" i="29"/>
  <c r="AW47" i="29"/>
  <c r="AW76" i="29"/>
  <c r="AW43" i="29"/>
  <c r="AW41" i="29"/>
  <c r="AW39" i="29"/>
  <c r="AW37" i="29"/>
  <c r="AW34" i="29"/>
  <c r="AW32" i="29"/>
  <c r="AW30" i="29"/>
  <c r="AW28" i="29"/>
  <c r="AW26" i="29"/>
  <c r="AW24" i="29"/>
  <c r="AW22" i="29"/>
  <c r="AW5" i="29"/>
  <c r="AW45" i="29"/>
  <c r="AW21" i="29"/>
  <c r="AW20" i="29"/>
  <c r="AW106" i="29" s="1"/>
  <c r="AW19" i="29"/>
  <c r="AW105" i="29" s="1"/>
  <c r="AW17" i="29"/>
  <c r="AW103" i="29" s="1"/>
  <c r="AW15" i="29"/>
  <c r="AW101" i="29" s="1"/>
  <c r="AW12" i="29"/>
  <c r="AW10" i="29"/>
  <c r="AW18" i="29"/>
  <c r="AW104" i="29" s="1"/>
  <c r="AW9" i="29"/>
  <c r="AW40" i="29"/>
  <c r="AW35" i="29"/>
  <c r="AW31" i="29"/>
  <c r="AW27" i="29"/>
  <c r="AW23" i="29"/>
  <c r="AW38" i="29"/>
  <c r="AW29" i="29"/>
  <c r="AW7" i="29"/>
  <c r="AW42" i="29"/>
  <c r="AW33" i="29"/>
  <c r="AW25" i="29"/>
  <c r="AW16" i="29"/>
  <c r="AW102" i="29" s="1"/>
  <c r="AW8" i="29"/>
  <c r="AW6" i="29"/>
  <c r="AS85" i="29"/>
  <c r="G58" i="81" s="1"/>
  <c r="E59" i="91" s="1"/>
  <c r="AS86" i="29"/>
  <c r="G59" i="81" s="1"/>
  <c r="E60" i="91" s="1"/>
  <c r="AS82" i="29"/>
  <c r="G55" i="81" s="1"/>
  <c r="AS80" i="29"/>
  <c r="G53" i="81" s="1"/>
  <c r="E53" i="91" s="1"/>
  <c r="AS98" i="29"/>
  <c r="AS84" i="29"/>
  <c r="G57" i="81" s="1"/>
  <c r="E57" i="91" s="1"/>
  <c r="AS79" i="29"/>
  <c r="G52" i="81" s="1"/>
  <c r="E52" i="91" s="1"/>
  <c r="AS73" i="29"/>
  <c r="G46" i="81" s="1"/>
  <c r="AS76" i="29"/>
  <c r="G49" i="81" s="1"/>
  <c r="E49" i="91" s="1"/>
  <c r="AS69" i="29"/>
  <c r="G42" i="81" s="1"/>
  <c r="E42" i="91" s="1"/>
  <c r="G40" i="81"/>
  <c r="E40" i="91" s="1"/>
  <c r="AS65" i="29"/>
  <c r="G38" i="81" s="1"/>
  <c r="E38" i="91" s="1"/>
  <c r="AS63" i="29"/>
  <c r="G36" i="81" s="1"/>
  <c r="E36" i="91" s="1"/>
  <c r="AS61" i="29"/>
  <c r="G34" i="81" s="1"/>
  <c r="E34" i="91" s="1"/>
  <c r="AS87" i="29"/>
  <c r="G60" i="81" s="1"/>
  <c r="E58" i="91" s="1"/>
  <c r="AS71" i="29"/>
  <c r="G44" i="81" s="1"/>
  <c r="E45" i="91" s="1"/>
  <c r="AS62" i="29"/>
  <c r="G35" i="81" s="1"/>
  <c r="E35" i="91" s="1"/>
  <c r="AS58" i="29"/>
  <c r="G31" i="81" s="1"/>
  <c r="E31" i="91" s="1"/>
  <c r="AS54" i="29"/>
  <c r="G27" i="81" s="1"/>
  <c r="E27" i="91" s="1"/>
  <c r="AS52" i="29"/>
  <c r="AS50" i="29"/>
  <c r="AS48" i="29"/>
  <c r="AS46" i="29"/>
  <c r="AS44" i="29"/>
  <c r="AS60" i="29"/>
  <c r="AS99" i="29"/>
  <c r="AS75" i="29"/>
  <c r="G48" i="81" s="1"/>
  <c r="E48" i="91" s="1"/>
  <c r="AS72" i="29"/>
  <c r="G45" i="81" s="1"/>
  <c r="E44" i="91" s="1"/>
  <c r="AS68" i="29"/>
  <c r="G41" i="81" s="1"/>
  <c r="E41" i="91" s="1"/>
  <c r="AS64" i="29"/>
  <c r="G37" i="81" s="1"/>
  <c r="E37" i="91" s="1"/>
  <c r="AS59" i="29"/>
  <c r="G32" i="81" s="1"/>
  <c r="E32" i="91" s="1"/>
  <c r="AS57" i="29"/>
  <c r="G30" i="81" s="1"/>
  <c r="E30" i="91" s="1"/>
  <c r="AS53" i="29"/>
  <c r="AS51" i="29"/>
  <c r="AS47" i="29"/>
  <c r="AS81" i="29"/>
  <c r="AS45" i="29"/>
  <c r="AS43" i="29"/>
  <c r="AS41" i="29"/>
  <c r="AS39" i="29"/>
  <c r="AS37" i="29"/>
  <c r="AS34" i="29"/>
  <c r="AS32" i="29"/>
  <c r="AS30" i="29"/>
  <c r="G22" i="81" s="1"/>
  <c r="E22" i="91" s="1"/>
  <c r="AS28" i="29"/>
  <c r="E23" i="91" s="1"/>
  <c r="AS26" i="29"/>
  <c r="AS24" i="29"/>
  <c r="AS22" i="29"/>
  <c r="G19" i="81" s="1"/>
  <c r="G3" i="81"/>
  <c r="E7" i="91" s="1"/>
  <c r="AS21" i="29"/>
  <c r="G18" i="81" s="1"/>
  <c r="AS20" i="29"/>
  <c r="AS106" i="29" s="1"/>
  <c r="AS19" i="29"/>
  <c r="AS17" i="29"/>
  <c r="AS103" i="29" s="1"/>
  <c r="AS15" i="29"/>
  <c r="AS101" i="29" s="1"/>
  <c r="AS12" i="29"/>
  <c r="G10" i="81" s="1"/>
  <c r="E14" i="91" s="1"/>
  <c r="AS10" i="29"/>
  <c r="G8" i="81" s="1"/>
  <c r="E12" i="91" s="1"/>
  <c r="AS78" i="29"/>
  <c r="G51" i="81" s="1"/>
  <c r="AK66" i="90" s="1"/>
  <c r="AS16" i="29"/>
  <c r="AS102" i="29" s="1"/>
  <c r="AS8" i="29"/>
  <c r="G6" i="81" s="1"/>
  <c r="E10" i="91" s="1"/>
  <c r="AS42" i="29"/>
  <c r="AS38" i="29"/>
  <c r="AS33" i="29"/>
  <c r="AS29" i="29"/>
  <c r="AS25" i="29"/>
  <c r="AS35" i="29"/>
  <c r="AS27" i="29"/>
  <c r="E19" i="91" s="1"/>
  <c r="AS18" i="29"/>
  <c r="AS104" i="29" s="1"/>
  <c r="AS9" i="29"/>
  <c r="G7" i="81" s="1"/>
  <c r="E11" i="91" s="1"/>
  <c r="AS40" i="29"/>
  <c r="AS31" i="29"/>
  <c r="AS23" i="29"/>
  <c r="G20" i="81" s="1"/>
  <c r="AS6" i="29"/>
  <c r="AS7" i="29"/>
  <c r="G5" i="81" s="1"/>
  <c r="E9" i="91" s="1"/>
  <c r="AS74" i="29"/>
  <c r="G47" i="81" s="1"/>
  <c r="E47" i="91" s="1"/>
  <c r="AO82" i="29"/>
  <c r="AO81" i="29"/>
  <c r="AO80" i="29"/>
  <c r="AO79" i="29"/>
  <c r="AO78" i="29"/>
  <c r="AO76" i="29"/>
  <c r="AO75" i="29"/>
  <c r="AO74" i="29"/>
  <c r="AO73" i="29"/>
  <c r="AO72" i="29"/>
  <c r="AO71" i="29"/>
  <c r="AO69" i="29"/>
  <c r="AO68" i="29"/>
  <c r="AO67" i="29"/>
  <c r="AO66" i="29"/>
  <c r="AO65" i="29"/>
  <c r="AO64" i="29"/>
  <c r="AO63" i="29"/>
  <c r="AO61" i="29"/>
  <c r="AO59" i="29"/>
  <c r="AO54" i="29"/>
  <c r="AO53" i="29"/>
  <c r="AO52" i="29"/>
  <c r="AO51" i="29"/>
  <c r="AO50" i="29"/>
  <c r="AO49" i="29"/>
  <c r="AO48" i="29"/>
  <c r="AO47" i="29"/>
  <c r="AO46" i="29"/>
  <c r="AO62" i="29"/>
  <c r="AO60" i="29"/>
  <c r="AO29" i="29"/>
  <c r="AO28" i="29"/>
  <c r="AO27" i="29"/>
  <c r="AO26" i="29"/>
  <c r="AO25" i="29"/>
  <c r="AO58" i="29"/>
  <c r="AO44" i="29"/>
  <c r="AO42" i="29"/>
  <c r="AO57" i="29"/>
  <c r="AO45" i="29"/>
  <c r="AO43" i="29"/>
  <c r="AO39" i="29"/>
  <c r="AO34" i="29"/>
  <c r="AO23" i="29"/>
  <c r="AO21" i="29"/>
  <c r="AO19" i="29"/>
  <c r="AO105" i="29" s="1"/>
  <c r="AO17" i="29"/>
  <c r="AO103" i="29" s="1"/>
  <c r="AO15" i="29"/>
  <c r="AO101" i="29" s="1"/>
  <c r="AO33" i="29"/>
  <c r="AO16" i="29"/>
  <c r="AO102" i="29" s="1"/>
  <c r="AO38" i="29"/>
  <c r="AO32" i="29"/>
  <c r="AO18" i="29"/>
  <c r="AO104" i="29" s="1"/>
  <c r="AO41" i="29"/>
  <c r="AO37" i="29"/>
  <c r="AO22" i="29"/>
  <c r="AO40" i="29"/>
  <c r="AO35" i="29"/>
  <c r="AO31" i="29"/>
  <c r="AO24" i="29"/>
  <c r="AO20" i="29"/>
  <c r="AO106" i="29" s="1"/>
  <c r="AO12" i="29"/>
  <c r="AK54" i="29"/>
  <c r="AK53" i="29"/>
  <c r="AK52" i="29"/>
  <c r="AK51" i="29"/>
  <c r="AK50" i="29"/>
  <c r="AK49" i="29"/>
  <c r="AK48" i="29"/>
  <c r="AK47" i="29"/>
  <c r="AK46" i="29"/>
  <c r="AK29" i="29"/>
  <c r="AK28" i="29"/>
  <c r="AK27" i="29"/>
  <c r="AK26" i="29"/>
  <c r="AK25" i="29"/>
  <c r="AK44" i="29"/>
  <c r="AK42" i="29"/>
  <c r="AK41" i="29"/>
  <c r="AK40" i="29"/>
  <c r="AK39" i="29"/>
  <c r="AK38" i="29"/>
  <c r="AK37" i="29"/>
  <c r="AK35" i="29"/>
  <c r="AK34" i="29"/>
  <c r="AK33" i="29"/>
  <c r="AK32" i="29"/>
  <c r="AK31" i="29"/>
  <c r="AK45" i="29"/>
  <c r="AK43" i="29"/>
  <c r="AK21" i="29"/>
  <c r="AK17" i="29"/>
  <c r="AK103" i="29" s="1"/>
  <c r="AK15" i="29"/>
  <c r="AK101" i="29" s="1"/>
  <c r="AK23" i="29"/>
  <c r="AK19" i="29"/>
  <c r="AK105" i="29" s="1"/>
  <c r="AK24" i="29"/>
  <c r="AK22" i="29"/>
  <c r="AK20" i="29"/>
  <c r="AK106" i="29" s="1"/>
  <c r="AK18" i="29"/>
  <c r="AK104" i="29" s="1"/>
  <c r="AK16" i="29"/>
  <c r="AK102" i="29" s="1"/>
  <c r="AK12" i="29"/>
  <c r="AG54" i="29"/>
  <c r="AG53" i="29"/>
  <c r="AG52" i="29"/>
  <c r="AG51" i="29"/>
  <c r="AG50" i="29"/>
  <c r="AG49" i="29"/>
  <c r="AG48" i="29"/>
  <c r="AG47" i="29"/>
  <c r="AG46" i="29"/>
  <c r="AG29" i="29"/>
  <c r="AG28" i="29"/>
  <c r="AG27" i="29"/>
  <c r="AG26" i="29"/>
  <c r="AG25" i="29"/>
  <c r="AG45" i="29"/>
  <c r="AG43" i="29"/>
  <c r="AG44" i="29"/>
  <c r="AG42" i="29"/>
  <c r="AG40" i="29"/>
  <c r="AG35" i="29"/>
  <c r="AG31" i="29"/>
  <c r="AG24" i="29"/>
  <c r="AG22" i="29"/>
  <c r="AG20" i="29"/>
  <c r="AG106" i="29" s="1"/>
  <c r="AG18" i="29"/>
  <c r="AG104" i="29" s="1"/>
  <c r="AG16" i="29"/>
  <c r="AG102" i="29" s="1"/>
  <c r="AG12" i="29"/>
  <c r="AG23" i="29"/>
  <c r="AG21" i="29"/>
  <c r="AG15" i="29"/>
  <c r="AG101" i="29" s="1"/>
  <c r="AG39" i="29"/>
  <c r="AG34" i="29"/>
  <c r="AG38" i="29"/>
  <c r="AG19" i="29"/>
  <c r="AG105" i="29" s="1"/>
  <c r="AG17" i="29"/>
  <c r="AG103" i="29" s="1"/>
  <c r="AG41" i="29"/>
  <c r="AG37" i="29"/>
  <c r="AG32" i="29"/>
  <c r="AG33" i="29"/>
  <c r="AC54" i="29"/>
  <c r="AC53" i="29"/>
  <c r="AC52" i="29"/>
  <c r="AC51" i="29"/>
  <c r="AC50" i="29"/>
  <c r="AC49" i="29"/>
  <c r="AC48" i="29"/>
  <c r="AC47" i="29"/>
  <c r="AC46" i="29"/>
  <c r="AC29" i="29"/>
  <c r="AC28" i="29"/>
  <c r="AC27" i="29"/>
  <c r="AC26" i="29"/>
  <c r="AC25" i="29"/>
  <c r="AC45" i="29"/>
  <c r="AC43" i="29"/>
  <c r="AC41" i="29"/>
  <c r="AC40" i="29"/>
  <c r="AC39" i="29"/>
  <c r="AC38" i="29"/>
  <c r="AC37" i="29"/>
  <c r="AC35" i="29"/>
  <c r="AC34" i="29"/>
  <c r="AC33" i="29"/>
  <c r="AC32" i="29"/>
  <c r="AC31" i="29"/>
  <c r="AC42" i="29"/>
  <c r="AC22" i="29"/>
  <c r="AC18" i="29"/>
  <c r="AC104" i="29" s="1"/>
  <c r="AC24" i="29"/>
  <c r="AC20" i="29"/>
  <c r="AC106" i="29" s="1"/>
  <c r="AC12" i="29"/>
  <c r="AC44" i="29"/>
  <c r="AC23" i="29"/>
  <c r="AC21" i="29"/>
  <c r="AC19" i="29"/>
  <c r="AC105" i="29" s="1"/>
  <c r="AC17" i="29"/>
  <c r="AC103" i="29" s="1"/>
  <c r="AC15" i="29"/>
  <c r="AC101" i="29" s="1"/>
  <c r="AC16" i="29"/>
  <c r="AC102" i="29" s="1"/>
  <c r="T87" i="29"/>
  <c r="T86" i="29"/>
  <c r="T85" i="29"/>
  <c r="T84" i="29"/>
  <c r="T82" i="29"/>
  <c r="T81" i="29"/>
  <c r="T80" i="29"/>
  <c r="T79" i="29"/>
  <c r="T78" i="29"/>
  <c r="T76" i="29"/>
  <c r="T75" i="29"/>
  <c r="T74" i="29"/>
  <c r="T73" i="29"/>
  <c r="T72" i="29"/>
  <c r="T69" i="29"/>
  <c r="T67" i="29"/>
  <c r="T65" i="29"/>
  <c r="T63" i="29"/>
  <c r="T62" i="29"/>
  <c r="T61" i="29"/>
  <c r="T60" i="29"/>
  <c r="T59" i="29"/>
  <c r="T58" i="29"/>
  <c r="T57" i="29"/>
  <c r="T71" i="29"/>
  <c r="T68" i="29"/>
  <c r="T66" i="29"/>
  <c r="T64" i="29"/>
  <c r="T45" i="29"/>
  <c r="T44" i="29"/>
  <c r="T43" i="29"/>
  <c r="T42" i="29"/>
  <c r="T54" i="29"/>
  <c r="T53" i="29"/>
  <c r="T52" i="29"/>
  <c r="T51" i="29"/>
  <c r="T50" i="29"/>
  <c r="T49" i="29"/>
  <c r="T48" i="29"/>
  <c r="T47" i="29"/>
  <c r="T46" i="29"/>
  <c r="T24" i="29"/>
  <c r="T23" i="29"/>
  <c r="T22" i="29"/>
  <c r="T21" i="29"/>
  <c r="T20" i="29"/>
  <c r="T19" i="29"/>
  <c r="T105" i="29" s="1"/>
  <c r="T18" i="29"/>
  <c r="T104" i="29" s="1"/>
  <c r="T17" i="29"/>
  <c r="T103" i="29" s="1"/>
  <c r="T16" i="29"/>
  <c r="T15" i="29"/>
  <c r="T101" i="29" s="1"/>
  <c r="T12" i="29"/>
  <c r="T10" i="29"/>
  <c r="T9" i="29"/>
  <c r="T8" i="29"/>
  <c r="T7" i="29"/>
  <c r="T6" i="29"/>
  <c r="T30" i="29"/>
  <c r="T29" i="29"/>
  <c r="T28" i="29"/>
  <c r="T27" i="29"/>
  <c r="T26" i="29"/>
  <c r="T25" i="29"/>
  <c r="T5" i="29"/>
  <c r="C3" i="81" s="1"/>
  <c r="T41" i="29"/>
  <c r="T40" i="29"/>
  <c r="T39" i="29"/>
  <c r="T38" i="29"/>
  <c r="T37" i="29"/>
  <c r="T35" i="29"/>
  <c r="T34" i="29"/>
  <c r="T33" i="29"/>
  <c r="T32" i="29"/>
  <c r="T31" i="29"/>
  <c r="P86" i="29"/>
  <c r="P82" i="29"/>
  <c r="P80" i="29"/>
  <c r="P78" i="29"/>
  <c r="P75" i="29"/>
  <c r="P73" i="29"/>
  <c r="P87" i="29"/>
  <c r="P85" i="29"/>
  <c r="P74" i="29"/>
  <c r="P69" i="29"/>
  <c r="P67" i="29"/>
  <c r="P65" i="29"/>
  <c r="P63" i="29"/>
  <c r="P61" i="29"/>
  <c r="P84" i="29"/>
  <c r="P72" i="29"/>
  <c r="P81" i="29"/>
  <c r="P71" i="29"/>
  <c r="P66" i="29"/>
  <c r="P62" i="29"/>
  <c r="P59" i="29"/>
  <c r="P57" i="29"/>
  <c r="P53" i="29"/>
  <c r="P51" i="29"/>
  <c r="P49" i="29"/>
  <c r="P47" i="29"/>
  <c r="P76" i="29"/>
  <c r="P54" i="29"/>
  <c r="P46" i="29"/>
  <c r="P21" i="29"/>
  <c r="P20" i="29"/>
  <c r="P106" i="29" s="1"/>
  <c r="P19" i="29"/>
  <c r="P105" i="29" s="1"/>
  <c r="P17" i="29"/>
  <c r="P103" i="29" s="1"/>
  <c r="P15" i="29"/>
  <c r="P101" i="29" s="1"/>
  <c r="P12" i="29"/>
  <c r="P10" i="29"/>
  <c r="P58" i="29"/>
  <c r="P48" i="29"/>
  <c r="P44" i="29"/>
  <c r="P42" i="29"/>
  <c r="P40" i="29"/>
  <c r="P38" i="29"/>
  <c r="P35" i="29"/>
  <c r="P33" i="29"/>
  <c r="P31" i="29"/>
  <c r="P29" i="29"/>
  <c r="P27" i="29"/>
  <c r="P25" i="29"/>
  <c r="P23" i="29"/>
  <c r="P52" i="29"/>
  <c r="P41" i="29"/>
  <c r="P37" i="29"/>
  <c r="P32" i="29"/>
  <c r="P28" i="29"/>
  <c r="P24" i="29"/>
  <c r="P79" i="29"/>
  <c r="P50" i="29"/>
  <c r="P18" i="29"/>
  <c r="P104" i="29" s="1"/>
  <c r="P9" i="29"/>
  <c r="P7" i="29"/>
  <c r="P60" i="29"/>
  <c r="P22" i="29"/>
  <c r="P6" i="29"/>
  <c r="P68" i="29"/>
  <c r="P43" i="29"/>
  <c r="P34" i="29"/>
  <c r="P26" i="29"/>
  <c r="P64" i="29"/>
  <c r="P45" i="29"/>
  <c r="P30" i="29"/>
  <c r="P39" i="29"/>
  <c r="P16" i="29"/>
  <c r="P102" i="29" s="1"/>
  <c r="P8" i="29"/>
  <c r="L85" i="29"/>
  <c r="L84" i="29"/>
  <c r="L82" i="29"/>
  <c r="L81" i="29"/>
  <c r="L80" i="29"/>
  <c r="L79" i="29"/>
  <c r="L78" i="29"/>
  <c r="L76" i="29"/>
  <c r="L75" i="29"/>
  <c r="L74" i="29"/>
  <c r="L73" i="29"/>
  <c r="L72" i="29"/>
  <c r="L71" i="29"/>
  <c r="L69" i="29"/>
  <c r="L68" i="29"/>
  <c r="L67" i="29"/>
  <c r="L66" i="29"/>
  <c r="L65" i="29"/>
  <c r="L64" i="29"/>
  <c r="L87" i="29"/>
  <c r="L86" i="29"/>
  <c r="L62" i="29"/>
  <c r="L60" i="29"/>
  <c r="L57" i="29"/>
  <c r="L54" i="29"/>
  <c r="L53" i="29"/>
  <c r="L52" i="29"/>
  <c r="L51" i="29"/>
  <c r="L50" i="29"/>
  <c r="L49" i="29"/>
  <c r="L48" i="29"/>
  <c r="L47" i="29"/>
  <c r="L46" i="29"/>
  <c r="L63" i="29"/>
  <c r="L61" i="29"/>
  <c r="L30" i="29"/>
  <c r="L29" i="29"/>
  <c r="L28" i="29"/>
  <c r="L27" i="29"/>
  <c r="L26" i="29"/>
  <c r="L25" i="29"/>
  <c r="L45" i="29"/>
  <c r="L43" i="29"/>
  <c r="L59" i="29"/>
  <c r="L44" i="29"/>
  <c r="L42" i="29"/>
  <c r="L38" i="29"/>
  <c r="L33" i="29"/>
  <c r="L24" i="29"/>
  <c r="L22" i="29"/>
  <c r="L20" i="29"/>
  <c r="L18" i="29"/>
  <c r="L104" i="29" s="1"/>
  <c r="L16" i="29"/>
  <c r="L102" i="29" s="1"/>
  <c r="L12" i="29"/>
  <c r="L9" i="29"/>
  <c r="L41" i="29"/>
  <c r="L32" i="29"/>
  <c r="L31" i="29"/>
  <c r="L37" i="29"/>
  <c r="L17" i="29"/>
  <c r="L103" i="29" s="1"/>
  <c r="L15" i="29"/>
  <c r="L101" i="29" s="1"/>
  <c r="L40" i="29"/>
  <c r="L35" i="29"/>
  <c r="L21" i="29"/>
  <c r="L10" i="29"/>
  <c r="L58" i="29"/>
  <c r="L39" i="29"/>
  <c r="L34" i="29"/>
  <c r="L8" i="29"/>
  <c r="L7" i="29"/>
  <c r="L6" i="29"/>
  <c r="L23" i="29"/>
  <c r="L19" i="29"/>
  <c r="L105" i="29" s="1"/>
  <c r="H85" i="29"/>
  <c r="H84" i="29"/>
  <c r="H82" i="29"/>
  <c r="H81" i="29"/>
  <c r="H80" i="29"/>
  <c r="H79" i="29"/>
  <c r="H78" i="29"/>
  <c r="H76" i="29"/>
  <c r="H75" i="29"/>
  <c r="H74" i="29"/>
  <c r="H73" i="29"/>
  <c r="H72" i="29"/>
  <c r="H71" i="29"/>
  <c r="H69" i="29"/>
  <c r="H68" i="29"/>
  <c r="H67" i="29"/>
  <c r="H66" i="29"/>
  <c r="H65" i="29"/>
  <c r="H64" i="29"/>
  <c r="H86" i="29"/>
  <c r="H87" i="29"/>
  <c r="H57" i="29"/>
  <c r="H54" i="29"/>
  <c r="H53" i="29"/>
  <c r="H52" i="29"/>
  <c r="H51" i="29"/>
  <c r="H50" i="29"/>
  <c r="H49" i="29"/>
  <c r="H48" i="29"/>
  <c r="H47" i="29"/>
  <c r="H46" i="29"/>
  <c r="H62" i="29"/>
  <c r="H60" i="29"/>
  <c r="H59" i="29"/>
  <c r="H58" i="29"/>
  <c r="H30" i="29"/>
  <c r="H29" i="29"/>
  <c r="H28" i="29"/>
  <c r="H27" i="29"/>
  <c r="H26" i="29"/>
  <c r="H25" i="29"/>
  <c r="H63" i="29"/>
  <c r="H61" i="29"/>
  <c r="H45" i="29"/>
  <c r="H43" i="29"/>
  <c r="H41" i="29"/>
  <c r="H40" i="29"/>
  <c r="H39" i="29"/>
  <c r="H38" i="29"/>
  <c r="H37" i="29"/>
  <c r="H35" i="29"/>
  <c r="H34" i="29"/>
  <c r="H33" i="29"/>
  <c r="H32" i="29"/>
  <c r="H31" i="29"/>
  <c r="H44" i="29"/>
  <c r="H8" i="29"/>
  <c r="H24" i="29"/>
  <c r="H20" i="29"/>
  <c r="H106" i="29" s="1"/>
  <c r="H6" i="29"/>
  <c r="H42" i="29"/>
  <c r="H22" i="29"/>
  <c r="H18" i="29"/>
  <c r="H104" i="29" s="1"/>
  <c r="H16" i="29"/>
  <c r="H102" i="29" s="1"/>
  <c r="H12" i="29"/>
  <c r="H23" i="29"/>
  <c r="H21" i="29"/>
  <c r="H19" i="29"/>
  <c r="H105" i="29" s="1"/>
  <c r="H17" i="29"/>
  <c r="H103" i="29" s="1"/>
  <c r="H15" i="29"/>
  <c r="H101" i="29" s="1"/>
  <c r="H10" i="29"/>
  <c r="H9" i="29"/>
  <c r="H7" i="29"/>
  <c r="BL16" i="29"/>
  <c r="BL102" i="29" s="1"/>
  <c r="BL17" i="29"/>
  <c r="BL103" i="29" s="1"/>
  <c r="BL18" i="29"/>
  <c r="BL104" i="29" s="1"/>
  <c r="BL15" i="29"/>
  <c r="BL101" i="29" s="1"/>
  <c r="BL19" i="29"/>
  <c r="BL105" i="29" s="1"/>
  <c r="BL20" i="29"/>
  <c r="BL106" i="29" s="1"/>
  <c r="BH17" i="29"/>
  <c r="BH103" i="29" s="1"/>
  <c r="BH18" i="29"/>
  <c r="BH104" i="29" s="1"/>
  <c r="BH16" i="29"/>
  <c r="BH102" i="29" s="1"/>
  <c r="BH15" i="29"/>
  <c r="BH101" i="29" s="1"/>
  <c r="BH20" i="29"/>
  <c r="BH106" i="29" s="1"/>
  <c r="BH19" i="29"/>
  <c r="BH105" i="29" s="1"/>
  <c r="AA87" i="29"/>
  <c r="AA85" i="29"/>
  <c r="AA84" i="29"/>
  <c r="AA82" i="29"/>
  <c r="AA81" i="29"/>
  <c r="AA80" i="29"/>
  <c r="AA79" i="29"/>
  <c r="AA78" i="29"/>
  <c r="AA76" i="29"/>
  <c r="AA75" i="29"/>
  <c r="AA74" i="29"/>
  <c r="AA73" i="29"/>
  <c r="AA72" i="29"/>
  <c r="AA71" i="29"/>
  <c r="AA68" i="29"/>
  <c r="AA66" i="29"/>
  <c r="AA64" i="29"/>
  <c r="AA63" i="29"/>
  <c r="AA62" i="29"/>
  <c r="AA61" i="29"/>
  <c r="AA60" i="29"/>
  <c r="AA59" i="29"/>
  <c r="AA86" i="29"/>
  <c r="AA65" i="29"/>
  <c r="AA67" i="29"/>
  <c r="AA45" i="29"/>
  <c r="AA44" i="29"/>
  <c r="AA43" i="29"/>
  <c r="AA42" i="29"/>
  <c r="AA41" i="29"/>
  <c r="AA40" i="29"/>
  <c r="AA39" i="29"/>
  <c r="AA38" i="29"/>
  <c r="AA37" i="29"/>
  <c r="AA35" i="29"/>
  <c r="AA34" i="29"/>
  <c r="AA33" i="29"/>
  <c r="AA32" i="29"/>
  <c r="AA31" i="29"/>
  <c r="AA69" i="29"/>
  <c r="AA58" i="29"/>
  <c r="AA57" i="29"/>
  <c r="AA54" i="29"/>
  <c r="AA53" i="29"/>
  <c r="AA52" i="29"/>
  <c r="AA51" i="29"/>
  <c r="AA50" i="29"/>
  <c r="AA49" i="29"/>
  <c r="AA48" i="29"/>
  <c r="AA47" i="29"/>
  <c r="AA46" i="29"/>
  <c r="AA24" i="29"/>
  <c r="AA23" i="29"/>
  <c r="AA22" i="29"/>
  <c r="AA21" i="29"/>
  <c r="AA20" i="29"/>
  <c r="AA106" i="29" s="1"/>
  <c r="AA19" i="29"/>
  <c r="AA105" i="29" s="1"/>
  <c r="AA18" i="29"/>
  <c r="AA104" i="29" s="1"/>
  <c r="AA17" i="29"/>
  <c r="AA103" i="29" s="1"/>
  <c r="AA16" i="29"/>
  <c r="AA102" i="29" s="1"/>
  <c r="AA15" i="29"/>
  <c r="AA101" i="29" s="1"/>
  <c r="AA12" i="29"/>
  <c r="AA30" i="29"/>
  <c r="AA29" i="29"/>
  <c r="AA28" i="29"/>
  <c r="AA27" i="29"/>
  <c r="AA26" i="29"/>
  <c r="AA25" i="29"/>
  <c r="W87" i="29"/>
  <c r="W86" i="29"/>
  <c r="W85" i="29"/>
  <c r="W84" i="29"/>
  <c r="W82" i="29"/>
  <c r="W81" i="29"/>
  <c r="W80" i="29"/>
  <c r="W79" i="29"/>
  <c r="W78" i="29"/>
  <c r="W76" i="29"/>
  <c r="W75" i="29"/>
  <c r="W71" i="29"/>
  <c r="W68" i="29"/>
  <c r="W66" i="29"/>
  <c r="W64" i="29"/>
  <c r="W63" i="29"/>
  <c r="W62" i="29"/>
  <c r="W61" i="29"/>
  <c r="W60" i="29"/>
  <c r="W59" i="29"/>
  <c r="W69" i="29"/>
  <c r="W67" i="29"/>
  <c r="W65" i="29"/>
  <c r="W72" i="29"/>
  <c r="W58" i="29"/>
  <c r="W57" i="29"/>
  <c r="W45" i="29"/>
  <c r="W44" i="29"/>
  <c r="W43" i="29"/>
  <c r="W42" i="29"/>
  <c r="W41" i="29"/>
  <c r="W40" i="29"/>
  <c r="W39" i="29"/>
  <c r="W38" i="29"/>
  <c r="W37" i="29"/>
  <c r="W35" i="29"/>
  <c r="W34" i="29"/>
  <c r="W33" i="29"/>
  <c r="W32" i="29"/>
  <c r="W31" i="29"/>
  <c r="W74" i="29"/>
  <c r="W54" i="29"/>
  <c r="W53" i="29"/>
  <c r="W52" i="29"/>
  <c r="W51" i="29"/>
  <c r="W50" i="29"/>
  <c r="W49" i="29"/>
  <c r="W48" i="29"/>
  <c r="W47" i="29"/>
  <c r="W46" i="29"/>
  <c r="W30" i="29"/>
  <c r="W29" i="29"/>
  <c r="W28" i="29"/>
  <c r="W27" i="29"/>
  <c r="W26" i="29"/>
  <c r="W25" i="29"/>
  <c r="W24" i="29"/>
  <c r="W23" i="29"/>
  <c r="W22" i="29"/>
  <c r="W21" i="29"/>
  <c r="W20" i="29"/>
  <c r="W106" i="29" s="1"/>
  <c r="W19" i="29"/>
  <c r="W18" i="29"/>
  <c r="W104" i="29" s="1"/>
  <c r="W17" i="29"/>
  <c r="W103" i="29" s="1"/>
  <c r="W16" i="29"/>
  <c r="W102" i="29" s="1"/>
  <c r="W15" i="29"/>
  <c r="W12" i="29"/>
  <c r="W73" i="29"/>
  <c r="G39" i="82"/>
  <c r="AE50" i="82" s="1"/>
  <c r="D3" i="5"/>
  <c r="F2" i="29"/>
  <c r="AW3" i="5"/>
  <c r="B47" i="87"/>
  <c r="M45" i="81"/>
  <c r="J44" i="91" s="1"/>
  <c r="M41" i="81"/>
  <c r="J41" i="91" s="1"/>
  <c r="E104" i="11"/>
  <c r="E114" i="11"/>
  <c r="E131" i="11"/>
  <c r="O28" i="81"/>
  <c r="O11" i="81" s="1"/>
  <c r="E78" i="11"/>
  <c r="E95" i="11"/>
  <c r="E106" i="11"/>
  <c r="E117" i="11"/>
  <c r="E136" i="11"/>
  <c r="E140" i="11"/>
  <c r="J38" i="81"/>
  <c r="E109" i="11"/>
  <c r="E120" i="11"/>
  <c r="E152" i="11"/>
  <c r="N34" i="81"/>
  <c r="K34" i="91" s="1"/>
  <c r="N20" i="81"/>
  <c r="N35" i="81"/>
  <c r="K35" i="91" s="1"/>
  <c r="N37" i="81"/>
  <c r="K37" i="91" s="1"/>
  <c r="N40" i="81"/>
  <c r="K40" i="91" s="1"/>
  <c r="N59" i="81"/>
  <c r="K60" i="91" s="1"/>
  <c r="N44" i="81"/>
  <c r="K45" i="91" s="1"/>
  <c r="N53" i="81"/>
  <c r="K53" i="91" s="1"/>
  <c r="N6" i="81"/>
  <c r="K10" i="91" s="1"/>
  <c r="N39" i="81"/>
  <c r="K39" i="91" s="1"/>
  <c r="N32" i="81"/>
  <c r="K32" i="91" s="1"/>
  <c r="N54" i="81"/>
  <c r="K54" i="91" s="1"/>
  <c r="N46" i="81"/>
  <c r="K46" i="91" s="1"/>
  <c r="N13" i="81"/>
  <c r="I62" i="81"/>
  <c r="H63" i="81"/>
  <c r="P102" i="75"/>
  <c r="A11" i="7"/>
  <c r="G39" i="98"/>
  <c r="BN3" i="5"/>
  <c r="AX3" i="5"/>
  <c r="B48" i="87"/>
  <c r="B37" i="82"/>
  <c r="AB48" i="82" s="1"/>
  <c r="B29" i="87"/>
  <c r="BD93" i="75"/>
  <c r="BM93" i="75"/>
  <c r="AJ93" i="75"/>
  <c r="AQ102" i="75"/>
  <c r="Z88" i="75"/>
  <c r="Z60" i="75" s="1"/>
  <c r="AE88" i="75"/>
  <c r="AF88" i="75"/>
  <c r="AC19" i="75"/>
  <c r="BL102" i="75"/>
  <c r="F39" i="96"/>
  <c r="G39" i="96" s="1"/>
  <c r="F33" i="96"/>
  <c r="G33" i="96" s="1"/>
  <c r="A38" i="7"/>
  <c r="AC57" i="87"/>
  <c r="T2" i="5"/>
  <c r="A24" i="5"/>
  <c r="A34" i="7"/>
  <c r="N2" i="29"/>
  <c r="AG3" i="5"/>
  <c r="BI3" i="5"/>
  <c r="H3" i="5"/>
  <c r="AO3" i="5"/>
  <c r="B45" i="87"/>
  <c r="T93" i="75"/>
  <c r="AO41" i="75"/>
  <c r="AI61" i="75"/>
  <c r="E75" i="75"/>
  <c r="T61" i="75"/>
  <c r="T75" i="75"/>
  <c r="C82" i="75"/>
  <c r="E88" i="75"/>
  <c r="V61" i="75"/>
  <c r="AG75" i="75"/>
  <c r="AL75" i="75"/>
  <c r="AA75" i="75"/>
  <c r="AF82" i="75"/>
  <c r="AK82" i="75"/>
  <c r="AO82" i="75"/>
  <c r="N41" i="75"/>
  <c r="O19" i="75"/>
  <c r="P41" i="75"/>
  <c r="P88" i="75"/>
  <c r="R16" i="75"/>
  <c r="S88" i="75"/>
  <c r="E31" i="87"/>
  <c r="B52" i="87"/>
  <c r="AB93" i="75"/>
  <c r="G61" i="75"/>
  <c r="F75" i="75"/>
  <c r="D41" i="75"/>
  <c r="D61" i="75"/>
  <c r="D88" i="75"/>
  <c r="R75" i="75"/>
  <c r="AR102" i="75"/>
  <c r="AZ102" i="75"/>
  <c r="AI93" i="75"/>
  <c r="Z93" i="75"/>
  <c r="AO93" i="75"/>
  <c r="C93" i="75"/>
  <c r="G93" i="75"/>
  <c r="J102" i="75"/>
  <c r="J93" i="75"/>
  <c r="K102" i="75"/>
  <c r="L102" i="75"/>
  <c r="M102" i="75"/>
  <c r="M93" i="75"/>
  <c r="R102" i="75"/>
  <c r="BN61" i="75"/>
  <c r="BO41" i="75"/>
  <c r="BC93" i="75"/>
  <c r="BH93" i="75"/>
  <c r="BE102" i="75"/>
  <c r="BE82" i="75"/>
  <c r="BG16" i="75"/>
  <c r="AR41" i="75"/>
  <c r="AT16" i="75"/>
  <c r="AQ82" i="75"/>
  <c r="AQ41" i="75"/>
  <c r="AQ10" i="75"/>
  <c r="AQ16" i="75" s="1"/>
  <c r="F19" i="75"/>
  <c r="C67" i="81"/>
  <c r="AG41" i="75"/>
  <c r="AM41" i="75"/>
  <c r="AL61" i="75"/>
  <c r="AP61" i="75"/>
  <c r="AK61" i="75"/>
  <c r="AI75" i="75"/>
  <c r="AJ75" i="75"/>
  <c r="U82" i="75"/>
  <c r="AP82" i="75"/>
  <c r="AA16" i="75"/>
  <c r="AF16" i="75"/>
  <c r="U41" i="75"/>
  <c r="AD41" i="75"/>
  <c r="AF41" i="75"/>
  <c r="AE61" i="75"/>
  <c r="BO61" i="75"/>
  <c r="AB61" i="75"/>
  <c r="AN75" i="75"/>
  <c r="G82" i="75"/>
  <c r="AN82" i="75"/>
  <c r="BO82" i="75"/>
  <c r="AU93" i="75"/>
  <c r="U93" i="75"/>
  <c r="AG102" i="75"/>
  <c r="AM102" i="75"/>
  <c r="F16" i="75"/>
  <c r="C16" i="78"/>
  <c r="BG82" i="75"/>
  <c r="AS82" i="75"/>
  <c r="AS75" i="75"/>
  <c r="AS41" i="75"/>
  <c r="AC41" i="75"/>
  <c r="AC75" i="75"/>
  <c r="AH16" i="75"/>
  <c r="AH41" i="75"/>
  <c r="V88" i="75"/>
  <c r="AC88" i="75"/>
  <c r="AD88" i="75"/>
  <c r="AG88" i="75"/>
  <c r="AH88" i="75"/>
  <c r="AI88" i="75"/>
  <c r="AK88" i="75"/>
  <c r="AP88" i="75"/>
  <c r="AL88" i="75"/>
  <c r="AZ75" i="75"/>
  <c r="AZ82" i="75"/>
  <c r="S93" i="75"/>
  <c r="S102" i="75"/>
  <c r="T102" i="75"/>
  <c r="AV93" i="75"/>
  <c r="AV102" i="75"/>
  <c r="AY102" i="75"/>
  <c r="AT82" i="75"/>
  <c r="E63" i="11"/>
  <c r="E68" i="11"/>
  <c r="E74" i="11"/>
  <c r="E80" i="11"/>
  <c r="G37" i="88"/>
  <c r="AC45" i="88" s="1"/>
  <c r="C32" i="87"/>
  <c r="AG16" i="75"/>
  <c r="AK16" i="75"/>
  <c r="Z16" i="75"/>
  <c r="AI19" i="75"/>
  <c r="Z19" i="75"/>
  <c r="E19" i="75"/>
  <c r="AN19" i="75"/>
  <c r="BE19" i="75"/>
  <c r="I43" i="81"/>
  <c r="I28" i="81" s="1"/>
  <c r="AK7" i="90" s="1"/>
  <c r="H56" i="81"/>
  <c r="E27" i="11"/>
  <c r="E32" i="11"/>
  <c r="E36" i="11"/>
  <c r="E42" i="11"/>
  <c r="E47" i="11"/>
  <c r="E53" i="11"/>
  <c r="E60" i="11"/>
  <c r="E65" i="11"/>
  <c r="E72" i="11"/>
  <c r="E77" i="11"/>
  <c r="E82" i="11"/>
  <c r="G36" i="88"/>
  <c r="AC44" i="88" s="1"/>
  <c r="G38" i="82"/>
  <c r="AE49" i="82" s="1"/>
  <c r="AR16" i="75"/>
  <c r="B2" i="81"/>
  <c r="AH3" i="90" s="1"/>
  <c r="AI63" i="90" s="1"/>
  <c r="AI73" i="90" s="1"/>
  <c r="K10" i="82"/>
  <c r="H38" i="98"/>
  <c r="A68" i="5"/>
  <c r="A86" i="5"/>
  <c r="A82" i="5"/>
  <c r="A8" i="29"/>
  <c r="A54" i="81"/>
  <c r="A50" i="81"/>
  <c r="A44" i="81"/>
  <c r="A30" i="81"/>
  <c r="A15" i="81"/>
  <c r="A22" i="29"/>
  <c r="A48" i="7"/>
  <c r="A25" i="29"/>
  <c r="B50" i="96"/>
  <c r="A35" i="7"/>
  <c r="Z3" i="5"/>
  <c r="Q3" i="5"/>
  <c r="B38" i="87"/>
  <c r="A62" i="5"/>
  <c r="A35" i="5"/>
  <c r="A30" i="5"/>
  <c r="A5" i="5"/>
  <c r="A71" i="29"/>
  <c r="A18" i="29"/>
  <c r="A104" i="29" s="1"/>
  <c r="A75" i="81" s="1"/>
  <c r="O2" i="29"/>
  <c r="A41" i="7"/>
  <c r="A20" i="7"/>
  <c r="A31" i="7"/>
  <c r="AL3" i="5"/>
  <c r="I3" i="5"/>
  <c r="J38" i="98"/>
  <c r="BJ3" i="5"/>
  <c r="E3" i="5"/>
  <c r="BH2" i="29"/>
  <c r="A39" i="7"/>
  <c r="AD3" i="5"/>
  <c r="B41" i="87"/>
  <c r="AC65" i="87"/>
  <c r="A50" i="87"/>
  <c r="AD66" i="87" s="1"/>
  <c r="AK72" i="87" s="1"/>
  <c r="AJ71" i="87" s="1"/>
  <c r="AJ79" i="87" s="1"/>
  <c r="AK79" i="87" s="1"/>
  <c r="K38" i="98"/>
  <c r="A25" i="7"/>
  <c r="U3" i="5"/>
  <c r="E2" i="29"/>
  <c r="AN3" i="5"/>
  <c r="A18" i="7"/>
  <c r="A37" i="7"/>
  <c r="Q2" i="29"/>
  <c r="A33" i="7"/>
  <c r="M2" i="29"/>
  <c r="K3" i="5"/>
  <c r="A29" i="7"/>
  <c r="I2" i="29"/>
  <c r="A16" i="7"/>
  <c r="AJ3" i="5"/>
  <c r="AI39" i="96"/>
  <c r="AB39" i="96"/>
  <c r="B34" i="82"/>
  <c r="K12" i="82" s="1"/>
  <c r="B40" i="87"/>
  <c r="F41" i="75"/>
  <c r="AK19" i="75"/>
  <c r="AF19" i="75"/>
  <c r="AD16" i="75"/>
  <c r="AI16" i="75"/>
  <c r="BO16" i="75"/>
  <c r="C7" i="78"/>
  <c r="E16" i="75"/>
  <c r="G16" i="75"/>
  <c r="H19" i="75"/>
  <c r="I41" i="75"/>
  <c r="C11" i="78"/>
  <c r="J61" i="75"/>
  <c r="J41" i="75"/>
  <c r="J16" i="75"/>
  <c r="K16" i="75"/>
  <c r="L61" i="75"/>
  <c r="L16" i="75"/>
  <c r="M61" i="75"/>
  <c r="C66" i="81"/>
  <c r="H29" i="81"/>
  <c r="H28" i="81" s="1"/>
  <c r="AK6" i="90" s="1"/>
  <c r="X10" i="75"/>
  <c r="X16" i="75" s="1"/>
  <c r="E93" i="75"/>
  <c r="G102" i="75"/>
  <c r="BJ102" i="75"/>
  <c r="E40" i="11"/>
  <c r="E44" i="11"/>
  <c r="E48" i="11"/>
  <c r="E52" i="11"/>
  <c r="E58" i="11"/>
  <c r="E62" i="11"/>
  <c r="E66" i="11"/>
  <c r="E71" i="11"/>
  <c r="E75" i="11"/>
  <c r="E79" i="11"/>
  <c r="E90" i="11"/>
  <c r="E94" i="11"/>
  <c r="E99" i="11"/>
  <c r="E103" i="11"/>
  <c r="E107" i="11"/>
  <c r="E111" i="11"/>
  <c r="E115" i="11"/>
  <c r="E119" i="11"/>
  <c r="E124" i="11"/>
  <c r="E129" i="11"/>
  <c r="E135" i="11"/>
  <c r="E145" i="11"/>
  <c r="E169" i="11"/>
  <c r="E172" i="11"/>
  <c r="D19" i="75"/>
  <c r="D75" i="75"/>
  <c r="P75" i="75"/>
  <c r="R82" i="75"/>
  <c r="S75" i="75"/>
  <c r="AU16" i="75"/>
  <c r="AV16" i="75"/>
  <c r="AH39" i="96"/>
  <c r="AM39" i="96"/>
  <c r="AC39" i="96"/>
  <c r="AL39" i="96"/>
  <c r="AF39" i="96"/>
  <c r="AG39" i="96"/>
  <c r="AJ19" i="75"/>
  <c r="BN75" i="75"/>
  <c r="BL93" i="75"/>
  <c r="E123" i="11"/>
  <c r="E128" i="11"/>
  <c r="E133" i="11"/>
  <c r="E144" i="11"/>
  <c r="AE39" i="96"/>
  <c r="AJ39" i="96"/>
  <c r="AK39" i="96"/>
  <c r="F50" i="91"/>
  <c r="F29" i="91"/>
  <c r="G43" i="91"/>
  <c r="G56" i="91"/>
  <c r="AQ19" i="75"/>
  <c r="C75" i="75"/>
  <c r="O75" i="75"/>
  <c r="O88" i="75"/>
  <c r="T16" i="75"/>
  <c r="T82" i="75"/>
  <c r="U88" i="75"/>
  <c r="U75" i="75"/>
  <c r="K41" i="75"/>
  <c r="N61" i="75"/>
  <c r="AB88" i="75"/>
  <c r="AD82" i="75"/>
  <c r="AI82" i="75"/>
  <c r="AM82" i="75"/>
  <c r="F88" i="75"/>
  <c r="D93" i="75"/>
  <c r="J19" i="75"/>
  <c r="O3" i="5"/>
  <c r="F35" i="96"/>
  <c r="G35" i="96" s="1"/>
  <c r="AQ93" i="75"/>
  <c r="R93" i="75"/>
  <c r="BO102" i="75"/>
  <c r="BI93" i="75"/>
  <c r="BC102" i="75"/>
  <c r="AT75" i="75"/>
  <c r="AT61" i="75"/>
  <c r="AT41" i="75"/>
  <c r="BB61" i="75"/>
  <c r="AV82" i="75"/>
  <c r="AC61" i="75"/>
  <c r="AP75" i="75"/>
  <c r="W16" i="75"/>
  <c r="C15" i="78"/>
  <c r="G19" i="75"/>
  <c r="E41" i="75"/>
  <c r="G75" i="75"/>
  <c r="D82" i="75"/>
  <c r="G88" i="75"/>
  <c r="N75" i="75"/>
  <c r="S82" i="75"/>
  <c r="T19" i="75"/>
  <c r="T88" i="75"/>
  <c r="G41" i="75"/>
  <c r="H88" i="75"/>
  <c r="H75" i="75"/>
  <c r="J88" i="75"/>
  <c r="K75" i="75"/>
  <c r="L82" i="75"/>
  <c r="C41" i="75"/>
  <c r="C10" i="78"/>
  <c r="C12" i="78"/>
  <c r="C14" i="78"/>
  <c r="R41" i="75"/>
  <c r="S61" i="75"/>
  <c r="K23" i="91"/>
  <c r="AH97" i="29"/>
  <c r="AP97" i="29"/>
  <c r="V88" i="29"/>
  <c r="C37" i="87"/>
  <c r="BE16" i="75"/>
  <c r="BB19" i="75"/>
  <c r="AS93" i="75"/>
  <c r="AU102" i="75"/>
  <c r="V93" i="75"/>
  <c r="AH93" i="75"/>
  <c r="AG93" i="75"/>
  <c r="AB102" i="75"/>
  <c r="AJ102" i="75"/>
  <c r="AF102" i="75"/>
  <c r="AI102" i="75"/>
  <c r="D102" i="75"/>
  <c r="O102" i="75"/>
  <c r="P93" i="75"/>
  <c r="F93" i="75"/>
  <c r="BN16" i="75"/>
  <c r="BN19" i="75"/>
  <c r="BN41" i="75"/>
  <c r="BK102" i="75"/>
  <c r="BM102" i="75"/>
  <c r="AR19" i="75"/>
  <c r="BB41" i="75"/>
  <c r="BB75" i="75"/>
  <c r="BB82" i="75"/>
  <c r="AV75" i="75"/>
  <c r="AF75" i="75"/>
  <c r="AO75" i="75"/>
  <c r="AG82" i="75"/>
  <c r="U16" i="75"/>
  <c r="AA41" i="75"/>
  <c r="AO61" i="75"/>
  <c r="AM75" i="75"/>
  <c r="AJ82" i="75"/>
  <c r="AC16" i="75"/>
  <c r="AJ16" i="75"/>
  <c r="AQ75" i="75"/>
  <c r="AQ61" i="75"/>
  <c r="N88" i="75"/>
  <c r="L75" i="75"/>
  <c r="M75" i="75"/>
  <c r="O82" i="75"/>
  <c r="F36" i="96"/>
  <c r="G36" i="96" s="1"/>
  <c r="F37" i="96"/>
  <c r="G37" i="96" s="1"/>
  <c r="F34" i="96"/>
  <c r="G34" i="96" s="1"/>
  <c r="AS102" i="75"/>
  <c r="Z102" i="75"/>
  <c r="N102" i="75"/>
  <c r="O93" i="75"/>
  <c r="C102" i="75"/>
  <c r="BG19" i="75"/>
  <c r="AR61" i="75"/>
  <c r="AR60" i="75" s="1"/>
  <c r="AS16" i="75"/>
  <c r="AU75" i="75"/>
  <c r="AU60" i="75" s="1"/>
  <c r="AX60" i="75"/>
  <c r="BG93" i="75"/>
  <c r="BG102" i="75"/>
  <c r="AN88" i="75"/>
  <c r="AJ88" i="75"/>
  <c r="AW88" i="75"/>
  <c r="AY88" i="75"/>
  <c r="AY60" i="75" s="1"/>
  <c r="AE16" i="75"/>
  <c r="U61" i="75"/>
  <c r="AG61" i="75"/>
  <c r="AE75" i="75"/>
  <c r="AA82" i="75"/>
  <c r="AW82" i="75"/>
  <c r="AX16" i="75"/>
  <c r="AB41" i="75"/>
  <c r="AN41" i="75"/>
  <c r="AB16" i="75"/>
  <c r="L88" i="75"/>
  <c r="M82" i="75"/>
  <c r="S41" i="75"/>
  <c r="I75" i="75"/>
  <c r="J75" i="75"/>
  <c r="O16" i="75"/>
  <c r="O41" i="75"/>
  <c r="P61" i="75"/>
  <c r="P82" i="75"/>
  <c r="C6" i="78"/>
  <c r="I82" i="75"/>
  <c r="J82" i="75"/>
  <c r="P16" i="75"/>
  <c r="C64" i="81"/>
  <c r="AP88" i="29"/>
  <c r="E29" i="87"/>
  <c r="BI88" i="29"/>
  <c r="M97" i="29"/>
  <c r="Q88" i="29"/>
  <c r="Q97" i="29"/>
  <c r="AB88" i="29"/>
  <c r="AF88" i="29"/>
  <c r="AL88" i="29"/>
  <c r="AV88" i="29"/>
  <c r="X88" i="29"/>
  <c r="AD97" i="29"/>
  <c r="AL97" i="29"/>
  <c r="N30" i="81"/>
  <c r="AE97" i="29"/>
  <c r="AM97" i="29"/>
  <c r="AQ88" i="29"/>
  <c r="AQ97" i="29"/>
  <c r="E66" i="91"/>
  <c r="BO97" i="29"/>
  <c r="BE97" i="29"/>
  <c r="BI97" i="29"/>
  <c r="E88" i="29"/>
  <c r="E97" i="29"/>
  <c r="I88" i="29"/>
  <c r="M88" i="29"/>
  <c r="U88" i="29"/>
  <c r="C68" i="81"/>
  <c r="BB88" i="29"/>
  <c r="BB97" i="29"/>
  <c r="AU97" i="29"/>
  <c r="U97" i="29"/>
  <c r="H66" i="81"/>
  <c r="V97" i="29"/>
  <c r="C63" i="81"/>
  <c r="H62" i="81"/>
  <c r="K66" i="91"/>
  <c r="AC45" i="82"/>
  <c r="H40" i="88"/>
  <c r="J11" i="87"/>
  <c r="AC55" i="87"/>
  <c r="AD70" i="87" s="1"/>
  <c r="H37" i="88"/>
  <c r="BL97" i="29"/>
  <c r="E64" i="81"/>
  <c r="D41" i="96"/>
  <c r="BE60" i="75"/>
  <c r="BE41" i="75"/>
  <c r="AV61" i="75"/>
  <c r="AV19" i="75"/>
  <c r="BG61" i="75"/>
  <c r="AU19" i="75"/>
  <c r="G64" i="91"/>
  <c r="T97" i="29"/>
  <c r="J67" i="91"/>
  <c r="J66" i="91"/>
  <c r="M70" i="81"/>
  <c r="C69" i="81"/>
  <c r="H57" i="91"/>
  <c r="J64" i="91"/>
  <c r="M61" i="81"/>
  <c r="AL11" i="90" s="1"/>
  <c r="J63" i="91"/>
  <c r="K64" i="91"/>
  <c r="E27" i="87"/>
  <c r="N61" i="81"/>
  <c r="AL12" i="90" s="1"/>
  <c r="K63" i="91"/>
  <c r="AO88" i="75"/>
  <c r="AM88" i="75"/>
  <c r="BM88" i="29"/>
  <c r="H60" i="91"/>
  <c r="AH61" i="75"/>
  <c r="AY41" i="75"/>
  <c r="H58" i="91"/>
  <c r="AH82" i="75"/>
  <c r="D12" i="89"/>
  <c r="Y88" i="29"/>
  <c r="E65" i="81"/>
  <c r="K56" i="81"/>
  <c r="I66" i="81"/>
  <c r="I63" i="81"/>
  <c r="F97" i="29"/>
  <c r="F88" i="29"/>
  <c r="K67" i="91"/>
  <c r="N70" i="81"/>
  <c r="BM97" i="29"/>
  <c r="K62" i="81"/>
  <c r="C5" i="78"/>
  <c r="K82" i="75"/>
  <c r="M88" i="75"/>
  <c r="N19" i="75"/>
  <c r="S16" i="75"/>
  <c r="H16" i="75"/>
  <c r="I88" i="75"/>
  <c r="K88" i="75"/>
  <c r="M16" i="75"/>
  <c r="O61" i="75"/>
  <c r="P19" i="75"/>
  <c r="S19" i="75"/>
  <c r="H82" i="75"/>
  <c r="N16" i="75"/>
  <c r="N82" i="75"/>
  <c r="R88" i="75"/>
  <c r="I61" i="75"/>
  <c r="R19" i="75"/>
  <c r="C16" i="75"/>
  <c r="C28" i="78"/>
  <c r="C38" i="78"/>
  <c r="F23" i="95"/>
  <c r="I6" i="100"/>
  <c r="AN6" i="100" s="1"/>
  <c r="AY6" i="100" s="1"/>
  <c r="BJ6" i="100" s="1"/>
  <c r="B6" i="100"/>
  <c r="AG6" i="100" s="1"/>
  <c r="AR6" i="100" s="1"/>
  <c r="BC6" i="100" s="1"/>
  <c r="C31" i="78"/>
  <c r="C29" i="78"/>
  <c r="BN88" i="29"/>
  <c r="BN97" i="29"/>
  <c r="O70" i="81"/>
  <c r="C23" i="78"/>
  <c r="C33" i="78"/>
  <c r="F67" i="91"/>
  <c r="AI12" i="90"/>
  <c r="C39" i="78"/>
  <c r="C30" i="78"/>
  <c r="C23" i="95"/>
  <c r="AB47" i="88"/>
  <c r="K11" i="88"/>
  <c r="I36" i="95"/>
  <c r="J36" i="95" s="1"/>
  <c r="AE48" i="82"/>
  <c r="A27" i="5"/>
  <c r="O3" i="7"/>
  <c r="M3" i="7"/>
  <c r="Y2" i="29"/>
  <c r="A5" i="7"/>
  <c r="G2" i="29"/>
  <c r="A9" i="7"/>
  <c r="K2" i="29"/>
  <c r="A13" i="7"/>
  <c r="AC2" i="29"/>
  <c r="AE2" i="29"/>
  <c r="AG2" i="29"/>
  <c r="AI2" i="29"/>
  <c r="AK2" i="29"/>
  <c r="AM2" i="29"/>
  <c r="AO2" i="29"/>
  <c r="AQ2" i="29"/>
  <c r="A52" i="7"/>
  <c r="AU2" i="29"/>
  <c r="AW2" i="29"/>
  <c r="BC2" i="29"/>
  <c r="B33" i="96"/>
  <c r="B35" i="96"/>
  <c r="A53" i="29"/>
  <c r="A51" i="29"/>
  <c r="A49" i="29"/>
  <c r="A47" i="29"/>
  <c r="A75" i="5"/>
  <c r="X2" i="29"/>
  <c r="AA2" i="29"/>
  <c r="A6" i="7"/>
  <c r="A8" i="7"/>
  <c r="A10" i="7"/>
  <c r="A12" i="7"/>
  <c r="A14" i="7"/>
  <c r="AD2" i="29"/>
  <c r="AF2" i="29"/>
  <c r="AH2" i="29"/>
  <c r="AJ2" i="29"/>
  <c r="AL2" i="29"/>
  <c r="AN2" i="29"/>
  <c r="AP2" i="29"/>
  <c r="AR2" i="29"/>
  <c r="AT2" i="29"/>
  <c r="AV2" i="29"/>
  <c r="AX2" i="29"/>
  <c r="A44" i="7"/>
  <c r="B34" i="96"/>
  <c r="A13" i="5"/>
  <c r="A29" i="29"/>
  <c r="A52" i="29"/>
  <c r="A55" i="5"/>
  <c r="A48" i="29"/>
  <c r="P3" i="7"/>
  <c r="Q3" i="7"/>
  <c r="A93" i="5"/>
  <c r="J56" i="81"/>
  <c r="D61" i="81"/>
  <c r="Z2" i="29"/>
  <c r="A50" i="7"/>
  <c r="U2" i="29"/>
  <c r="BL2" i="29"/>
  <c r="N2" i="81"/>
  <c r="AH12" i="90" s="1"/>
  <c r="AN63" i="90" s="1"/>
  <c r="AN73" i="90" s="1"/>
  <c r="A18" i="5"/>
  <c r="L3" i="7"/>
  <c r="A24" i="29"/>
  <c r="A34" i="29"/>
  <c r="A32" i="29"/>
  <c r="A41" i="29"/>
  <c r="A44" i="5"/>
  <c r="A37" i="29"/>
  <c r="A45" i="29"/>
  <c r="A48" i="5"/>
  <c r="C24" i="78"/>
  <c r="C27" i="78"/>
  <c r="C34" i="78"/>
  <c r="C25" i="78"/>
  <c r="C36" i="78"/>
  <c r="D70" i="81"/>
  <c r="D3" i="7"/>
  <c r="A49" i="7"/>
  <c r="BK2" i="29"/>
  <c r="M2" i="81"/>
  <c r="AH11" i="90" s="1"/>
  <c r="AM63" i="90" s="1"/>
  <c r="AM73" i="90" s="1"/>
  <c r="O2" i="81"/>
  <c r="A17" i="5"/>
  <c r="A14" i="29"/>
  <c r="K3" i="7"/>
  <c r="A33" i="29"/>
  <c r="A36" i="5"/>
  <c r="A40" i="29"/>
  <c r="A38" i="29"/>
  <c r="A46" i="29"/>
  <c r="A44" i="29"/>
  <c r="A42" i="29"/>
  <c r="C32" i="78"/>
  <c r="C35" i="78"/>
  <c r="D102" i="7"/>
  <c r="C26" i="78"/>
  <c r="F43" i="91"/>
  <c r="G50" i="91"/>
  <c r="F56" i="91"/>
  <c r="G29" i="91"/>
  <c r="F3" i="81" l="1"/>
  <c r="D7" i="91" s="1"/>
  <c r="AJ104" i="29"/>
  <c r="AJ106" i="29"/>
  <c r="AD55" i="87"/>
  <c r="J12" i="87"/>
  <c r="BF102" i="29"/>
  <c r="J21" i="81"/>
  <c r="BK88" i="29"/>
  <c r="AO88" i="29"/>
  <c r="G88" i="29"/>
  <c r="AA88" i="29"/>
  <c r="BD88" i="29"/>
  <c r="AO97" i="29"/>
  <c r="K97" i="29"/>
  <c r="BM83" i="29"/>
  <c r="L97" i="29"/>
  <c r="O88" i="29"/>
  <c r="F68" i="81"/>
  <c r="AV83" i="29"/>
  <c r="K64" i="81"/>
  <c r="AU88" i="29"/>
  <c r="AE88" i="29"/>
  <c r="N88" i="29"/>
  <c r="I97" i="29"/>
  <c r="AT97" i="29"/>
  <c r="AD88" i="29"/>
  <c r="BJ88" i="29"/>
  <c r="BK97" i="29"/>
  <c r="BN83" i="29"/>
  <c r="BF97" i="29"/>
  <c r="K63" i="81"/>
  <c r="H63" i="91" s="1"/>
  <c r="BA97" i="29"/>
  <c r="J97" i="29"/>
  <c r="B64" i="81"/>
  <c r="K67" i="81"/>
  <c r="H66" i="91" s="1"/>
  <c r="AK88" i="29"/>
  <c r="E63" i="81"/>
  <c r="BH88" i="29"/>
  <c r="S88" i="29"/>
  <c r="BL88" i="29"/>
  <c r="P88" i="29"/>
  <c r="G70" i="81"/>
  <c r="AT88" i="29"/>
  <c r="C5" i="81"/>
  <c r="K21" i="81"/>
  <c r="AJ97" i="29"/>
  <c r="J24" i="81"/>
  <c r="K24" i="81"/>
  <c r="Z97" i="29"/>
  <c r="J12" i="81"/>
  <c r="J72" i="81" s="1"/>
  <c r="AU70" i="29"/>
  <c r="BC70" i="29"/>
  <c r="Z88" i="29"/>
  <c r="B66" i="81"/>
  <c r="AY88" i="29"/>
  <c r="BI11" i="29"/>
  <c r="BM11" i="29"/>
  <c r="BM70" i="29"/>
  <c r="AU11" i="29"/>
  <c r="BC97" i="29"/>
  <c r="AI88" i="29"/>
  <c r="C41" i="81"/>
  <c r="BC83" i="29"/>
  <c r="AD72" i="87"/>
  <c r="AD73" i="87" s="1"/>
  <c r="AE73" i="87" s="1"/>
  <c r="AR97" i="29"/>
  <c r="B63" i="81"/>
  <c r="L66" i="81"/>
  <c r="AU83" i="29"/>
  <c r="BG11" i="29"/>
  <c r="BI77" i="29"/>
  <c r="J23" i="81"/>
  <c r="E69" i="81"/>
  <c r="BF88" i="29"/>
  <c r="AW97" i="29"/>
  <c r="H47" i="91"/>
  <c r="BN70" i="29"/>
  <c r="H40" i="91"/>
  <c r="AX70" i="29"/>
  <c r="M23" i="81"/>
  <c r="BD97" i="29"/>
  <c r="R97" i="29"/>
  <c r="L64" i="81"/>
  <c r="I61" i="81"/>
  <c r="AL7" i="90" s="1"/>
  <c r="M21" i="81"/>
  <c r="J20" i="91" s="1"/>
  <c r="T88" i="29"/>
  <c r="BC88" i="29"/>
  <c r="AI97" i="29"/>
  <c r="K16" i="91"/>
  <c r="BP94" i="29"/>
  <c r="O97" i="29"/>
  <c r="K68" i="81"/>
  <c r="AX88" i="29"/>
  <c r="AN97" i="29"/>
  <c r="J26" i="81"/>
  <c r="J17" i="91"/>
  <c r="H35" i="91"/>
  <c r="H34" i="91"/>
  <c r="I14" i="81"/>
  <c r="I74" i="81" s="1"/>
  <c r="AX83" i="29"/>
  <c r="L69" i="81"/>
  <c r="AY97" i="29"/>
  <c r="AV11" i="29"/>
  <c r="AW11" i="29"/>
  <c r="K25" i="81"/>
  <c r="H49" i="91"/>
  <c r="AU36" i="29"/>
  <c r="AU77" i="29"/>
  <c r="AV36" i="29"/>
  <c r="AV70" i="29"/>
  <c r="AZ97" i="29"/>
  <c r="AK97" i="29"/>
  <c r="F62" i="81"/>
  <c r="E68" i="81"/>
  <c r="J88" i="29"/>
  <c r="H97" i="29"/>
  <c r="AT11" i="29"/>
  <c r="BM36" i="29"/>
  <c r="M25" i="81"/>
  <c r="J25" i="91" s="1"/>
  <c r="M26" i="81"/>
  <c r="N23" i="81"/>
  <c r="AF97" i="29"/>
  <c r="J61" i="81"/>
  <c r="F65" i="81"/>
  <c r="BP96" i="29"/>
  <c r="E67" i="81"/>
  <c r="L62" i="81"/>
  <c r="I12" i="81"/>
  <c r="I72" i="81" s="1"/>
  <c r="H33" i="91"/>
  <c r="H88" i="29"/>
  <c r="J21" i="91"/>
  <c r="N47" i="81"/>
  <c r="K47" i="91" s="1"/>
  <c r="K43" i="91" s="1"/>
  <c r="AX97" i="29"/>
  <c r="H11" i="91"/>
  <c r="F11" i="29"/>
  <c r="C42" i="81"/>
  <c r="C34" i="81"/>
  <c r="C40" i="81"/>
  <c r="C36" i="81"/>
  <c r="AY70" i="29"/>
  <c r="N50" i="81"/>
  <c r="K51" i="91"/>
  <c r="K17" i="91"/>
  <c r="X97" i="29"/>
  <c r="AW36" i="29"/>
  <c r="AW70" i="29"/>
  <c r="K26" i="81"/>
  <c r="H48" i="91"/>
  <c r="AT83" i="29"/>
  <c r="AT77" i="29"/>
  <c r="AX11" i="29"/>
  <c r="L67" i="81"/>
  <c r="I66" i="91" s="1"/>
  <c r="B69" i="81"/>
  <c r="AN67" i="90"/>
  <c r="J18" i="91"/>
  <c r="AA97" i="29"/>
  <c r="BJ97" i="29"/>
  <c r="AV97" i="29"/>
  <c r="H13" i="81"/>
  <c r="H73" i="81" s="1"/>
  <c r="Y97" i="29"/>
  <c r="BE88" i="29"/>
  <c r="H52" i="91"/>
  <c r="AS97" i="29"/>
  <c r="AG88" i="29"/>
  <c r="K21" i="91"/>
  <c r="H41" i="91"/>
  <c r="H17" i="81"/>
  <c r="H77" i="81" s="1"/>
  <c r="E67" i="91"/>
  <c r="E65" i="91" s="1"/>
  <c r="BM56" i="29"/>
  <c r="K51" i="81"/>
  <c r="AN66" i="90" s="1"/>
  <c r="H54" i="91"/>
  <c r="C62" i="81"/>
  <c r="C61" i="81" s="1"/>
  <c r="B62" i="81"/>
  <c r="K65" i="81"/>
  <c r="H64" i="91" s="1"/>
  <c r="AH88" i="29"/>
  <c r="AW56" i="29"/>
  <c r="BI70" i="29"/>
  <c r="AT36" i="29"/>
  <c r="AX36" i="29"/>
  <c r="AX77" i="29"/>
  <c r="BM77" i="29"/>
  <c r="L65" i="81"/>
  <c r="F69" i="81"/>
  <c r="D67" i="91" s="1"/>
  <c r="BG56" i="29"/>
  <c r="H23" i="91"/>
  <c r="H37" i="91"/>
  <c r="BC11" i="29"/>
  <c r="BC36" i="29"/>
  <c r="BC56" i="29"/>
  <c r="BC77" i="29"/>
  <c r="K18" i="91"/>
  <c r="BN36" i="29"/>
  <c r="AW88" i="29"/>
  <c r="K88" i="29"/>
  <c r="F66" i="81"/>
  <c r="AV56" i="29"/>
  <c r="AZ88" i="29"/>
  <c r="F64" i="81"/>
  <c r="P97" i="29"/>
  <c r="L88" i="29"/>
  <c r="B68" i="81"/>
  <c r="B67" i="91" s="1"/>
  <c r="H19" i="91"/>
  <c r="C55" i="81"/>
  <c r="K23" i="81"/>
  <c r="AT70" i="29"/>
  <c r="AX56" i="29"/>
  <c r="BM14" i="29"/>
  <c r="AB97" i="29"/>
  <c r="E63" i="91"/>
  <c r="E62" i="91" s="1"/>
  <c r="H22" i="91"/>
  <c r="H42" i="91"/>
  <c r="H39" i="91"/>
  <c r="BC14" i="29"/>
  <c r="BP95" i="29"/>
  <c r="BP91" i="29"/>
  <c r="AC88" i="29"/>
  <c r="E62" i="81"/>
  <c r="AV77" i="29"/>
  <c r="F63" i="81"/>
  <c r="J70" i="81"/>
  <c r="R88" i="29"/>
  <c r="BH97" i="29"/>
  <c r="B65" i="81"/>
  <c r="B64" i="91" s="1"/>
  <c r="N97" i="29"/>
  <c r="BG36" i="29"/>
  <c r="BK14" i="29"/>
  <c r="BK5" i="29" s="1"/>
  <c r="BK11" i="29" s="1"/>
  <c r="BK13" i="29" s="1"/>
  <c r="J9" i="81"/>
  <c r="H53" i="91"/>
  <c r="J23" i="91"/>
  <c r="C35" i="81"/>
  <c r="B67" i="81"/>
  <c r="B66" i="91" s="1"/>
  <c r="BG88" i="29"/>
  <c r="K52" i="91"/>
  <c r="H31" i="91"/>
  <c r="K83" i="29"/>
  <c r="C31" i="81"/>
  <c r="G11" i="29"/>
  <c r="G77" i="29"/>
  <c r="I11" i="29"/>
  <c r="O70" i="29"/>
  <c r="Y77" i="29"/>
  <c r="J11" i="29"/>
  <c r="AZ83" i="29"/>
  <c r="N83" i="29"/>
  <c r="J77" i="29"/>
  <c r="N11" i="29"/>
  <c r="C19" i="81"/>
  <c r="K11" i="29"/>
  <c r="Y70" i="29"/>
  <c r="C57" i="81"/>
  <c r="L10" i="81"/>
  <c r="I14" i="91" s="1"/>
  <c r="C38" i="81"/>
  <c r="C30" i="81"/>
  <c r="I83" i="29"/>
  <c r="L30" i="81"/>
  <c r="I30" i="91" s="1"/>
  <c r="F83" i="29"/>
  <c r="J70" i="29"/>
  <c r="R77" i="29"/>
  <c r="V36" i="29"/>
  <c r="C53" i="81"/>
  <c r="G14" i="81"/>
  <c r="G74" i="81" s="1"/>
  <c r="AY83" i="29"/>
  <c r="L57" i="81"/>
  <c r="I57" i="91" s="1"/>
  <c r="L38" i="81"/>
  <c r="I38" i="91" s="1"/>
  <c r="C4" i="81"/>
  <c r="K56" i="29"/>
  <c r="O56" i="29"/>
  <c r="F56" i="29"/>
  <c r="R11" i="29"/>
  <c r="AY56" i="29"/>
  <c r="Z56" i="29"/>
  <c r="L59" i="81"/>
  <c r="I60" i="91" s="1"/>
  <c r="D25" i="81"/>
  <c r="BD70" i="29"/>
  <c r="F77" i="29"/>
  <c r="L18" i="81"/>
  <c r="BB77" i="29"/>
  <c r="K77" i="29"/>
  <c r="AZ77" i="29"/>
  <c r="E41" i="81"/>
  <c r="C41" i="91" s="1"/>
  <c r="N56" i="29"/>
  <c r="N77" i="29"/>
  <c r="L20" i="81"/>
  <c r="J36" i="29"/>
  <c r="L5" i="81"/>
  <c r="I9" i="91" s="1"/>
  <c r="BD11" i="29"/>
  <c r="Q11" i="29"/>
  <c r="Y11" i="29"/>
  <c r="D26" i="81"/>
  <c r="U70" i="29"/>
  <c r="D43" i="81"/>
  <c r="V70" i="29"/>
  <c r="L49" i="81"/>
  <c r="I49" i="91" s="1"/>
  <c r="J83" i="29"/>
  <c r="E83" i="29"/>
  <c r="M11" i="29"/>
  <c r="Q83" i="29"/>
  <c r="C14" i="81"/>
  <c r="C74" i="81" s="1"/>
  <c r="B60" i="81"/>
  <c r="O11" i="29"/>
  <c r="AZ11" i="29"/>
  <c r="N36" i="29"/>
  <c r="N70" i="29"/>
  <c r="R83" i="29"/>
  <c r="L19" i="81"/>
  <c r="L35" i="81"/>
  <c r="I35" i="91" s="1"/>
  <c r="AY11" i="29"/>
  <c r="AY36" i="29"/>
  <c r="L51" i="81"/>
  <c r="I51" i="91" s="1"/>
  <c r="BD77" i="29"/>
  <c r="Y83" i="29"/>
  <c r="D21" i="81"/>
  <c r="Z77" i="29"/>
  <c r="L36" i="81"/>
  <c r="I36" i="91" s="1"/>
  <c r="V83" i="29"/>
  <c r="M56" i="29"/>
  <c r="D56" i="81"/>
  <c r="B40" i="81"/>
  <c r="D23" i="81"/>
  <c r="C20" i="81"/>
  <c r="C48" i="81"/>
  <c r="L12" i="81"/>
  <c r="L72" i="81" s="1"/>
  <c r="C51" i="81"/>
  <c r="K70" i="29"/>
  <c r="O83" i="29"/>
  <c r="C6" i="81"/>
  <c r="Y56" i="29"/>
  <c r="F36" i="29"/>
  <c r="L60" i="81"/>
  <c r="I58" i="91" s="1"/>
  <c r="BD56" i="29"/>
  <c r="O14" i="29"/>
  <c r="C33" i="81"/>
  <c r="L24" i="81"/>
  <c r="I24" i="91" s="1"/>
  <c r="I23" i="91"/>
  <c r="L7" i="81"/>
  <c r="I11" i="91" s="1"/>
  <c r="L46" i="81"/>
  <c r="I46" i="91" s="1"/>
  <c r="O77" i="29"/>
  <c r="AZ56" i="29"/>
  <c r="AZ70" i="29"/>
  <c r="Y36" i="29"/>
  <c r="E37" i="81"/>
  <c r="C37" i="91" s="1"/>
  <c r="R70" i="29"/>
  <c r="D50" i="81"/>
  <c r="Z83" i="29"/>
  <c r="BD83" i="29"/>
  <c r="AZ36" i="29"/>
  <c r="F70" i="29"/>
  <c r="J14" i="29"/>
  <c r="J56" i="29"/>
  <c r="R56" i="29"/>
  <c r="L31" i="81"/>
  <c r="I31" i="91" s="1"/>
  <c r="Z36" i="29"/>
  <c r="Z70" i="29"/>
  <c r="BD36" i="29"/>
  <c r="Q77" i="29"/>
  <c r="B54" i="81"/>
  <c r="M70" i="29"/>
  <c r="G25" i="81"/>
  <c r="E25" i="91" s="1"/>
  <c r="L52" i="81"/>
  <c r="I52" i="91" s="1"/>
  <c r="C60" i="81"/>
  <c r="L54" i="81"/>
  <c r="I54" i="91" s="1"/>
  <c r="L33" i="81"/>
  <c r="I33" i="91" s="1"/>
  <c r="AZ14" i="29"/>
  <c r="C46" i="81"/>
  <c r="L40" i="81"/>
  <c r="I40" i="91" s="1"/>
  <c r="BB83" i="29"/>
  <c r="N14" i="29"/>
  <c r="L47" i="81"/>
  <c r="I47" i="91" s="1"/>
  <c r="C52" i="81"/>
  <c r="J55" i="91"/>
  <c r="AM68" i="90"/>
  <c r="AM78" i="90" s="1"/>
  <c r="J54" i="91"/>
  <c r="AM67" i="90"/>
  <c r="H30" i="91"/>
  <c r="K15" i="81"/>
  <c r="K75" i="81" s="1"/>
  <c r="J25" i="81"/>
  <c r="N9" i="81"/>
  <c r="AJ12" i="90" s="1"/>
  <c r="E66" i="81"/>
  <c r="L63" i="81"/>
  <c r="AJ88" i="29"/>
  <c r="BA88" i="29"/>
  <c r="C10" i="81"/>
  <c r="L41" i="81"/>
  <c r="I41" i="91" s="1"/>
  <c r="L55" i="81"/>
  <c r="I55" i="91" s="1"/>
  <c r="X83" i="29"/>
  <c r="B31" i="81"/>
  <c r="M83" i="29"/>
  <c r="U11" i="29"/>
  <c r="BB36" i="29"/>
  <c r="BB70" i="29"/>
  <c r="L13" i="81"/>
  <c r="L73" i="81" s="1"/>
  <c r="J32" i="81"/>
  <c r="H32" i="91" s="1"/>
  <c r="L22" i="81"/>
  <c r="I22" i="91" s="1"/>
  <c r="BN56" i="29"/>
  <c r="F67" i="81"/>
  <c r="L44" i="81"/>
  <c r="I45" i="91" s="1"/>
  <c r="W88" i="29"/>
  <c r="BG60" i="75"/>
  <c r="BG14" i="29"/>
  <c r="AU14" i="29"/>
  <c r="AW77" i="29"/>
  <c r="AT56" i="29"/>
  <c r="N56" i="81"/>
  <c r="H44" i="91"/>
  <c r="K44" i="81"/>
  <c r="K43" i="81" s="1"/>
  <c r="E60" i="81"/>
  <c r="C58" i="91" s="1"/>
  <c r="G17" i="81"/>
  <c r="G77" i="81" s="1"/>
  <c r="L16" i="81"/>
  <c r="L76" i="81" s="1"/>
  <c r="G61" i="81"/>
  <c r="AL5" i="90" s="1"/>
  <c r="AI33" i="98" a="1"/>
  <c r="AK84" i="98" s="1"/>
  <c r="AW14" i="29"/>
  <c r="AX14" i="29"/>
  <c r="M56" i="81"/>
  <c r="BI14" i="29"/>
  <c r="AA60" i="75"/>
  <c r="BD14" i="29"/>
  <c r="AY77" i="29"/>
  <c r="K69" i="81"/>
  <c r="AS88" i="29"/>
  <c r="AT14" i="29"/>
  <c r="AM88" i="29"/>
  <c r="H38" i="91"/>
  <c r="G21" i="81"/>
  <c r="E20" i="91" s="1"/>
  <c r="L34" i="81"/>
  <c r="I34" i="91" s="1"/>
  <c r="Q56" i="29"/>
  <c r="C16" i="81"/>
  <c r="C76" i="81" s="1"/>
  <c r="C27" i="81"/>
  <c r="U77" i="29"/>
  <c r="I19" i="91"/>
  <c r="L39" i="81"/>
  <c r="I39" i="91" s="1"/>
  <c r="G83" i="29"/>
  <c r="I36" i="29"/>
  <c r="BP92" i="29"/>
  <c r="BI56" i="29"/>
  <c r="B39" i="81"/>
  <c r="V14" i="29"/>
  <c r="M12" i="81"/>
  <c r="J16" i="91" s="1"/>
  <c r="M44" i="81"/>
  <c r="E34" i="81"/>
  <c r="C34" i="91" s="1"/>
  <c r="C18" i="81"/>
  <c r="BP89" i="29"/>
  <c r="BP93" i="29"/>
  <c r="M51" i="81"/>
  <c r="M50" i="81" s="1"/>
  <c r="C37" i="81"/>
  <c r="C47" i="81"/>
  <c r="B32" i="81"/>
  <c r="Q70" i="29"/>
  <c r="U14" i="29"/>
  <c r="U56" i="29"/>
  <c r="C39" i="81"/>
  <c r="U83" i="29"/>
  <c r="BB56" i="29"/>
  <c r="B3" i="81"/>
  <c r="B7" i="91" s="1"/>
  <c r="G70" i="29"/>
  <c r="F14" i="29"/>
  <c r="L17" i="81"/>
  <c r="L77" i="81" s="1"/>
  <c r="N26" i="81"/>
  <c r="K26" i="91" s="1"/>
  <c r="G97" i="29"/>
  <c r="V77" i="29"/>
  <c r="BG97" i="29"/>
  <c r="AU56" i="29"/>
  <c r="BI36" i="29"/>
  <c r="L68" i="81"/>
  <c r="M9" i="81"/>
  <c r="AJ11" i="90" s="1"/>
  <c r="E36" i="81"/>
  <c r="C36" i="91" s="1"/>
  <c r="L42" i="81"/>
  <c r="I42" i="91" s="1"/>
  <c r="B10" i="81"/>
  <c r="I56" i="29"/>
  <c r="C22" i="81"/>
  <c r="L15" i="81"/>
  <c r="L75" i="81" s="1"/>
  <c r="G15" i="81"/>
  <c r="G75" i="81" s="1"/>
  <c r="BP90" i="29"/>
  <c r="D29" i="81"/>
  <c r="AI5" i="90"/>
  <c r="BH14" i="29"/>
  <c r="BH5" i="29" s="1"/>
  <c r="BH11" i="29" s="1"/>
  <c r="BH13" i="29" s="1"/>
  <c r="AV14" i="29"/>
  <c r="AC97" i="29"/>
  <c r="E39" i="81"/>
  <c r="C39" i="91" s="1"/>
  <c r="BJ14" i="29"/>
  <c r="BJ5" i="29" s="1"/>
  <c r="BJ11" i="29" s="1"/>
  <c r="BJ13" i="29" s="1"/>
  <c r="AY14" i="29"/>
  <c r="V56" i="29"/>
  <c r="I15" i="81"/>
  <c r="I75" i="81" s="1"/>
  <c r="BE14" i="29"/>
  <c r="BE5" i="29" s="1"/>
  <c r="BE11" i="29" s="1"/>
  <c r="BE13" i="29" s="1"/>
  <c r="AN68" i="90"/>
  <c r="AN78" i="90" s="1"/>
  <c r="H55" i="91"/>
  <c r="Z14" i="29"/>
  <c r="G24" i="81"/>
  <c r="E24" i="91" s="1"/>
  <c r="L6" i="81"/>
  <c r="I10" i="91" s="1"/>
  <c r="I21" i="91"/>
  <c r="X11" i="29"/>
  <c r="E36" i="29"/>
  <c r="E77" i="29"/>
  <c r="U36" i="29"/>
  <c r="C44" i="81"/>
  <c r="BB11" i="29"/>
  <c r="L25" i="81"/>
  <c r="I25" i="91" s="1"/>
  <c r="G56" i="29"/>
  <c r="K36" i="29"/>
  <c r="E44" i="81"/>
  <c r="C45" i="91" s="1"/>
  <c r="B53" i="81"/>
  <c r="M77" i="29"/>
  <c r="G13" i="81"/>
  <c r="G73" i="81" s="1"/>
  <c r="C58" i="81"/>
  <c r="E51" i="91"/>
  <c r="BA70" i="29"/>
  <c r="B59" i="81"/>
  <c r="AS70" i="29"/>
  <c r="K14" i="29"/>
  <c r="C7" i="81"/>
  <c r="C49" i="81"/>
  <c r="C59" i="81"/>
  <c r="L58" i="81"/>
  <c r="BB14" i="29"/>
  <c r="B14" i="81"/>
  <c r="B74" i="81" s="1"/>
  <c r="G12" i="81"/>
  <c r="G72" i="81" s="1"/>
  <c r="X14" i="29"/>
  <c r="Q14" i="29"/>
  <c r="C15" i="81"/>
  <c r="C75" i="81" s="1"/>
  <c r="C12" i="81"/>
  <c r="C72" i="81" s="1"/>
  <c r="E47" i="81"/>
  <c r="C47" i="91" s="1"/>
  <c r="E31" i="81"/>
  <c r="C31" i="91" s="1"/>
  <c r="E35" i="81"/>
  <c r="C35" i="91" s="1"/>
  <c r="E6" i="81"/>
  <c r="C10" i="91" s="1"/>
  <c r="E20" i="81"/>
  <c r="E40" i="81"/>
  <c r="C40" i="91" s="1"/>
  <c r="E49" i="81"/>
  <c r="C49" i="91" s="1"/>
  <c r="E54" i="81"/>
  <c r="C54" i="91" s="1"/>
  <c r="B15" i="81"/>
  <c r="B75" i="81" s="1"/>
  <c r="AS60" i="75"/>
  <c r="J50" i="81"/>
  <c r="H27" i="91"/>
  <c r="H46" i="91"/>
  <c r="H36" i="91"/>
  <c r="M29" i="81"/>
  <c r="AM64" i="90" s="1"/>
  <c r="L4" i="81"/>
  <c r="I8" i="91" s="1"/>
  <c r="L8" i="81"/>
  <c r="I12" i="91" s="1"/>
  <c r="L27" i="81"/>
  <c r="I27" i="91" s="1"/>
  <c r="L45" i="81"/>
  <c r="I44" i="91" s="1"/>
  <c r="L37" i="81"/>
  <c r="I37" i="91" s="1"/>
  <c r="L32" i="81"/>
  <c r="I32" i="91" s="1"/>
  <c r="L48" i="81"/>
  <c r="I48" i="91" s="1"/>
  <c r="E8" i="81"/>
  <c r="C12" i="91" s="1"/>
  <c r="E52" i="81"/>
  <c r="C52" i="91" s="1"/>
  <c r="B49" i="81"/>
  <c r="L83" i="29"/>
  <c r="B18" i="81"/>
  <c r="B12" i="81"/>
  <c r="W11" i="29"/>
  <c r="C19" i="91"/>
  <c r="E27" i="81"/>
  <c r="C27" i="91" s="1"/>
  <c r="E30" i="81"/>
  <c r="C30" i="91" s="1"/>
  <c r="E59" i="81"/>
  <c r="C60" i="91" s="1"/>
  <c r="B19" i="81"/>
  <c r="B36" i="81"/>
  <c r="B23" i="91"/>
  <c r="B30" i="81"/>
  <c r="B38" i="81"/>
  <c r="B42" i="81"/>
  <c r="H83" i="29"/>
  <c r="L70" i="29"/>
  <c r="P83" i="29"/>
  <c r="C24" i="81"/>
  <c r="C25" i="81"/>
  <c r="C21" i="81"/>
  <c r="T77" i="29"/>
  <c r="L23" i="81"/>
  <c r="L21" i="81"/>
  <c r="I20" i="91" s="1"/>
  <c r="BA77" i="29"/>
  <c r="X36" i="29"/>
  <c r="X77" i="29"/>
  <c r="I70" i="29"/>
  <c r="I77" i="29"/>
  <c r="C23" i="91"/>
  <c r="E5" i="81"/>
  <c r="C9" i="91" s="1"/>
  <c r="E10" i="81"/>
  <c r="C14" i="91" s="1"/>
  <c r="E19" i="81"/>
  <c r="E48" i="81"/>
  <c r="E53" i="81"/>
  <c r="C53" i="91" s="1"/>
  <c r="AA83" i="29"/>
  <c r="E22" i="81"/>
  <c r="C22" i="91" s="1"/>
  <c r="E7" i="81"/>
  <c r="C11" i="91" s="1"/>
  <c r="C21" i="91"/>
  <c r="E38" i="81"/>
  <c r="C38" i="91" s="1"/>
  <c r="E46" i="81"/>
  <c r="C46" i="91" s="1"/>
  <c r="E51" i="81"/>
  <c r="C51" i="91" s="1"/>
  <c r="E55" i="81"/>
  <c r="C55" i="91" s="1"/>
  <c r="B4" i="81"/>
  <c r="B34" i="81"/>
  <c r="L56" i="29"/>
  <c r="B37" i="81"/>
  <c r="B55" i="81"/>
  <c r="B27" i="81"/>
  <c r="C23" i="81"/>
  <c r="AS14" i="29"/>
  <c r="AS36" i="29"/>
  <c r="X56" i="29"/>
  <c r="X70" i="29"/>
  <c r="B6" i="81"/>
  <c r="B22" i="81"/>
  <c r="E56" i="29"/>
  <c r="B48" i="81"/>
  <c r="E70" i="29"/>
  <c r="M36" i="29"/>
  <c r="W105" i="29"/>
  <c r="E16" i="81"/>
  <c r="E76" i="81" s="1"/>
  <c r="E21" i="81"/>
  <c r="C20" i="91" s="1"/>
  <c r="H70" i="29"/>
  <c r="B47" i="81"/>
  <c r="P70" i="29"/>
  <c r="B45" i="81"/>
  <c r="C45" i="81"/>
  <c r="T70" i="29"/>
  <c r="G4" i="81"/>
  <c r="AS11" i="29"/>
  <c r="G33" i="81"/>
  <c r="AS56" i="29"/>
  <c r="AA36" i="29"/>
  <c r="AA56" i="29"/>
  <c r="L106" i="29"/>
  <c r="B17" i="81"/>
  <c r="B77" i="81" s="1"/>
  <c r="L14" i="29"/>
  <c r="L77" i="29"/>
  <c r="B5" i="81"/>
  <c r="P11" i="29"/>
  <c r="P56" i="29"/>
  <c r="B35" i="81"/>
  <c r="P77" i="29"/>
  <c r="BA103" i="29"/>
  <c r="L14" i="81"/>
  <c r="L74" i="81" s="1"/>
  <c r="BA14" i="29"/>
  <c r="B33" i="81"/>
  <c r="G26" i="81"/>
  <c r="E26" i="91" s="1"/>
  <c r="AS83" i="29"/>
  <c r="T83" i="29"/>
  <c r="AA77" i="29"/>
  <c r="C54" i="81"/>
  <c r="B51" i="81"/>
  <c r="H56" i="29"/>
  <c r="W101" i="29"/>
  <c r="E12" i="81"/>
  <c r="E72" i="81" s="1"/>
  <c r="W14" i="29"/>
  <c r="H77" i="29"/>
  <c r="B52" i="81"/>
  <c r="L36" i="29"/>
  <c r="T102" i="29"/>
  <c r="C13" i="81"/>
  <c r="C73" i="81" s="1"/>
  <c r="T56" i="29"/>
  <c r="AS105" i="29"/>
  <c r="G16" i="81"/>
  <c r="G76" i="81" s="1"/>
  <c r="G54" i="81"/>
  <c r="G50" i="81" s="1"/>
  <c r="AS77" i="29"/>
  <c r="L26" i="81"/>
  <c r="I26" i="91" s="1"/>
  <c r="E42" i="81"/>
  <c r="C42" i="91" s="1"/>
  <c r="B20" i="81"/>
  <c r="B41" i="81"/>
  <c r="B57" i="81"/>
  <c r="T106" i="29"/>
  <c r="C17" i="81"/>
  <c r="C77" i="81" s="1"/>
  <c r="G23" i="81"/>
  <c r="E21" i="91"/>
  <c r="BA11" i="29"/>
  <c r="L3" i="81"/>
  <c r="AI8" i="90" s="1"/>
  <c r="E13" i="81"/>
  <c r="E73" i="81" s="1"/>
  <c r="B46" i="81"/>
  <c r="B58" i="81"/>
  <c r="C32" i="81"/>
  <c r="W77" i="29"/>
  <c r="E17" i="81"/>
  <c r="E77" i="81" s="1"/>
  <c r="G56" i="81"/>
  <c r="E18" i="81"/>
  <c r="W56" i="29"/>
  <c r="W70" i="29"/>
  <c r="W83" i="29"/>
  <c r="H11" i="29"/>
  <c r="L11" i="29"/>
  <c r="B24" i="81"/>
  <c r="C26" i="81"/>
  <c r="BA56" i="29"/>
  <c r="BA36" i="29"/>
  <c r="E4" i="81"/>
  <c r="C8" i="91" s="1"/>
  <c r="W36" i="29"/>
  <c r="E45" i="81"/>
  <c r="C44" i="91" s="1"/>
  <c r="AA11" i="29"/>
  <c r="AA70" i="29"/>
  <c r="B7" i="81"/>
  <c r="H36" i="29"/>
  <c r="M14" i="29"/>
  <c r="E14" i="29"/>
  <c r="B16" i="81"/>
  <c r="B76" i="81" s="1"/>
  <c r="B44" i="81"/>
  <c r="E11" i="29"/>
  <c r="L53" i="81"/>
  <c r="I53" i="91" s="1"/>
  <c r="BA83" i="29"/>
  <c r="E26" i="81"/>
  <c r="C26" i="91" s="1"/>
  <c r="E33" i="81"/>
  <c r="C33" i="91" s="1"/>
  <c r="E14" i="81"/>
  <c r="E74" i="81" s="1"/>
  <c r="H14" i="29"/>
  <c r="E57" i="81"/>
  <c r="C57" i="91" s="1"/>
  <c r="E32" i="81"/>
  <c r="C32" i="91" s="1"/>
  <c r="E58" i="81"/>
  <c r="C59" i="91" s="1"/>
  <c r="K29" i="81"/>
  <c r="K55" i="91"/>
  <c r="J57" i="91"/>
  <c r="J56" i="91" s="1"/>
  <c r="E15" i="81"/>
  <c r="E75" i="81" s="1"/>
  <c r="B13" i="81"/>
  <c r="AF60" i="75"/>
  <c r="BN14" i="29"/>
  <c r="N24" i="81"/>
  <c r="K24" i="91" s="1"/>
  <c r="H21" i="91"/>
  <c r="E3" i="81"/>
  <c r="C7" i="91" s="1"/>
  <c r="C25" i="91"/>
  <c r="BN77" i="29"/>
  <c r="BG70" i="29"/>
  <c r="N25" i="81"/>
  <c r="K25" i="91" s="1"/>
  <c r="I13" i="81"/>
  <c r="I73" i="81" s="1"/>
  <c r="J13" i="81"/>
  <c r="J73" i="81" s="1"/>
  <c r="I17" i="81"/>
  <c r="I77" i="81" s="1"/>
  <c r="BN11" i="29"/>
  <c r="BG77" i="29"/>
  <c r="N21" i="81"/>
  <c r="K20" i="91" s="1"/>
  <c r="J15" i="81"/>
  <c r="J75" i="81" s="1"/>
  <c r="H15" i="81"/>
  <c r="H75" i="81" s="1"/>
  <c r="I16" i="81"/>
  <c r="I76" i="81" s="1"/>
  <c r="J17" i="81"/>
  <c r="J77" i="81" s="1"/>
  <c r="H14" i="81"/>
  <c r="H74" i="81" s="1"/>
  <c r="BF14" i="29"/>
  <c r="BF5" i="29" s="1"/>
  <c r="I3" i="81" s="1"/>
  <c r="J16" i="81"/>
  <c r="J76" i="81" s="1"/>
  <c r="J14" i="81"/>
  <c r="J74" i="81" s="1"/>
  <c r="H16" i="81"/>
  <c r="H76" i="81" s="1"/>
  <c r="H12" i="81"/>
  <c r="H72" i="81" s="1"/>
  <c r="AP60" i="75"/>
  <c r="AZ60" i="75"/>
  <c r="AZ18" i="75" s="1"/>
  <c r="U60" i="75"/>
  <c r="AL60" i="75"/>
  <c r="AO60" i="75"/>
  <c r="V60" i="75"/>
  <c r="AW60" i="75"/>
  <c r="AW18" i="75" s="1"/>
  <c r="AN60" i="75"/>
  <c r="BN60" i="75"/>
  <c r="AK60" i="75"/>
  <c r="AG60" i="75"/>
  <c r="E60" i="75"/>
  <c r="O60" i="75"/>
  <c r="AD60" i="75"/>
  <c r="AC60" i="75"/>
  <c r="AB60" i="75"/>
  <c r="G45" i="88"/>
  <c r="K17" i="88" s="1"/>
  <c r="R14" i="29"/>
  <c r="B25" i="81"/>
  <c r="B19" i="91"/>
  <c r="K14" i="88"/>
  <c r="C41" i="88"/>
  <c r="M60" i="75"/>
  <c r="AT60" i="75"/>
  <c r="AJ60" i="75"/>
  <c r="R60" i="75"/>
  <c r="P60" i="75"/>
  <c r="L60" i="75"/>
  <c r="F60" i="75"/>
  <c r="C8" i="81"/>
  <c r="K14" i="82"/>
  <c r="J60" i="75"/>
  <c r="AY18" i="75"/>
  <c r="D60" i="75"/>
  <c r="C60" i="75"/>
  <c r="AE60" i="75"/>
  <c r="V11" i="29"/>
  <c r="T11" i="29"/>
  <c r="B8" i="81"/>
  <c r="K15" i="88"/>
  <c r="AI60" i="75"/>
  <c r="AM60" i="75"/>
  <c r="H60" i="75"/>
  <c r="S60" i="75"/>
  <c r="G60" i="75"/>
  <c r="K60" i="75"/>
  <c r="AX18" i="75"/>
  <c r="N60" i="75"/>
  <c r="E32" i="87"/>
  <c r="AC49" i="88"/>
  <c r="AD49" i="88" s="1"/>
  <c r="AE49" i="88" s="1"/>
  <c r="J26" i="91"/>
  <c r="F66" i="91"/>
  <c r="F65" i="91" s="1"/>
  <c r="I70" i="81"/>
  <c r="J24" i="91"/>
  <c r="J43" i="81"/>
  <c r="K30" i="91"/>
  <c r="K29" i="91" s="1"/>
  <c r="AC48" i="88"/>
  <c r="AD48" i="88" s="1"/>
  <c r="AE48" i="88" s="1"/>
  <c r="BO60" i="75"/>
  <c r="AD64" i="87"/>
  <c r="AI72" i="87" s="1"/>
  <c r="AD63" i="87"/>
  <c r="AH72" i="87" s="1"/>
  <c r="AD65" i="87"/>
  <c r="AJ72" i="87" s="1"/>
  <c r="AI71" i="87" s="1"/>
  <c r="AI78" i="87" s="1"/>
  <c r="AJ78" i="87" s="1"/>
  <c r="AD62" i="87"/>
  <c r="AG72" i="87" s="1"/>
  <c r="AN39" i="96"/>
  <c r="AN40" i="96" s="1"/>
  <c r="AF70" i="87" a="1"/>
  <c r="AD61" i="87"/>
  <c r="AF72" i="87" s="1"/>
  <c r="AB46" i="82"/>
  <c r="E24" i="81"/>
  <c r="AE71" i="87"/>
  <c r="AE74" i="87" s="1"/>
  <c r="AF74" i="87" s="1"/>
  <c r="C33" i="87"/>
  <c r="J13" i="87" s="1"/>
  <c r="G28" i="91"/>
  <c r="F28" i="91"/>
  <c r="AQ60" i="75"/>
  <c r="T60" i="75"/>
  <c r="AV60" i="75"/>
  <c r="BB60" i="75"/>
  <c r="AH60" i="75"/>
  <c r="H70" i="81"/>
  <c r="AD57" i="87"/>
  <c r="I60" i="75"/>
  <c r="K65" i="91"/>
  <c r="F63" i="91"/>
  <c r="F62" i="91" s="1"/>
  <c r="H61" i="81"/>
  <c r="AL6" i="90" s="1"/>
  <c r="N29" i="81"/>
  <c r="C70" i="81"/>
  <c r="H56" i="91"/>
  <c r="C64" i="91"/>
  <c r="K62" i="91"/>
  <c r="J65" i="91"/>
  <c r="J62" i="91"/>
  <c r="G66" i="91"/>
  <c r="G65" i="91" s="1"/>
  <c r="G63" i="91"/>
  <c r="G62" i="91" s="1"/>
  <c r="J29" i="91"/>
  <c r="D24" i="81"/>
  <c r="T14" i="29"/>
  <c r="E56" i="91"/>
  <c r="J13" i="91"/>
  <c r="E46" i="91"/>
  <c r="E43" i="91" s="1"/>
  <c r="K13" i="91"/>
  <c r="K56" i="91"/>
  <c r="J42" i="95"/>
  <c r="J41" i="95"/>
  <c r="J40" i="95"/>
  <c r="E23" i="81"/>
  <c r="T36" i="29"/>
  <c r="B21" i="81"/>
  <c r="Z11" i="29"/>
  <c r="G14" i="29"/>
  <c r="G36" i="29"/>
  <c r="P14" i="29"/>
  <c r="B21" i="91"/>
  <c r="R36" i="29"/>
  <c r="Y14" i="29"/>
  <c r="B23" i="81"/>
  <c r="I14" i="29"/>
  <c r="E25" i="81"/>
  <c r="O36" i="29"/>
  <c r="P36" i="29"/>
  <c r="B26" i="81"/>
  <c r="Q36" i="29"/>
  <c r="AA14" i="29"/>
  <c r="K14" i="81"/>
  <c r="K74" i="81" s="1"/>
  <c r="BL14" i="29"/>
  <c r="BL5" i="29" s="1"/>
  <c r="K17" i="81"/>
  <c r="K77" i="81" s="1"/>
  <c r="K12" i="81"/>
  <c r="K72" i="81" s="1"/>
  <c r="K13" i="81"/>
  <c r="K73" i="81" s="1"/>
  <c r="K16" i="81"/>
  <c r="K76" i="81" s="1"/>
  <c r="G43" i="81"/>
  <c r="AK65" i="90" s="1"/>
  <c r="D9" i="81"/>
  <c r="E55" i="91"/>
  <c r="AK68" i="90"/>
  <c r="AK78" i="90" s="1"/>
  <c r="B41" i="91" l="1"/>
  <c r="G27" i="95"/>
  <c r="H20" i="91"/>
  <c r="H51" i="91"/>
  <c r="H50" i="91" s="1"/>
  <c r="E61" i="81"/>
  <c r="B73" i="81"/>
  <c r="C67" i="91"/>
  <c r="K70" i="81"/>
  <c r="AU55" i="29"/>
  <c r="AU13" i="29" s="1"/>
  <c r="H24" i="91"/>
  <c r="P63" i="81"/>
  <c r="P66" i="81"/>
  <c r="B9" i="91"/>
  <c r="B42" i="91"/>
  <c r="H25" i="91"/>
  <c r="B70" i="81"/>
  <c r="BN55" i="29"/>
  <c r="BC55" i="29"/>
  <c r="BC13" i="29" s="1"/>
  <c r="B34" i="91"/>
  <c r="B40" i="91"/>
  <c r="B36" i="91"/>
  <c r="C66" i="91"/>
  <c r="K50" i="81"/>
  <c r="K28" i="81" s="1"/>
  <c r="AW55" i="29"/>
  <c r="AW13" i="29" s="1"/>
  <c r="D63" i="91"/>
  <c r="B31" i="91"/>
  <c r="F16" i="91"/>
  <c r="B63" i="91"/>
  <c r="P64" i="81"/>
  <c r="I64" i="91"/>
  <c r="D64" i="91"/>
  <c r="E41" i="96"/>
  <c r="F41" i="96" s="1"/>
  <c r="I63" i="91"/>
  <c r="P67" i="81"/>
  <c r="D66" i="91"/>
  <c r="D65" i="91" s="1"/>
  <c r="H26" i="91"/>
  <c r="E70" i="81"/>
  <c r="K61" i="81"/>
  <c r="AL10" i="90" s="1"/>
  <c r="AL9" i="90" s="1"/>
  <c r="B61" i="81"/>
  <c r="AL3" i="90" s="1"/>
  <c r="B72" i="81"/>
  <c r="BI55" i="29"/>
  <c r="BI13" i="29" s="1"/>
  <c r="AL83" i="98"/>
  <c r="AN54" i="98"/>
  <c r="G17" i="91"/>
  <c r="AV55" i="29"/>
  <c r="AV13" i="29" s="1"/>
  <c r="AX55" i="29"/>
  <c r="AX13" i="29" s="1"/>
  <c r="AJ59" i="98"/>
  <c r="AL58" i="98"/>
  <c r="AI36" i="98"/>
  <c r="H67" i="91"/>
  <c r="H65" i="91" s="1"/>
  <c r="AT55" i="29"/>
  <c r="AT13" i="29" s="1"/>
  <c r="AO68" i="98"/>
  <c r="AO47" i="98"/>
  <c r="AO45" i="98"/>
  <c r="AL81" i="98"/>
  <c r="AJ62" i="98"/>
  <c r="N43" i="81"/>
  <c r="N28" i="81" s="1"/>
  <c r="AJ37" i="98"/>
  <c r="AP51" i="98"/>
  <c r="AO46" i="98"/>
  <c r="AL55" i="98"/>
  <c r="AJ83" i="98"/>
  <c r="AO73" i="98"/>
  <c r="AO71" i="98"/>
  <c r="AL80" i="98"/>
  <c r="H3" i="81"/>
  <c r="F7" i="91" s="1"/>
  <c r="F13" i="91" s="1"/>
  <c r="AI66" i="98"/>
  <c r="AJ33" i="98"/>
  <c r="AN38" i="98"/>
  <c r="AL68" i="98"/>
  <c r="AJ49" i="98"/>
  <c r="AM72" i="98"/>
  <c r="K50" i="91"/>
  <c r="K28" i="91" s="1"/>
  <c r="BM55" i="29"/>
  <c r="BM13" i="29" s="1"/>
  <c r="P69" i="81"/>
  <c r="AN53" i="98"/>
  <c r="AP71" i="98"/>
  <c r="AK36" i="98"/>
  <c r="AI49" i="98"/>
  <c r="BP88" i="29"/>
  <c r="AM38" i="98"/>
  <c r="AK63" i="98"/>
  <c r="B35" i="91"/>
  <c r="AI68" i="90"/>
  <c r="AI78" i="90" s="1"/>
  <c r="H29" i="91"/>
  <c r="C63" i="91"/>
  <c r="C62" i="91" s="1"/>
  <c r="BP97" i="29"/>
  <c r="AO36" i="98"/>
  <c r="AP38" i="98"/>
  <c r="AM53" i="98"/>
  <c r="AL47" i="98"/>
  <c r="AI38" i="98"/>
  <c r="AL36" i="98"/>
  <c r="H28" i="95"/>
  <c r="AK52" i="98"/>
  <c r="AO50" i="98"/>
  <c r="AO39" i="98"/>
  <c r="F70" i="81"/>
  <c r="P62" i="81"/>
  <c r="AK68" i="98"/>
  <c r="AI75" i="98"/>
  <c r="AL64" i="98"/>
  <c r="AM37" i="98"/>
  <c r="AL66" i="98"/>
  <c r="AM80" i="98"/>
  <c r="AK59" i="98"/>
  <c r="AN74" i="98"/>
  <c r="AL48" i="98"/>
  <c r="AP41" i="98"/>
  <c r="AP74" i="98"/>
  <c r="AP46" i="98"/>
  <c r="AL38" i="98"/>
  <c r="AO66" i="98"/>
  <c r="L61" i="81"/>
  <c r="AL8" i="90" s="1"/>
  <c r="H45" i="91"/>
  <c r="H43" i="91" s="1"/>
  <c r="J29" i="81"/>
  <c r="AN64" i="90" s="1"/>
  <c r="AJ41" i="98"/>
  <c r="AI59" i="98"/>
  <c r="AP61" i="98"/>
  <c r="AI68" i="98"/>
  <c r="AN55" i="98"/>
  <c r="P65" i="81"/>
  <c r="AJ43" i="98"/>
  <c r="AP49" i="98"/>
  <c r="G28" i="95"/>
  <c r="AP81" i="98"/>
  <c r="AM60" i="98"/>
  <c r="AP40" i="98"/>
  <c r="AJ52" i="98"/>
  <c r="F61" i="81"/>
  <c r="AP80" i="98"/>
  <c r="AK49" i="98"/>
  <c r="AK69" i="98"/>
  <c r="AL60" i="98"/>
  <c r="AP54" i="98"/>
  <c r="AO80" i="98"/>
  <c r="H29" i="95"/>
  <c r="AI57" i="98"/>
  <c r="AM49" i="98"/>
  <c r="AO72" i="98"/>
  <c r="AN34" i="98"/>
  <c r="AL65" i="98"/>
  <c r="AN52" i="98"/>
  <c r="AP65" i="98"/>
  <c r="AP58" i="98"/>
  <c r="AJ50" i="98"/>
  <c r="AI42" i="98"/>
  <c r="AO58" i="98"/>
  <c r="AK50" i="98"/>
  <c r="AN62" i="98"/>
  <c r="AN71" i="98"/>
  <c r="AM84" i="98"/>
  <c r="AK66" i="98"/>
  <c r="AM52" i="98"/>
  <c r="AO61" i="98"/>
  <c r="AK57" i="98"/>
  <c r="AP53" i="98"/>
  <c r="AK77" i="98"/>
  <c r="AI52" i="98"/>
  <c r="AN44" i="98"/>
  <c r="AL52" i="98"/>
  <c r="AM75" i="98"/>
  <c r="AI82" i="98"/>
  <c r="AK34" i="98"/>
  <c r="AK54" i="98"/>
  <c r="AL50" i="98"/>
  <c r="AM56" i="98"/>
  <c r="AK64" i="98"/>
  <c r="AP66" i="98"/>
  <c r="AN70" i="98"/>
  <c r="AJ80" i="98"/>
  <c r="AN49" i="98"/>
  <c r="AL82" i="98"/>
  <c r="AM41" i="98"/>
  <c r="AP77" i="98"/>
  <c r="AN46" i="98"/>
  <c r="AJ56" i="98"/>
  <c r="AI54" i="98"/>
  <c r="AM77" i="98"/>
  <c r="AM36" i="98"/>
  <c r="AJ53" i="98"/>
  <c r="AI64" i="98"/>
  <c r="AI84" i="98"/>
  <c r="AO53" i="98"/>
  <c r="AN73" i="98"/>
  <c r="AI71" i="98"/>
  <c r="AO62" i="98"/>
  <c r="Y55" i="29"/>
  <c r="Y13" i="29" s="1"/>
  <c r="B57" i="91"/>
  <c r="B30" i="91"/>
  <c r="B53" i="91"/>
  <c r="B46" i="91"/>
  <c r="B59" i="91"/>
  <c r="F29" i="95"/>
  <c r="E17" i="91"/>
  <c r="I7" i="91"/>
  <c r="I13" i="91" s="1"/>
  <c r="B8" i="91"/>
  <c r="D28" i="95"/>
  <c r="C56" i="81"/>
  <c r="N55" i="29"/>
  <c r="N13" i="29" s="1"/>
  <c r="Z55" i="29"/>
  <c r="Z13" i="29" s="1"/>
  <c r="AY55" i="29"/>
  <c r="AY13" i="29" s="1"/>
  <c r="B27" i="91"/>
  <c r="B10" i="91"/>
  <c r="J55" i="29"/>
  <c r="J13" i="29" s="1"/>
  <c r="I18" i="91"/>
  <c r="B48" i="91"/>
  <c r="BD55" i="29"/>
  <c r="BD13" i="29" s="1"/>
  <c r="L56" i="81"/>
  <c r="K55" i="29"/>
  <c r="K13" i="29" s="1"/>
  <c r="AL67" i="90"/>
  <c r="B25" i="91"/>
  <c r="E55" i="29"/>
  <c r="E13" i="29" s="1"/>
  <c r="F28" i="95"/>
  <c r="D27" i="95"/>
  <c r="E16" i="91"/>
  <c r="H55" i="29"/>
  <c r="H13" i="29" s="1"/>
  <c r="B54" i="91"/>
  <c r="AL66" i="90"/>
  <c r="B49" i="91"/>
  <c r="F55" i="29"/>
  <c r="F13" i="29" s="1"/>
  <c r="D28" i="81"/>
  <c r="D11" i="81" s="1"/>
  <c r="B58" i="91"/>
  <c r="B39" i="91"/>
  <c r="B37" i="91"/>
  <c r="G55" i="29"/>
  <c r="G13" i="29" s="1"/>
  <c r="V55" i="29"/>
  <c r="V13" i="29" s="1"/>
  <c r="U55" i="29"/>
  <c r="U13" i="29" s="1"/>
  <c r="C9" i="81"/>
  <c r="B11" i="91"/>
  <c r="B32" i="91"/>
  <c r="B43" i="81"/>
  <c r="B45" i="91"/>
  <c r="P55" i="29"/>
  <c r="P13" i="29" s="1"/>
  <c r="E43" i="81"/>
  <c r="B33" i="91"/>
  <c r="C17" i="91"/>
  <c r="Q55" i="29"/>
  <c r="Q13" i="29" s="1"/>
  <c r="C48" i="91"/>
  <c r="C43" i="91" s="1"/>
  <c r="AI66" i="90"/>
  <c r="B52" i="91"/>
  <c r="O55" i="29"/>
  <c r="O13" i="29" s="1"/>
  <c r="I16" i="91"/>
  <c r="AZ55" i="29"/>
  <c r="AZ13" i="29" s="1"/>
  <c r="F27" i="95"/>
  <c r="L50" i="81"/>
  <c r="B44" i="91"/>
  <c r="M55" i="29"/>
  <c r="M13" i="29" s="1"/>
  <c r="BB55" i="29"/>
  <c r="BB13" i="29" s="1"/>
  <c r="R55" i="29"/>
  <c r="R13" i="29" s="1"/>
  <c r="B55" i="91"/>
  <c r="AI3" i="90"/>
  <c r="I55" i="29"/>
  <c r="I13" i="29" s="1"/>
  <c r="AI67" i="90"/>
  <c r="X55" i="29"/>
  <c r="X13" i="29" s="1"/>
  <c r="B47" i="91"/>
  <c r="B14" i="91"/>
  <c r="L55" i="29"/>
  <c r="L13" i="29" s="1"/>
  <c r="B22" i="91"/>
  <c r="L9" i="81"/>
  <c r="AJ8" i="90" s="1"/>
  <c r="B60" i="91"/>
  <c r="B24" i="91"/>
  <c r="C29" i="81"/>
  <c r="AL61" i="98"/>
  <c r="AL45" i="98"/>
  <c r="AK71" i="98"/>
  <c r="AJ73" i="98"/>
  <c r="AN45" i="98"/>
  <c r="AI80" i="98"/>
  <c r="AK46" i="98"/>
  <c r="AJ68" i="98"/>
  <c r="AM79" i="98"/>
  <c r="AO51" i="98"/>
  <c r="AL76" i="98"/>
  <c r="AI51" i="98"/>
  <c r="AO83" i="98"/>
  <c r="AJ75" i="98"/>
  <c r="AI43" i="98"/>
  <c r="AI73" i="98"/>
  <c r="AO69" i="98"/>
  <c r="P68" i="81"/>
  <c r="AM59" i="98"/>
  <c r="AK42" i="98"/>
  <c r="AP52" i="98"/>
  <c r="AM78" i="98"/>
  <c r="AN47" i="98"/>
  <c r="AK45" i="98"/>
  <c r="AM47" i="98"/>
  <c r="AJ40" i="98"/>
  <c r="AM81" i="98"/>
  <c r="I67" i="91"/>
  <c r="I65" i="91" s="1"/>
  <c r="L29" i="81"/>
  <c r="C50" i="81"/>
  <c r="AM55" i="98"/>
  <c r="AO38" i="98"/>
  <c r="AL43" i="98"/>
  <c r="AJ81" i="98"/>
  <c r="AP79" i="98"/>
  <c r="AI46" i="98"/>
  <c r="AO60" i="98"/>
  <c r="AL77" i="98"/>
  <c r="AO74" i="98"/>
  <c r="AP62" i="98"/>
  <c r="AN72" i="98"/>
  <c r="AN37" i="98"/>
  <c r="AK60" i="98"/>
  <c r="AL37" i="98"/>
  <c r="AP35" i="98"/>
  <c r="AM46" i="98"/>
  <c r="AJ51" i="98"/>
  <c r="AN40" i="98"/>
  <c r="AN65" i="98"/>
  <c r="AK70" i="98"/>
  <c r="AL46" i="98"/>
  <c r="AN84" i="98"/>
  <c r="AO48" i="98"/>
  <c r="AJ38" i="98"/>
  <c r="AM73" i="98"/>
  <c r="AN59" i="98"/>
  <c r="AM70" i="98"/>
  <c r="I59" i="91"/>
  <c r="I56" i="91" s="1"/>
  <c r="AM61" i="98"/>
  <c r="AN41" i="98"/>
  <c r="AN76" i="98"/>
  <c r="AN43" i="98"/>
  <c r="AM40" i="98"/>
  <c r="AL59" i="98"/>
  <c r="AN39" i="98"/>
  <c r="AN42" i="98"/>
  <c r="AL35" i="98"/>
  <c r="AP47" i="98"/>
  <c r="AP37" i="98"/>
  <c r="AI72" i="98"/>
  <c r="AO63" i="98"/>
  <c r="AO40" i="98"/>
  <c r="AM43" i="98"/>
  <c r="AL57" i="98"/>
  <c r="AM45" i="98"/>
  <c r="AJ61" i="98"/>
  <c r="AL39" i="98"/>
  <c r="AL62" i="98"/>
  <c r="AM51" i="98"/>
  <c r="AN81" i="98"/>
  <c r="AI63" i="98"/>
  <c r="AO49" i="98"/>
  <c r="AI34" i="98"/>
  <c r="AN77" i="98"/>
  <c r="AL44" i="98"/>
  <c r="J51" i="91"/>
  <c r="J50" i="91" s="1"/>
  <c r="AM66" i="90"/>
  <c r="C43" i="81"/>
  <c r="AI44" i="98"/>
  <c r="AL74" i="98"/>
  <c r="AK65" i="98"/>
  <c r="AM74" i="98"/>
  <c r="AM83" i="98"/>
  <c r="AI81" i="98"/>
  <c r="AO79" i="98"/>
  <c r="AK41" i="98"/>
  <c r="AP67" i="98"/>
  <c r="AI62" i="98"/>
  <c r="AI39" i="98"/>
  <c r="AL54" i="98"/>
  <c r="AP59" i="98"/>
  <c r="AJ63" i="98"/>
  <c r="AP55" i="98"/>
  <c r="AP39" i="98"/>
  <c r="AK40" i="98"/>
  <c r="AI47" i="98"/>
  <c r="AJ69" i="98"/>
  <c r="AI55" i="98"/>
  <c r="AP83" i="98"/>
  <c r="AM54" i="98"/>
  <c r="AN36" i="98"/>
  <c r="AO75" i="98"/>
  <c r="AM58" i="98"/>
  <c r="AO55" i="98"/>
  <c r="AL71" i="98"/>
  <c r="L70" i="81"/>
  <c r="AN60" i="98"/>
  <c r="F18" i="91"/>
  <c r="L43" i="81"/>
  <c r="AL65" i="90" s="1"/>
  <c r="E56" i="81"/>
  <c r="AL68" i="90"/>
  <c r="AL78" i="90" s="1"/>
  <c r="AN80" i="98"/>
  <c r="AI78" i="98"/>
  <c r="AJ71" i="98"/>
  <c r="AK67" i="98"/>
  <c r="AN78" i="98"/>
  <c r="AK79" i="98"/>
  <c r="AJ70" i="98"/>
  <c r="AK83" i="98"/>
  <c r="AI48" i="98"/>
  <c r="AI69" i="98"/>
  <c r="AI83" i="98"/>
  <c r="AN35" i="98"/>
  <c r="AO44" i="98"/>
  <c r="AL33" i="98"/>
  <c r="AP56" i="98"/>
  <c r="AK81" i="98"/>
  <c r="AJ77" i="98"/>
  <c r="AI60" i="98"/>
  <c r="AN66" i="98"/>
  <c r="AM57" i="98"/>
  <c r="AI77" i="98"/>
  <c r="AK53" i="98"/>
  <c r="AP75" i="98"/>
  <c r="AL49" i="98"/>
  <c r="AI53" i="98"/>
  <c r="BA55" i="29"/>
  <c r="BA13" i="29" s="1"/>
  <c r="AL72" i="98"/>
  <c r="AO57" i="98"/>
  <c r="AO33" i="98"/>
  <c r="AO65" i="98"/>
  <c r="AI70" i="98"/>
  <c r="AL79" i="98"/>
  <c r="AL70" i="98"/>
  <c r="AO78" i="98"/>
  <c r="AM63" i="98"/>
  <c r="AN79" i="98"/>
  <c r="AJ60" i="98"/>
  <c r="AP60" i="98"/>
  <c r="AI79" i="98"/>
  <c r="AM66" i="98"/>
  <c r="AJ79" i="98"/>
  <c r="AJ67" i="98"/>
  <c r="AM71" i="98"/>
  <c r="AK74" i="98"/>
  <c r="AP82" i="98"/>
  <c r="AM42" i="98"/>
  <c r="AJ45" i="98"/>
  <c r="AK82" i="98"/>
  <c r="AK47" i="98"/>
  <c r="AP84" i="98"/>
  <c r="AP64" i="98"/>
  <c r="AO37" i="98"/>
  <c r="AM33" i="98"/>
  <c r="AL78" i="98"/>
  <c r="AP57" i="98"/>
  <c r="AN57" i="98"/>
  <c r="AK76" i="98"/>
  <c r="AK51" i="98"/>
  <c r="AP33" i="98"/>
  <c r="AI37" i="98"/>
  <c r="AP76" i="98"/>
  <c r="AO41" i="98"/>
  <c r="BG55" i="29"/>
  <c r="BG13" i="29" s="1"/>
  <c r="J45" i="91"/>
  <c r="J43" i="91" s="1"/>
  <c r="M43" i="81"/>
  <c r="AM65" i="90" s="1"/>
  <c r="B18" i="91"/>
  <c r="AO84" i="98"/>
  <c r="AK80" i="98"/>
  <c r="AI35" i="98"/>
  <c r="AI33" i="98"/>
  <c r="AJ65" i="98"/>
  <c r="AP72" i="98"/>
  <c r="AJ34" i="98"/>
  <c r="AO77" i="98"/>
  <c r="AJ66" i="98"/>
  <c r="AK61" i="98"/>
  <c r="AI58" i="98"/>
  <c r="AJ39" i="98"/>
  <c r="AJ46" i="98"/>
  <c r="AM82" i="98"/>
  <c r="AM44" i="98"/>
  <c r="AI67" i="98"/>
  <c r="AN56" i="98"/>
  <c r="AM62" i="98"/>
  <c r="AM69" i="98"/>
  <c r="AJ82" i="98"/>
  <c r="AP48" i="98"/>
  <c r="AO35" i="98"/>
  <c r="AJ36" i="98"/>
  <c r="AP78" i="98"/>
  <c r="AI50" i="98"/>
  <c r="AI41" i="98"/>
  <c r="AO82" i="98"/>
  <c r="AN58" i="98"/>
  <c r="AO42" i="98"/>
  <c r="AM64" i="98"/>
  <c r="AL75" i="98"/>
  <c r="AK55" i="98"/>
  <c r="AM67" i="98"/>
  <c r="AP69" i="98"/>
  <c r="AN48" i="98"/>
  <c r="AI45" i="98"/>
  <c r="AO34" i="98"/>
  <c r="AJ35" i="98"/>
  <c r="AI61" i="98"/>
  <c r="BF11" i="29"/>
  <c r="BF13" i="29" s="1"/>
  <c r="AM50" i="98"/>
  <c r="AO81" i="98"/>
  <c r="AK35" i="98"/>
  <c r="AN64" i="98"/>
  <c r="AL40" i="98"/>
  <c r="AJ72" i="98"/>
  <c r="AL63" i="98"/>
  <c r="AM65" i="98"/>
  <c r="AP43" i="98"/>
  <c r="AJ58" i="98"/>
  <c r="AJ78" i="98"/>
  <c r="AN67" i="98"/>
  <c r="AL84" i="98"/>
  <c r="C28" i="95"/>
  <c r="C16" i="91"/>
  <c r="AK33" i="98"/>
  <c r="AK58" i="98"/>
  <c r="AJ47" i="98"/>
  <c r="AM76" i="98"/>
  <c r="AN50" i="98"/>
  <c r="AK38" i="98"/>
  <c r="AL34" i="98"/>
  <c r="AK56" i="98"/>
  <c r="AN51" i="98"/>
  <c r="AJ54" i="98"/>
  <c r="AP34" i="98"/>
  <c r="AO64" i="98"/>
  <c r="AK39" i="98"/>
  <c r="AK37" i="98"/>
  <c r="AK72" i="98"/>
  <c r="AN33" i="98"/>
  <c r="AK48" i="98"/>
  <c r="AP63" i="98"/>
  <c r="AO52" i="98"/>
  <c r="AO43" i="98"/>
  <c r="AO67" i="98"/>
  <c r="AM35" i="98"/>
  <c r="AP68" i="98"/>
  <c r="AJ84" i="98"/>
  <c r="AL53" i="98"/>
  <c r="AI74" i="98"/>
  <c r="B17" i="91"/>
  <c r="AP70" i="98"/>
  <c r="AI56" i="98"/>
  <c r="AL41" i="98"/>
  <c r="AP42" i="98"/>
  <c r="AJ48" i="98"/>
  <c r="AM68" i="98"/>
  <c r="AJ76" i="98"/>
  <c r="AK73" i="98"/>
  <c r="AL73" i="98"/>
  <c r="AM48" i="98"/>
  <c r="AL42" i="98"/>
  <c r="AJ74" i="98"/>
  <c r="AK78" i="98"/>
  <c r="AL56" i="98"/>
  <c r="AP50" i="98"/>
  <c r="AO54" i="98"/>
  <c r="AM39" i="98"/>
  <c r="AN83" i="98"/>
  <c r="AL51" i="98"/>
  <c r="AP36" i="98"/>
  <c r="AN61" i="98"/>
  <c r="AJ55" i="98"/>
  <c r="AK43" i="98"/>
  <c r="AJ44" i="98"/>
  <c r="AI65" i="98"/>
  <c r="AO56" i="98"/>
  <c r="AO70" i="98"/>
  <c r="AN82" i="98"/>
  <c r="AN75" i="98"/>
  <c r="AL67" i="98"/>
  <c r="AP45" i="98"/>
  <c r="AK62" i="98"/>
  <c r="AN68" i="98"/>
  <c r="AP73" i="98"/>
  <c r="AO76" i="98"/>
  <c r="AJ42" i="98"/>
  <c r="AI76" i="98"/>
  <c r="AN69" i="98"/>
  <c r="AK75" i="98"/>
  <c r="AL69" i="98"/>
  <c r="AK44" i="98"/>
  <c r="AO59" i="98"/>
  <c r="AP44" i="98"/>
  <c r="AJ57" i="98"/>
  <c r="AN63" i="98"/>
  <c r="AJ64" i="98"/>
  <c r="AI40" i="98"/>
  <c r="AM34" i="98"/>
  <c r="AA55" i="29"/>
  <c r="AA13" i="29" s="1"/>
  <c r="W55" i="29"/>
  <c r="W13" i="29" s="1"/>
  <c r="AS55" i="29"/>
  <c r="AS13" i="29" s="1"/>
  <c r="E50" i="81"/>
  <c r="T55" i="29"/>
  <c r="T13" i="29" s="1"/>
  <c r="B29" i="81"/>
  <c r="C27" i="95"/>
  <c r="B51" i="91"/>
  <c r="D29" i="95"/>
  <c r="I17" i="91"/>
  <c r="C18" i="91"/>
  <c r="B16" i="91"/>
  <c r="B50" i="81"/>
  <c r="B38" i="91"/>
  <c r="E18" i="91"/>
  <c r="B9" i="81"/>
  <c r="B56" i="81"/>
  <c r="C29" i="95"/>
  <c r="E29" i="81"/>
  <c r="G29" i="81"/>
  <c r="AK64" i="90" s="1"/>
  <c r="E33" i="91"/>
  <c r="E29" i="91" s="1"/>
  <c r="E54" i="91"/>
  <c r="E50" i="91" s="1"/>
  <c r="AK67" i="90"/>
  <c r="G9" i="81"/>
  <c r="AJ5" i="90" s="1"/>
  <c r="AM5" i="90" s="1"/>
  <c r="E8" i="91"/>
  <c r="E13" i="91" s="1"/>
  <c r="G18" i="91"/>
  <c r="BN13" i="29"/>
  <c r="AI4" i="90"/>
  <c r="E9" i="81"/>
  <c r="G16" i="91"/>
  <c r="F17" i="91"/>
  <c r="AF13" i="88"/>
  <c r="AC50" i="88"/>
  <c r="AD50" i="88" s="1"/>
  <c r="AE50" i="88" s="1"/>
  <c r="AF12" i="88"/>
  <c r="AF14" i="88"/>
  <c r="AF11" i="88"/>
  <c r="B12" i="91"/>
  <c r="C34" i="87"/>
  <c r="AG17" i="87" s="1"/>
  <c r="C24" i="91"/>
  <c r="AH71" i="87"/>
  <c r="AG71" i="87" s="1"/>
  <c r="AD67" i="87"/>
  <c r="AD68" i="87" s="1"/>
  <c r="AJ70" i="87"/>
  <c r="AI70" i="87"/>
  <c r="AG70" i="87"/>
  <c r="AF70" i="87"/>
  <c r="AH70" i="87"/>
  <c r="AK70" i="87"/>
  <c r="AD56" i="87"/>
  <c r="E33" i="87"/>
  <c r="AE72" i="87"/>
  <c r="C12" i="86"/>
  <c r="H62" i="91"/>
  <c r="B62" i="91"/>
  <c r="B65" i="91"/>
  <c r="G7" i="91"/>
  <c r="G13" i="91" s="1"/>
  <c r="AI7" i="90"/>
  <c r="I9" i="81"/>
  <c r="C56" i="91"/>
  <c r="I29" i="91"/>
  <c r="I43" i="91"/>
  <c r="C13" i="91"/>
  <c r="C50" i="91"/>
  <c r="B26" i="91"/>
  <c r="B20" i="91"/>
  <c r="D50" i="87"/>
  <c r="E50" i="87" s="1"/>
  <c r="D43" i="87"/>
  <c r="E43" i="87" s="1"/>
  <c r="D39" i="87"/>
  <c r="E39" i="87" s="1"/>
  <c r="D52" i="87"/>
  <c r="E52" i="87" s="1"/>
  <c r="D40" i="87"/>
  <c r="E40" i="87" s="1"/>
  <c r="H18" i="91"/>
  <c r="H16" i="91"/>
  <c r="D51" i="87"/>
  <c r="E51" i="87" s="1"/>
  <c r="D48" i="87"/>
  <c r="E48" i="87" s="1"/>
  <c r="D42" i="87"/>
  <c r="E42" i="87" s="1"/>
  <c r="D54" i="87"/>
  <c r="E54" i="87" s="1"/>
  <c r="H17" i="91"/>
  <c r="D53" i="87"/>
  <c r="E53" i="87" s="1"/>
  <c r="D45" i="87"/>
  <c r="E45" i="87" s="1"/>
  <c r="D47" i="87"/>
  <c r="E47" i="87" s="1"/>
  <c r="D38" i="87"/>
  <c r="E38" i="87" s="1"/>
  <c r="D49" i="87"/>
  <c r="E49" i="87" s="1"/>
  <c r="D41" i="87"/>
  <c r="E41" i="87" s="1"/>
  <c r="D46" i="87"/>
  <c r="E46" i="87" s="1"/>
  <c r="D44" i="87"/>
  <c r="E44" i="87" s="1"/>
  <c r="BL11" i="29"/>
  <c r="BL13" i="29" s="1"/>
  <c r="K3" i="81"/>
  <c r="BP5" i="29"/>
  <c r="BQ5" i="29" s="1"/>
  <c r="I50" i="91"/>
  <c r="C29" i="91"/>
  <c r="AL4" i="90" l="1"/>
  <c r="AI49" i="90" s="1"/>
  <c r="C65" i="91"/>
  <c r="D62" i="91"/>
  <c r="L64" i="91"/>
  <c r="L66" i="91"/>
  <c r="I62" i="91"/>
  <c r="H9" i="81"/>
  <c r="H11" i="81" s="1"/>
  <c r="F15" i="91" s="1"/>
  <c r="AL15" i="90"/>
  <c r="AI6" i="90"/>
  <c r="AN65" i="90"/>
  <c r="AR84" i="98"/>
  <c r="AR74" i="98"/>
  <c r="J28" i="91"/>
  <c r="AR78" i="98"/>
  <c r="AR53" i="98"/>
  <c r="L63" i="91"/>
  <c r="N11" i="81"/>
  <c r="K15" i="91" s="1"/>
  <c r="AK12" i="90"/>
  <c r="AN69" i="90" s="1"/>
  <c r="AN70" i="90" s="1"/>
  <c r="AR82" i="98"/>
  <c r="AR81" i="98"/>
  <c r="AR40" i="98"/>
  <c r="AR57" i="98"/>
  <c r="AR37" i="98"/>
  <c r="AR54" i="98"/>
  <c r="AR38" i="98"/>
  <c r="AR46" i="98"/>
  <c r="AR45" i="98"/>
  <c r="H28" i="91"/>
  <c r="AR65" i="98"/>
  <c r="AR41" i="98"/>
  <c r="P70" i="81"/>
  <c r="AR69" i="98"/>
  <c r="M28" i="81"/>
  <c r="AK11" i="90" s="1"/>
  <c r="AM69" i="90" s="1"/>
  <c r="AM70" i="90" s="1"/>
  <c r="AR68" i="98"/>
  <c r="AR75" i="98"/>
  <c r="AR47" i="98"/>
  <c r="AR77" i="98"/>
  <c r="AR34" i="98"/>
  <c r="AR83" i="98"/>
  <c r="AR72" i="98"/>
  <c r="AR64" i="98"/>
  <c r="AR33" i="98"/>
  <c r="AR36" i="98"/>
  <c r="AR79" i="98"/>
  <c r="AR48" i="98"/>
  <c r="AR80" i="98"/>
  <c r="AR49" i="98"/>
  <c r="P61" i="81"/>
  <c r="AL13" i="90" s="1"/>
  <c r="AL16" i="90" s="1"/>
  <c r="AD27" i="90" s="1"/>
  <c r="AR73" i="98"/>
  <c r="AR52" i="98"/>
  <c r="AR50" i="98"/>
  <c r="E40" i="96"/>
  <c r="F40" i="96" s="1"/>
  <c r="AR76" i="98"/>
  <c r="AR58" i="98"/>
  <c r="AR44" i="98"/>
  <c r="AR70" i="98"/>
  <c r="J28" i="81"/>
  <c r="J11" i="81" s="1"/>
  <c r="AR59" i="98"/>
  <c r="AR62" i="98"/>
  <c r="AR43" i="98"/>
  <c r="AR42" i="98"/>
  <c r="AR66" i="98"/>
  <c r="AR71" i="98"/>
  <c r="AR55" i="98"/>
  <c r="AR39" i="98"/>
  <c r="AR35" i="98"/>
  <c r="AR67" i="98"/>
  <c r="AR60" i="98"/>
  <c r="AR61" i="98"/>
  <c r="AR56" i="98"/>
  <c r="AR63" i="98"/>
  <c r="AR51" i="98"/>
  <c r="L28" i="81"/>
  <c r="L11" i="81" s="1"/>
  <c r="B56" i="91"/>
  <c r="E28" i="81"/>
  <c r="E11" i="81" s="1"/>
  <c r="B13" i="91"/>
  <c r="AJ3" i="90"/>
  <c r="AM3" i="90" s="1"/>
  <c r="B29" i="91"/>
  <c r="AI65" i="90"/>
  <c r="C28" i="81"/>
  <c r="C11" i="81" s="1"/>
  <c r="AI17" i="90"/>
  <c r="B50" i="91"/>
  <c r="AI64" i="90"/>
  <c r="B43" i="91"/>
  <c r="B28" i="81"/>
  <c r="AL64" i="90"/>
  <c r="L67" i="91"/>
  <c r="G28" i="81"/>
  <c r="AK5" i="90" s="1"/>
  <c r="AK69" i="90" s="1"/>
  <c r="AK70" i="90" s="1"/>
  <c r="E28" i="91"/>
  <c r="E17" i="99" s="1"/>
  <c r="D17" i="99" s="1"/>
  <c r="D25" i="91"/>
  <c r="AG14" i="87"/>
  <c r="AF16" i="88"/>
  <c r="K25" i="88" s="1"/>
  <c r="D22" i="89" s="1"/>
  <c r="AI50" i="90"/>
  <c r="AG16" i="87"/>
  <c r="AG15" i="87"/>
  <c r="J15" i="87"/>
  <c r="AI56" i="90"/>
  <c r="G35" i="82"/>
  <c r="AH77" i="87"/>
  <c r="AI77" i="87" s="1"/>
  <c r="L65" i="91"/>
  <c r="AI51" i="90"/>
  <c r="D18" i="99"/>
  <c r="AF71" i="87"/>
  <c r="AF75" i="87" s="1"/>
  <c r="AG75" i="87" s="1"/>
  <c r="AG76" i="87"/>
  <c r="AH76" i="87" s="1"/>
  <c r="AJ7" i="90"/>
  <c r="I11" i="81"/>
  <c r="C28" i="91"/>
  <c r="I28" i="91"/>
  <c r="AK83" i="29"/>
  <c r="AF70" i="29"/>
  <c r="AC83" i="29"/>
  <c r="AM83" i="29"/>
  <c r="AE83" i="29"/>
  <c r="AE70" i="29"/>
  <c r="AH70" i="29"/>
  <c r="AL56" i="29"/>
  <c r="AP77" i="29"/>
  <c r="AP70" i="29"/>
  <c r="AR36" i="29"/>
  <c r="AR11" i="29"/>
  <c r="AR83" i="29"/>
  <c r="AJ11" i="29"/>
  <c r="AJ83" i="29"/>
  <c r="AD70" i="29"/>
  <c r="AD77" i="29"/>
  <c r="AC70" i="29"/>
  <c r="AD83" i="29"/>
  <c r="AN83" i="29"/>
  <c r="AE77" i="29"/>
  <c r="AE36" i="29"/>
  <c r="AH77" i="29"/>
  <c r="AL11" i="29"/>
  <c r="AL83" i="29"/>
  <c r="AL36" i="29"/>
  <c r="AP14" i="29"/>
  <c r="BP9" i="29"/>
  <c r="F7" i="81"/>
  <c r="D21" i="91"/>
  <c r="L21" i="91" s="1"/>
  <c r="F23" i="81"/>
  <c r="P23" i="81" s="1"/>
  <c r="BP24" i="29"/>
  <c r="F32" i="81"/>
  <c r="BP59" i="29"/>
  <c r="BP74" i="29"/>
  <c r="F47" i="81"/>
  <c r="F8" i="81"/>
  <c r="BP10" i="29"/>
  <c r="F24" i="81"/>
  <c r="BP31" i="29"/>
  <c r="BP43" i="29"/>
  <c r="BP58" i="29"/>
  <c r="F31" i="81"/>
  <c r="BP78" i="29"/>
  <c r="AB77" i="29"/>
  <c r="F51" i="81"/>
  <c r="F13" i="81"/>
  <c r="F73" i="81" s="1"/>
  <c r="BP16" i="29"/>
  <c r="D23" i="91"/>
  <c r="L23" i="91" s="1"/>
  <c r="BP28" i="29"/>
  <c r="F25" i="81"/>
  <c r="BP63" i="29"/>
  <c r="F36" i="81"/>
  <c r="F40" i="81"/>
  <c r="BP67" i="29"/>
  <c r="AB11" i="29"/>
  <c r="D19" i="91"/>
  <c r="BP27" i="29"/>
  <c r="BP39" i="29"/>
  <c r="BP51" i="29"/>
  <c r="BP79" i="29"/>
  <c r="F52" i="81"/>
  <c r="AI56" i="29"/>
  <c r="AI14" i="29"/>
  <c r="AM14" i="29"/>
  <c r="AM77" i="29"/>
  <c r="AM36" i="29"/>
  <c r="AQ77" i="29"/>
  <c r="AR56" i="29"/>
  <c r="AF83" i="29"/>
  <c r="AJ56" i="29"/>
  <c r="AJ36" i="29"/>
  <c r="AN70" i="29"/>
  <c r="AN14" i="29"/>
  <c r="AD14" i="29"/>
  <c r="AD56" i="29"/>
  <c r="AO36" i="29"/>
  <c r="AO11" i="29"/>
  <c r="AC77" i="29"/>
  <c r="AC36" i="29"/>
  <c r="AG11" i="29"/>
  <c r="AG56" i="29"/>
  <c r="AK77" i="29"/>
  <c r="AK36" i="29"/>
  <c r="AH14" i="29"/>
  <c r="AH56" i="29"/>
  <c r="AL77" i="29"/>
  <c r="AP36" i="29"/>
  <c r="AP56" i="29"/>
  <c r="E37" i="87"/>
  <c r="BP20" i="29"/>
  <c r="F17" i="81"/>
  <c r="F77" i="81" s="1"/>
  <c r="BP32" i="29"/>
  <c r="BP45" i="29"/>
  <c r="G27" i="87" s="1"/>
  <c r="G28" i="87" s="1"/>
  <c r="AB70" i="29"/>
  <c r="BP71" i="29"/>
  <c r="F44" i="81"/>
  <c r="F18" i="81"/>
  <c r="P18" i="81" s="1"/>
  <c r="BP21" i="29"/>
  <c r="BP40" i="29"/>
  <c r="BP52" i="29"/>
  <c r="F39" i="81"/>
  <c r="BP66" i="29"/>
  <c r="BP85" i="29"/>
  <c r="F58" i="81"/>
  <c r="BP25" i="29"/>
  <c r="AB36" i="29"/>
  <c r="F26" i="81"/>
  <c r="BP37" i="29"/>
  <c r="BP49" i="29"/>
  <c r="F48" i="81"/>
  <c r="BP75" i="29"/>
  <c r="BP17" i="29"/>
  <c r="F14" i="81"/>
  <c r="F74" i="81" s="1"/>
  <c r="BP35" i="29"/>
  <c r="BP48" i="29"/>
  <c r="F35" i="81"/>
  <c r="BP62" i="29"/>
  <c r="BP82" i="29"/>
  <c r="F55" i="81"/>
  <c r="AI36" i="29"/>
  <c r="AI83" i="29"/>
  <c r="AI70" i="29"/>
  <c r="AR70" i="29"/>
  <c r="AF77" i="29"/>
  <c r="AF11" i="29"/>
  <c r="AJ70" i="29"/>
  <c r="AJ14" i="29"/>
  <c r="AN11" i="29"/>
  <c r="AD36" i="29"/>
  <c r="AO77" i="29"/>
  <c r="AG77" i="29"/>
  <c r="AG36" i="29"/>
  <c r="BP8" i="29"/>
  <c r="F6" i="81"/>
  <c r="BP29" i="29"/>
  <c r="BP41" i="29"/>
  <c r="BP53" i="29"/>
  <c r="BP81" i="29"/>
  <c r="F54" i="81"/>
  <c r="F10" i="81"/>
  <c r="BP12" i="29"/>
  <c r="BP26" i="29"/>
  <c r="F21" i="81"/>
  <c r="F34" i="81"/>
  <c r="BP61" i="29"/>
  <c r="F49" i="81"/>
  <c r="BP76" i="29"/>
  <c r="AC33" i="98" a="1"/>
  <c r="AB14" i="29"/>
  <c r="BP15" i="29"/>
  <c r="F12" i="81"/>
  <c r="F72" i="81" s="1"/>
  <c r="BP33" i="29"/>
  <c r="BP46" i="29"/>
  <c r="F33" i="81"/>
  <c r="BP60" i="29"/>
  <c r="BP80" i="29"/>
  <c r="F53" i="81"/>
  <c r="F5" i="81"/>
  <c r="BP7" i="29"/>
  <c r="BP44" i="29"/>
  <c r="BP57" i="29"/>
  <c r="F30" i="81"/>
  <c r="AB56" i="29"/>
  <c r="BP72" i="29"/>
  <c r="F45" i="81"/>
  <c r="BP87" i="29"/>
  <c r="F60" i="81"/>
  <c r="AI11" i="29"/>
  <c r="AM11" i="29"/>
  <c r="AM70" i="29"/>
  <c r="AQ14" i="29"/>
  <c r="AQ11" i="29"/>
  <c r="AQ70" i="29"/>
  <c r="AQ56" i="29"/>
  <c r="AF36" i="29"/>
  <c r="AN77" i="29"/>
  <c r="AK14" i="29"/>
  <c r="AK70" i="29"/>
  <c r="H7" i="91"/>
  <c r="L7" i="91" s="1"/>
  <c r="AI10" i="90"/>
  <c r="K9" i="81"/>
  <c r="P3" i="81"/>
  <c r="AE11" i="29"/>
  <c r="AE56" i="29"/>
  <c r="AE14" i="29"/>
  <c r="AH11" i="29"/>
  <c r="AH83" i="29"/>
  <c r="AH36" i="29"/>
  <c r="AL70" i="29"/>
  <c r="AL14" i="29"/>
  <c r="AP11" i="29"/>
  <c r="AP83" i="29"/>
  <c r="F16" i="81"/>
  <c r="F76" i="81" s="1"/>
  <c r="BP19" i="29"/>
  <c r="BP38" i="29"/>
  <c r="BP50" i="29"/>
  <c r="BP64" i="29"/>
  <c r="F37" i="81"/>
  <c r="AB83" i="29"/>
  <c r="F57" i="81"/>
  <c r="BP84" i="29"/>
  <c r="BP22" i="29"/>
  <c r="F19" i="81"/>
  <c r="P19" i="81" s="1"/>
  <c r="BP34" i="29"/>
  <c r="BP47" i="29"/>
  <c r="BP73" i="29"/>
  <c r="F46" i="81"/>
  <c r="BP23" i="29"/>
  <c r="F20" i="81"/>
  <c r="P20" i="81" s="1"/>
  <c r="BP42" i="29"/>
  <c r="F27" i="81"/>
  <c r="BP54" i="29"/>
  <c r="F41" i="81"/>
  <c r="BP68" i="29"/>
  <c r="F59" i="81"/>
  <c r="BP86" i="29"/>
  <c r="F15" i="81"/>
  <c r="F75" i="81" s="1"/>
  <c r="BP18" i="29"/>
  <c r="F22" i="81"/>
  <c r="BP30" i="29"/>
  <c r="F38" i="81"/>
  <c r="BP65" i="29"/>
  <c r="F42" i="81"/>
  <c r="BP69" i="29"/>
  <c r="AI77" i="29"/>
  <c r="AM56" i="29"/>
  <c r="AQ83" i="29"/>
  <c r="AQ36" i="29"/>
  <c r="AR14" i="29"/>
  <c r="AR77" i="29"/>
  <c r="AF14" i="29"/>
  <c r="AF56" i="29"/>
  <c r="AJ77" i="29"/>
  <c r="AN56" i="29"/>
  <c r="AN36" i="29"/>
  <c r="AO56" i="29"/>
  <c r="AO14" i="29"/>
  <c r="AO83" i="29"/>
  <c r="AO70" i="29"/>
  <c r="AC11" i="29"/>
  <c r="AC56" i="29"/>
  <c r="AC14" i="29"/>
  <c r="AG14" i="29"/>
  <c r="AG83" i="29"/>
  <c r="AG70" i="29"/>
  <c r="AK11" i="29"/>
  <c r="AK56" i="29"/>
  <c r="AI48" i="90" l="1"/>
  <c r="AI52" i="90"/>
  <c r="AL17" i="90"/>
  <c r="AI54" i="90"/>
  <c r="AI55" i="90"/>
  <c r="AI53" i="90"/>
  <c r="L62" i="91"/>
  <c r="E18" i="99" s="1"/>
  <c r="AJ6" i="90"/>
  <c r="M11" i="81"/>
  <c r="J15" i="91" s="1"/>
  <c r="AK10" i="90"/>
  <c r="AK9" i="90" s="1"/>
  <c r="AD24" i="90"/>
  <c r="AL14" i="90"/>
  <c r="AC24" i="90"/>
  <c r="AL18" i="90"/>
  <c r="AD26" i="90" s="1"/>
  <c r="B28" i="91"/>
  <c r="AK3" i="90"/>
  <c r="AI69" i="90" s="1"/>
  <c r="AK8" i="90"/>
  <c r="AL69" i="90" s="1"/>
  <c r="AL70" i="90" s="1"/>
  <c r="G11" i="81"/>
  <c r="E15" i="91" s="1"/>
  <c r="B11" i="81"/>
  <c r="B15" i="91" s="1"/>
  <c r="AG18" i="87"/>
  <c r="J23" i="87" s="1"/>
  <c r="D23" i="89" s="1"/>
  <c r="C13" i="86"/>
  <c r="AC27" i="90"/>
  <c r="G15" i="91"/>
  <c r="AI9" i="90"/>
  <c r="AI36" i="90" s="1"/>
  <c r="AI15" i="90"/>
  <c r="E35" i="87"/>
  <c r="AK51" i="90"/>
  <c r="AL51" i="90" s="1"/>
  <c r="AJ50" i="90"/>
  <c r="AK50" i="90"/>
  <c r="AJ54" i="90"/>
  <c r="AJ48" i="90"/>
  <c r="AJ51" i="90"/>
  <c r="AJ55" i="90"/>
  <c r="AK52" i="90"/>
  <c r="AJ52" i="90"/>
  <c r="AK55" i="90"/>
  <c r="AL55" i="90" s="1"/>
  <c r="K15" i="82"/>
  <c r="AC47" i="82"/>
  <c r="AC52" i="82" s="1"/>
  <c r="AD52" i="82" s="1"/>
  <c r="AE52" i="82" s="1"/>
  <c r="G41" i="82"/>
  <c r="C15" i="91"/>
  <c r="I15" i="91"/>
  <c r="L19" i="91"/>
  <c r="AF55" i="29"/>
  <c r="AF13" i="29" s="1"/>
  <c r="AK55" i="29"/>
  <c r="AK13" i="29" s="1"/>
  <c r="AE55" i="29"/>
  <c r="AE13" i="29" s="1"/>
  <c r="AL55" i="29"/>
  <c r="AL13" i="29" s="1"/>
  <c r="AC55" i="29"/>
  <c r="AC13" i="29" s="1"/>
  <c r="AD55" i="29"/>
  <c r="AM55" i="29"/>
  <c r="AM13" i="29" s="1"/>
  <c r="AN55" i="29"/>
  <c r="AN13" i="29" s="1"/>
  <c r="AO55" i="29"/>
  <c r="AO13" i="29" s="1"/>
  <c r="D42" i="91"/>
  <c r="L42" i="91" s="1"/>
  <c r="P42" i="81"/>
  <c r="D22" i="91"/>
  <c r="L22" i="91" s="1"/>
  <c r="P22" i="81"/>
  <c r="D57" i="91"/>
  <c r="P57" i="81"/>
  <c r="F56" i="81"/>
  <c r="H13" i="91"/>
  <c r="D58" i="91"/>
  <c r="L58" i="91" s="1"/>
  <c r="P60" i="81"/>
  <c r="BP56" i="29"/>
  <c r="AB55" i="29"/>
  <c r="D16" i="91"/>
  <c r="L16" i="91" s="1"/>
  <c r="P12" i="81"/>
  <c r="E27" i="95"/>
  <c r="I27" i="95" s="1"/>
  <c r="AE42" i="98"/>
  <c r="AE77" i="98"/>
  <c r="AC76" i="98"/>
  <c r="AG69" i="98"/>
  <c r="AD47" i="98"/>
  <c r="AC73" i="98"/>
  <c r="AG43" i="98"/>
  <c r="AH41" i="98"/>
  <c r="AF58" i="98"/>
  <c r="AH79" i="98"/>
  <c r="AG33" i="98"/>
  <c r="AD76" i="98"/>
  <c r="AD43" i="98"/>
  <c r="AD73" i="98"/>
  <c r="AG75" i="98"/>
  <c r="AD37" i="98"/>
  <c r="AH51" i="98"/>
  <c r="AF78" i="98"/>
  <c r="AF75" i="98"/>
  <c r="AH34" i="98"/>
  <c r="AC82" i="98"/>
  <c r="AF74" i="98"/>
  <c r="AH47" i="98"/>
  <c r="AC79" i="98"/>
  <c r="AD84" i="98"/>
  <c r="AC74" i="98"/>
  <c r="AH73" i="98"/>
  <c r="AD78" i="98"/>
  <c r="AH40" i="98"/>
  <c r="AF47" i="98"/>
  <c r="AD83" i="98"/>
  <c r="AE71" i="98"/>
  <c r="AC60" i="98"/>
  <c r="AD77" i="98"/>
  <c r="AF71" i="98"/>
  <c r="AE40" i="98"/>
  <c r="AD44" i="98"/>
  <c r="AE79" i="98"/>
  <c r="AG78" i="98"/>
  <c r="AE52" i="98"/>
  <c r="AH53" i="98"/>
  <c r="AG76" i="98"/>
  <c r="AF77" i="98"/>
  <c r="AH35" i="98"/>
  <c r="AC41" i="98"/>
  <c r="AE76" i="98"/>
  <c r="AE74" i="98"/>
  <c r="AE39" i="98"/>
  <c r="AF82" i="98"/>
  <c r="AF50" i="98"/>
  <c r="AC37" i="98"/>
  <c r="AD49" i="98"/>
  <c r="AC45" i="98"/>
  <c r="AE73" i="98"/>
  <c r="AE45" i="98"/>
  <c r="AE51" i="98"/>
  <c r="AH78" i="98"/>
  <c r="AC39" i="98"/>
  <c r="AH57" i="98"/>
  <c r="AH65" i="98"/>
  <c r="AG42" i="98"/>
  <c r="AG51" i="98"/>
  <c r="AD66" i="98"/>
  <c r="AG77" i="98"/>
  <c r="AF56" i="98"/>
  <c r="AF39" i="98"/>
  <c r="AE37" i="98"/>
  <c r="AE63" i="98"/>
  <c r="AE41" i="98"/>
  <c r="AG47" i="98"/>
  <c r="AG83" i="98"/>
  <c r="AC33" i="98"/>
  <c r="AG61" i="98"/>
  <c r="AE78" i="98"/>
  <c r="AH59" i="98"/>
  <c r="AC81" i="98"/>
  <c r="AG50" i="98"/>
  <c r="AE48" i="98"/>
  <c r="AD53" i="98"/>
  <c r="AH36" i="98"/>
  <c r="AD69" i="98"/>
  <c r="AH39" i="98"/>
  <c r="AF81" i="98"/>
  <c r="AD58" i="98"/>
  <c r="AH75" i="98"/>
  <c r="AG80" i="98"/>
  <c r="AG41" i="98"/>
  <c r="AC51" i="98"/>
  <c r="AG79" i="98"/>
  <c r="AH74" i="98"/>
  <c r="AH46" i="98"/>
  <c r="AF52" i="98"/>
  <c r="AG52" i="98"/>
  <c r="AE84" i="98"/>
  <c r="AG72" i="98"/>
  <c r="AE62" i="98"/>
  <c r="AG36" i="98"/>
  <c r="AG49" i="98"/>
  <c r="AD59" i="98"/>
  <c r="AE72" i="98"/>
  <c r="AC58" i="98"/>
  <c r="AC62" i="98"/>
  <c r="AC64" i="98"/>
  <c r="AD72" i="98"/>
  <c r="AF64" i="98"/>
  <c r="AE64" i="98"/>
  <c r="AE70" i="98"/>
  <c r="AD57" i="98"/>
  <c r="AH58" i="98"/>
  <c r="AE43" i="98"/>
  <c r="AD50" i="98"/>
  <c r="AG66" i="98"/>
  <c r="AG53" i="98"/>
  <c r="AE34" i="98"/>
  <c r="AF70" i="98"/>
  <c r="AF62" i="98"/>
  <c r="AF72" i="98"/>
  <c r="AG64" i="98"/>
  <c r="AH45" i="98"/>
  <c r="AF46" i="98"/>
  <c r="AF48" i="98"/>
  <c r="AC36" i="98"/>
  <c r="AC46" i="98"/>
  <c r="AH42" i="98"/>
  <c r="AH66" i="98"/>
  <c r="AF38" i="98"/>
  <c r="AD71" i="98"/>
  <c r="AD38" i="98"/>
  <c r="AF53" i="98"/>
  <c r="AG34" i="98"/>
  <c r="AE47" i="98"/>
  <c r="AC77" i="98"/>
  <c r="AD35" i="98"/>
  <c r="AD75" i="98"/>
  <c r="AF43" i="98"/>
  <c r="AC43" i="98"/>
  <c r="AD82" i="98"/>
  <c r="AH38" i="98"/>
  <c r="AG84" i="98"/>
  <c r="AH83" i="98"/>
  <c r="AH76" i="98"/>
  <c r="AG44" i="98"/>
  <c r="AH43" i="98"/>
  <c r="AD46" i="98"/>
  <c r="AG48" i="98"/>
  <c r="AC75" i="98"/>
  <c r="AE33" i="98"/>
  <c r="AE67" i="98"/>
  <c r="AE82" i="98"/>
  <c r="AH33" i="98"/>
  <c r="AD41" i="98"/>
  <c r="AC42" i="98"/>
  <c r="AD55" i="98"/>
  <c r="AH67" i="98"/>
  <c r="AF68" i="98"/>
  <c r="AF49" i="98"/>
  <c r="AE50" i="98"/>
  <c r="AE56" i="98"/>
  <c r="AG38" i="98"/>
  <c r="AD36" i="98"/>
  <c r="AC70" i="98"/>
  <c r="AC40" i="98"/>
  <c r="AE80" i="98"/>
  <c r="AF59" i="98"/>
  <c r="AD61" i="98"/>
  <c r="AE58" i="98"/>
  <c r="AC71" i="98"/>
  <c r="AC53" i="98"/>
  <c r="AH60" i="98"/>
  <c r="AE59" i="98"/>
  <c r="AC72" i="98"/>
  <c r="AE57" i="98"/>
  <c r="AF63" i="98"/>
  <c r="AE38" i="98"/>
  <c r="AG63" i="98"/>
  <c r="AH50" i="98"/>
  <c r="AC55" i="98"/>
  <c r="AD81" i="98"/>
  <c r="AE53" i="98"/>
  <c r="AD63" i="98"/>
  <c r="AC44" i="98"/>
  <c r="AF44" i="98"/>
  <c r="AD65" i="98"/>
  <c r="AG73" i="98"/>
  <c r="AE54" i="98"/>
  <c r="AF69" i="98"/>
  <c r="AE75" i="98"/>
  <c r="AC84" i="98"/>
  <c r="AC47" i="98"/>
  <c r="AC34" i="98"/>
  <c r="AH44" i="98"/>
  <c r="AH61" i="98"/>
  <c r="AF76" i="98"/>
  <c r="AG74" i="98"/>
  <c r="AC83" i="98"/>
  <c r="AE46" i="98"/>
  <c r="AF54" i="98"/>
  <c r="AD39" i="98"/>
  <c r="AD52" i="98"/>
  <c r="AF36" i="98"/>
  <c r="AF34" i="98"/>
  <c r="AF80" i="98"/>
  <c r="AG54" i="98"/>
  <c r="AD54" i="98"/>
  <c r="AH37" i="98"/>
  <c r="AF55" i="98"/>
  <c r="AF35" i="98"/>
  <c r="AC69" i="98"/>
  <c r="AC52" i="98"/>
  <c r="AF61" i="98"/>
  <c r="AD64" i="98"/>
  <c r="AE36" i="98"/>
  <c r="AD56" i="98"/>
  <c r="AD33" i="98"/>
  <c r="AD79" i="98"/>
  <c r="AF67" i="98"/>
  <c r="AD34" i="98"/>
  <c r="AC57" i="98"/>
  <c r="AF33" i="98"/>
  <c r="AG82" i="98"/>
  <c r="AG59" i="98"/>
  <c r="AD60" i="98"/>
  <c r="AC66" i="98"/>
  <c r="AE65" i="98"/>
  <c r="AG70" i="98"/>
  <c r="AH62" i="98"/>
  <c r="AG56" i="98"/>
  <c r="AC61" i="98"/>
  <c r="AH69" i="98"/>
  <c r="AE68" i="98"/>
  <c r="AG60" i="98"/>
  <c r="AD48" i="98"/>
  <c r="AF51" i="98"/>
  <c r="AH48" i="98"/>
  <c r="AH64" i="98"/>
  <c r="AE44" i="98"/>
  <c r="AF79" i="98"/>
  <c r="AG62" i="98"/>
  <c r="AC68" i="98"/>
  <c r="AG65" i="98"/>
  <c r="AD45" i="98"/>
  <c r="AD62" i="98"/>
  <c r="AE66" i="98"/>
  <c r="AC48" i="98"/>
  <c r="AG68" i="98"/>
  <c r="AG71" i="98"/>
  <c r="AD42" i="98"/>
  <c r="AH63" i="98"/>
  <c r="AG46" i="98"/>
  <c r="AG39" i="98"/>
  <c r="AD80" i="98"/>
  <c r="AD74" i="98"/>
  <c r="AH80" i="98"/>
  <c r="AF73" i="98"/>
  <c r="AF40" i="98"/>
  <c r="AE69" i="98"/>
  <c r="AH84" i="98"/>
  <c r="AC50" i="98"/>
  <c r="AE81" i="98"/>
  <c r="AF45" i="98"/>
  <c r="AG67" i="98"/>
  <c r="AE55" i="98"/>
  <c r="AD51" i="98"/>
  <c r="AE49" i="98"/>
  <c r="AF41" i="98"/>
  <c r="AE35" i="98"/>
  <c r="AH49" i="98"/>
  <c r="AC38" i="98"/>
  <c r="AE83" i="98"/>
  <c r="AF83" i="98"/>
  <c r="AH54" i="98"/>
  <c r="AC78" i="98"/>
  <c r="AH77" i="98"/>
  <c r="AC54" i="98"/>
  <c r="AC80" i="98"/>
  <c r="AH82" i="98"/>
  <c r="AG81" i="98"/>
  <c r="AG45" i="98"/>
  <c r="AG37" i="98"/>
  <c r="AF66" i="98"/>
  <c r="AH55" i="98"/>
  <c r="AD68" i="98"/>
  <c r="AC56" i="98"/>
  <c r="AD40" i="98"/>
  <c r="AC59" i="98"/>
  <c r="AC49" i="98"/>
  <c r="AC65" i="98"/>
  <c r="AD67" i="98"/>
  <c r="AF65" i="98"/>
  <c r="AD70" i="98"/>
  <c r="AG57" i="98"/>
  <c r="AH68" i="98"/>
  <c r="AH56" i="98"/>
  <c r="AG58" i="98"/>
  <c r="AG40" i="98"/>
  <c r="AG55" i="98"/>
  <c r="AC67" i="98"/>
  <c r="AF42" i="98"/>
  <c r="AE61" i="98"/>
  <c r="AF57" i="98"/>
  <c r="AH72" i="98"/>
  <c r="AE60" i="98"/>
  <c r="AC63" i="98"/>
  <c r="AF60" i="98"/>
  <c r="AH71" i="98"/>
  <c r="AH52" i="98"/>
  <c r="AC35" i="98"/>
  <c r="AF37" i="98"/>
  <c r="AH81" i="98"/>
  <c r="AH70" i="98"/>
  <c r="AG35" i="98"/>
  <c r="AF84" i="98"/>
  <c r="D34" i="91"/>
  <c r="L34" i="91" s="1"/>
  <c r="P34" i="81"/>
  <c r="D14" i="91"/>
  <c r="L14" i="91" s="1"/>
  <c r="P10" i="81"/>
  <c r="P55" i="81"/>
  <c r="AO68" i="90" s="1"/>
  <c r="AO78" i="90" s="1"/>
  <c r="AJ68" i="90"/>
  <c r="D55" i="91"/>
  <c r="L55" i="91" s="1"/>
  <c r="P58" i="81"/>
  <c r="D59" i="91"/>
  <c r="L59" i="91" s="1"/>
  <c r="D45" i="91"/>
  <c r="P44" i="81"/>
  <c r="F43" i="81"/>
  <c r="AH55" i="29"/>
  <c r="AH13" i="29" s="1"/>
  <c r="AR55" i="29"/>
  <c r="AR13" i="29" s="1"/>
  <c r="AI55" i="29"/>
  <c r="AI13" i="29" s="1"/>
  <c r="D52" i="91"/>
  <c r="L52" i="91" s="1"/>
  <c r="P52" i="81"/>
  <c r="AJ67" i="90"/>
  <c r="BP77" i="29"/>
  <c r="D12" i="91"/>
  <c r="L12" i="91" s="1"/>
  <c r="P8" i="81"/>
  <c r="D32" i="91"/>
  <c r="L32" i="91" s="1"/>
  <c r="P32" i="81"/>
  <c r="D11" i="91"/>
  <c r="L11" i="91" s="1"/>
  <c r="P7" i="81"/>
  <c r="D60" i="91"/>
  <c r="L60" i="91" s="1"/>
  <c r="P59" i="81"/>
  <c r="D27" i="91"/>
  <c r="L27" i="91" s="1"/>
  <c r="P27" i="81"/>
  <c r="D46" i="91"/>
  <c r="L46" i="91" s="1"/>
  <c r="P46" i="81"/>
  <c r="BP83" i="29"/>
  <c r="AI13" i="90"/>
  <c r="AD16" i="90" s="1"/>
  <c r="AQ55" i="29"/>
  <c r="AQ13" i="29" s="1"/>
  <c r="F29" i="81"/>
  <c r="P30" i="81"/>
  <c r="D30" i="91"/>
  <c r="D9" i="91"/>
  <c r="L9" i="91" s="1"/>
  <c r="P5" i="81"/>
  <c r="D33" i="91"/>
  <c r="L33" i="91" s="1"/>
  <c r="P33" i="81"/>
  <c r="D20" i="91"/>
  <c r="L20" i="91" s="1"/>
  <c r="P21" i="81"/>
  <c r="D54" i="91"/>
  <c r="L54" i="91" s="1"/>
  <c r="P54" i="81"/>
  <c r="D26" i="91"/>
  <c r="L26" i="91" s="1"/>
  <c r="P26" i="81"/>
  <c r="P17" i="81"/>
  <c r="AJ55" i="29"/>
  <c r="AJ13" i="29" s="1"/>
  <c r="L25" i="91"/>
  <c r="P25" i="81"/>
  <c r="P13" i="81"/>
  <c r="D47" i="91"/>
  <c r="L47" i="91" s="1"/>
  <c r="P47" i="81"/>
  <c r="D38" i="91"/>
  <c r="L38" i="91" s="1"/>
  <c r="P38" i="81"/>
  <c r="P15" i="81"/>
  <c r="D37" i="91"/>
  <c r="L37" i="91" s="1"/>
  <c r="P37" i="81"/>
  <c r="AJ10" i="90"/>
  <c r="AJ9" i="90" s="1"/>
  <c r="K11" i="81"/>
  <c r="D44" i="91"/>
  <c r="L44" i="91" s="1"/>
  <c r="P45" i="81"/>
  <c r="D53" i="91"/>
  <c r="L53" i="91" s="1"/>
  <c r="P53" i="81"/>
  <c r="D49" i="91"/>
  <c r="L49" i="91" s="1"/>
  <c r="P49" i="81"/>
  <c r="D10" i="91"/>
  <c r="L10" i="91" s="1"/>
  <c r="P6" i="81"/>
  <c r="E28" i="95"/>
  <c r="I28" i="95" s="1"/>
  <c r="P14" i="81"/>
  <c r="D17" i="91"/>
  <c r="L17" i="91" s="1"/>
  <c r="D48" i="91"/>
  <c r="L48" i="91" s="1"/>
  <c r="P48" i="81"/>
  <c r="BP36" i="29"/>
  <c r="BP70" i="29"/>
  <c r="AP55" i="29"/>
  <c r="AP13" i="29" s="1"/>
  <c r="D40" i="91"/>
  <c r="L40" i="91" s="1"/>
  <c r="P40" i="81"/>
  <c r="D31" i="91"/>
  <c r="L31" i="91" s="1"/>
  <c r="P31" i="81"/>
  <c r="D24" i="91"/>
  <c r="L24" i="91" s="1"/>
  <c r="P24" i="81"/>
  <c r="D41" i="91"/>
  <c r="L41" i="91" s="1"/>
  <c r="P41" i="81"/>
  <c r="E29" i="95"/>
  <c r="I29" i="95" s="1"/>
  <c r="P16" i="81"/>
  <c r="D18" i="91"/>
  <c r="L18" i="91" s="1"/>
  <c r="BP14" i="29"/>
  <c r="D35" i="91"/>
  <c r="L35" i="91" s="1"/>
  <c r="P35" i="81"/>
  <c r="D39" i="91"/>
  <c r="L39" i="91" s="1"/>
  <c r="P39" i="81"/>
  <c r="AG55" i="29"/>
  <c r="AG13" i="29" s="1"/>
  <c r="D36" i="91"/>
  <c r="L36" i="91" s="1"/>
  <c r="P36" i="81"/>
  <c r="AJ66" i="90"/>
  <c r="D51" i="91"/>
  <c r="L51" i="91" s="1"/>
  <c r="F50" i="81"/>
  <c r="P50" i="81" s="1"/>
  <c r="P51" i="81"/>
  <c r="AO66" i="90" s="1"/>
  <c r="AJ49" i="90" l="1"/>
  <c r="AJ53" i="90"/>
  <c r="AK56" i="90"/>
  <c r="AL56" i="90" s="1"/>
  <c r="AJ56" i="90"/>
  <c r="AK54" i="90"/>
  <c r="AL54" i="90" s="1"/>
  <c r="AK53" i="90"/>
  <c r="AL53" i="90" s="1"/>
  <c r="AK49" i="90"/>
  <c r="AK48" i="90"/>
  <c r="AL48" i="90" s="1"/>
  <c r="AC26" i="90"/>
  <c r="AI40" i="90"/>
  <c r="AI41" i="90"/>
  <c r="AI35" i="90"/>
  <c r="AI42" i="90"/>
  <c r="AI43" i="90"/>
  <c r="AI38" i="90"/>
  <c r="AI37" i="90"/>
  <c r="AI39" i="90"/>
  <c r="G34" i="87"/>
  <c r="AC16" i="90"/>
  <c r="AA16" i="90" s="1"/>
  <c r="AD25" i="90"/>
  <c r="AF24" i="87"/>
  <c r="E36" i="87"/>
  <c r="AL49" i="90"/>
  <c r="AL50" i="90"/>
  <c r="AC25" i="90"/>
  <c r="AK57" i="90"/>
  <c r="AL52" i="90"/>
  <c r="AI14" i="90"/>
  <c r="AC53" i="82"/>
  <c r="AD53" i="82" s="1"/>
  <c r="AE53" i="82" s="1"/>
  <c r="AC51" i="82"/>
  <c r="AD51" i="82" s="1"/>
  <c r="AE51" i="82" s="1"/>
  <c r="AF14" i="82"/>
  <c r="K17" i="82"/>
  <c r="AF12" i="82"/>
  <c r="AF13" i="82"/>
  <c r="AF11" i="82"/>
  <c r="H15" i="91"/>
  <c r="AI16" i="90"/>
  <c r="AQ83" i="98"/>
  <c r="AS83" i="98" s="1"/>
  <c r="AQ63" i="98"/>
  <c r="AQ52" i="98"/>
  <c r="AU52" i="98" s="1"/>
  <c r="AV52" i="98" s="1"/>
  <c r="AW52" i="98" s="1"/>
  <c r="AQ50" i="98"/>
  <c r="AU50" i="98" s="1"/>
  <c r="AV50" i="98" s="1"/>
  <c r="AW50" i="98" s="1"/>
  <c r="AP66" i="90"/>
  <c r="AQ34" i="98"/>
  <c r="AS34" i="98" s="1"/>
  <c r="AQ36" i="98"/>
  <c r="AU36" i="98" s="1"/>
  <c r="AV36" i="98" s="1"/>
  <c r="AW36" i="98" s="1"/>
  <c r="AQ65" i="98"/>
  <c r="AQ56" i="98"/>
  <c r="AU56" i="98" s="1"/>
  <c r="AV56" i="98" s="1"/>
  <c r="AW56" i="98" s="1"/>
  <c r="AQ80" i="98"/>
  <c r="AU80" i="98" s="1"/>
  <c r="AV80" i="98" s="1"/>
  <c r="AW80" i="98" s="1"/>
  <c r="AQ68" i="98"/>
  <c r="AU68" i="98" s="1"/>
  <c r="AV68" i="98" s="1"/>
  <c r="AW68" i="98" s="1"/>
  <c r="AQ72" i="98"/>
  <c r="AQ71" i="98"/>
  <c r="AS71" i="98" s="1"/>
  <c r="AQ46" i="98"/>
  <c r="AU46" i="98" s="1"/>
  <c r="AV46" i="98" s="1"/>
  <c r="AW46" i="98" s="1"/>
  <c r="D50" i="91"/>
  <c r="L50" i="91" s="1"/>
  <c r="P29" i="81"/>
  <c r="AO67" i="90"/>
  <c r="D43" i="91"/>
  <c r="L43" i="91" s="1"/>
  <c r="L45" i="91"/>
  <c r="AJ78" i="90"/>
  <c r="AP78" i="90" s="1"/>
  <c r="AP68" i="90"/>
  <c r="AQ37" i="98"/>
  <c r="AQ78" i="98"/>
  <c r="AQ38" i="98"/>
  <c r="AQ74" i="98"/>
  <c r="AQ48" i="98"/>
  <c r="AQ61" i="98"/>
  <c r="AQ69" i="98"/>
  <c r="AQ84" i="98"/>
  <c r="AQ53" i="98"/>
  <c r="AQ42" i="98"/>
  <c r="AQ43" i="98"/>
  <c r="AQ77" i="98"/>
  <c r="AQ51" i="98"/>
  <c r="AQ81" i="98"/>
  <c r="AQ33" i="98"/>
  <c r="AQ79" i="98"/>
  <c r="AB13" i="29"/>
  <c r="BP55" i="29"/>
  <c r="AJ15" i="90"/>
  <c r="AJ64" i="90"/>
  <c r="F28" i="81"/>
  <c r="AQ35" i="98"/>
  <c r="AQ66" i="98"/>
  <c r="AQ64" i="98"/>
  <c r="P56" i="81"/>
  <c r="AI18" i="90"/>
  <c r="AD18" i="90" s="1"/>
  <c r="AJ65" i="90"/>
  <c r="P43" i="81"/>
  <c r="AO65" i="90" s="1"/>
  <c r="AQ49" i="98"/>
  <c r="AQ54" i="98"/>
  <c r="AQ57" i="98"/>
  <c r="AQ40" i="98"/>
  <c r="AQ75" i="98"/>
  <c r="AQ62" i="98"/>
  <c r="AQ39" i="98"/>
  <c r="AQ73" i="98"/>
  <c r="L57" i="91"/>
  <c r="D56" i="91"/>
  <c r="L56" i="91" s="1"/>
  <c r="D29" i="91"/>
  <c r="L29" i="91" s="1"/>
  <c r="L30" i="91"/>
  <c r="AQ67" i="98"/>
  <c r="AQ59" i="98"/>
  <c r="AQ76" i="98"/>
  <c r="AQ47" i="98"/>
  <c r="AQ44" i="98"/>
  <c r="AQ55" i="98"/>
  <c r="AQ70" i="98"/>
  <c r="AQ58" i="98"/>
  <c r="AQ45" i="98"/>
  <c r="AQ41" i="98"/>
  <c r="AQ60" i="98"/>
  <c r="AQ82" i="98"/>
  <c r="AI70" i="90"/>
  <c r="AK35" i="90" l="1"/>
  <c r="AL35" i="90" s="1"/>
  <c r="AJ35" i="90"/>
  <c r="AK40" i="90"/>
  <c r="AL40" i="90" s="1"/>
  <c r="AJ40" i="90"/>
  <c r="AK37" i="90"/>
  <c r="AL37" i="90" s="1"/>
  <c r="AJ37" i="90"/>
  <c r="AJ42" i="90"/>
  <c r="AJ43" i="90"/>
  <c r="AJ36" i="90"/>
  <c r="AJ38" i="90"/>
  <c r="AK41" i="90"/>
  <c r="AL41" i="90" s="1"/>
  <c r="AJ39" i="90"/>
  <c r="AK43" i="90"/>
  <c r="AL43" i="90" s="1"/>
  <c r="AK36" i="90"/>
  <c r="AL36" i="90" s="1"/>
  <c r="AK42" i="90"/>
  <c r="AL42" i="90" s="1"/>
  <c r="AK38" i="90"/>
  <c r="AL38" i="90" s="1"/>
  <c r="AK39" i="90"/>
  <c r="AL39" i="90" s="1"/>
  <c r="AJ41" i="90"/>
  <c r="AC24" i="87"/>
  <c r="F33" i="87" s="1"/>
  <c r="AD24" i="87"/>
  <c r="AC18" i="90"/>
  <c r="AF16" i="82"/>
  <c r="K25" i="82" s="1"/>
  <c r="D21" i="89" s="1"/>
  <c r="AA26" i="90"/>
  <c r="C11" i="86"/>
  <c r="AU83" i="98"/>
  <c r="AV83" i="98" s="1"/>
  <c r="AW83" i="98" s="1"/>
  <c r="D14" i="99"/>
  <c r="AS36" i="98"/>
  <c r="AS50" i="98"/>
  <c r="AS68" i="98"/>
  <c r="AS52" i="98"/>
  <c r="AS80" i="98"/>
  <c r="AU63" i="98"/>
  <c r="AV63" i="98" s="1"/>
  <c r="AW63" i="98" s="1"/>
  <c r="AS63" i="98"/>
  <c r="AS72" i="98"/>
  <c r="AU34" i="98"/>
  <c r="AV34" i="98" s="1"/>
  <c r="AW34" i="98" s="1"/>
  <c r="AU71" i="98"/>
  <c r="AV71" i="98" s="1"/>
  <c r="AW71" i="98" s="1"/>
  <c r="AS56" i="98"/>
  <c r="AU65" i="98"/>
  <c r="AV65" i="98" s="1"/>
  <c r="AW65" i="98" s="1"/>
  <c r="AU72" i="98"/>
  <c r="AV72" i="98" s="1"/>
  <c r="AW72" i="98" s="1"/>
  <c r="AS65" i="98"/>
  <c r="AS46" i="98"/>
  <c r="AP65" i="90"/>
  <c r="AU82" i="98"/>
  <c r="AV82" i="98" s="1"/>
  <c r="AW82" i="98" s="1"/>
  <c r="AS82" i="98"/>
  <c r="AS41" i="98"/>
  <c r="AU41" i="98"/>
  <c r="AV41" i="98" s="1"/>
  <c r="AW41" i="98" s="1"/>
  <c r="AU55" i="98"/>
  <c r="AV55" i="98" s="1"/>
  <c r="AW55" i="98" s="1"/>
  <c r="AS55" i="98"/>
  <c r="AS59" i="98"/>
  <c r="AU59" i="98"/>
  <c r="AV59" i="98" s="1"/>
  <c r="AW59" i="98" s="1"/>
  <c r="AS73" i="98"/>
  <c r="AU73" i="98"/>
  <c r="AV73" i="98" s="1"/>
  <c r="AW73" i="98" s="1"/>
  <c r="AS54" i="98"/>
  <c r="AU54" i="98"/>
  <c r="AV54" i="98" s="1"/>
  <c r="AW54" i="98" s="1"/>
  <c r="AU33" i="98"/>
  <c r="AV33" i="98" s="1"/>
  <c r="AW33" i="98" s="1"/>
  <c r="AX33" i="98" s="1"/>
  <c r="AS33" i="98"/>
  <c r="AT33" i="98" s="1"/>
  <c r="AT34" i="98" s="1"/>
  <c r="AS43" i="98"/>
  <c r="AU43" i="98"/>
  <c r="AV43" i="98" s="1"/>
  <c r="AW43" i="98" s="1"/>
  <c r="AU69" i="98"/>
  <c r="AV69" i="98" s="1"/>
  <c r="AW69" i="98" s="1"/>
  <c r="AS69" i="98"/>
  <c r="AS38" i="98"/>
  <c r="AU38" i="98"/>
  <c r="AV38" i="98" s="1"/>
  <c r="AW38" i="98" s="1"/>
  <c r="AO64" i="90"/>
  <c r="AP64" i="90" s="1"/>
  <c r="P28" i="81"/>
  <c r="AS45" i="98"/>
  <c r="AU45" i="98"/>
  <c r="AV45" i="98" s="1"/>
  <c r="AW45" i="98" s="1"/>
  <c r="AU44" i="98"/>
  <c r="AV44" i="98" s="1"/>
  <c r="AW44" i="98" s="1"/>
  <c r="AS44" i="98"/>
  <c r="AU67" i="98"/>
  <c r="AV67" i="98" s="1"/>
  <c r="AW67" i="98" s="1"/>
  <c r="AS67" i="98"/>
  <c r="AS39" i="98"/>
  <c r="AU39" i="98"/>
  <c r="AV39" i="98" s="1"/>
  <c r="AW39" i="98" s="1"/>
  <c r="AU75" i="98"/>
  <c r="AV75" i="98" s="1"/>
  <c r="AW75" i="98" s="1"/>
  <c r="AS75" i="98"/>
  <c r="AU57" i="98"/>
  <c r="AV57" i="98" s="1"/>
  <c r="AW57" i="98" s="1"/>
  <c r="AS57" i="98"/>
  <c r="AS49" i="98"/>
  <c r="AU49" i="98"/>
  <c r="AV49" i="98" s="1"/>
  <c r="AW49" i="98" s="1"/>
  <c r="AS81" i="98"/>
  <c r="AU81" i="98"/>
  <c r="AV81" i="98" s="1"/>
  <c r="AW81" i="98" s="1"/>
  <c r="AU42" i="98"/>
  <c r="AV42" i="98" s="1"/>
  <c r="AW42" i="98" s="1"/>
  <c r="AS42" i="98"/>
  <c r="AS61" i="98"/>
  <c r="AU61" i="98"/>
  <c r="AV61" i="98" s="1"/>
  <c r="AW61" i="98" s="1"/>
  <c r="AS78" i="98"/>
  <c r="AU78" i="98"/>
  <c r="AV78" i="98" s="1"/>
  <c r="AW78" i="98" s="1"/>
  <c r="AS47" i="98"/>
  <c r="AU47" i="98"/>
  <c r="AV47" i="98" s="1"/>
  <c r="AW47" i="98" s="1"/>
  <c r="AS40" i="98"/>
  <c r="AU40" i="98"/>
  <c r="AV40" i="98" s="1"/>
  <c r="AW40" i="98" s="1"/>
  <c r="AU51" i="98"/>
  <c r="AV51" i="98" s="1"/>
  <c r="AW51" i="98" s="1"/>
  <c r="AS51" i="98"/>
  <c r="AS53" i="98"/>
  <c r="AU53" i="98"/>
  <c r="AV53" i="98" s="1"/>
  <c r="AW53" i="98" s="1"/>
  <c r="AS48" i="98"/>
  <c r="AU48" i="98"/>
  <c r="AV48" i="98" s="1"/>
  <c r="AW48" i="98" s="1"/>
  <c r="AS37" i="98"/>
  <c r="AU37" i="98"/>
  <c r="AV37" i="98" s="1"/>
  <c r="AW37" i="98" s="1"/>
  <c r="AU58" i="98"/>
  <c r="AV58" i="98" s="1"/>
  <c r="AW58" i="98" s="1"/>
  <c r="AS58" i="98"/>
  <c r="AU62" i="98"/>
  <c r="AV62" i="98" s="1"/>
  <c r="AW62" i="98" s="1"/>
  <c r="AS62" i="98"/>
  <c r="AU35" i="98"/>
  <c r="AV35" i="98" s="1"/>
  <c r="AW35" i="98" s="1"/>
  <c r="AS35" i="98"/>
  <c r="AU60" i="98"/>
  <c r="AV60" i="98" s="1"/>
  <c r="AW60" i="98" s="1"/>
  <c r="AS60" i="98"/>
  <c r="AU70" i="98"/>
  <c r="AV70" i="98" s="1"/>
  <c r="AW70" i="98" s="1"/>
  <c r="AS70" i="98"/>
  <c r="AU76" i="98"/>
  <c r="AV76" i="98" s="1"/>
  <c r="AW76" i="98" s="1"/>
  <c r="AS76" i="98"/>
  <c r="D28" i="91"/>
  <c r="L28" i="91" s="1"/>
  <c r="E16" i="99" s="1"/>
  <c r="D16" i="99" s="1"/>
  <c r="AE45" i="89"/>
  <c r="AS64" i="98"/>
  <c r="AU64" i="98"/>
  <c r="AV64" i="98" s="1"/>
  <c r="AW64" i="98" s="1"/>
  <c r="AS66" i="98"/>
  <c r="AU66" i="98"/>
  <c r="AV66" i="98" s="1"/>
  <c r="AW66" i="98" s="1"/>
  <c r="AK4" i="90"/>
  <c r="AS79" i="98"/>
  <c r="AU79" i="98"/>
  <c r="AV79" i="98" s="1"/>
  <c r="AW79" i="98" s="1"/>
  <c r="AS77" i="98"/>
  <c r="AU77" i="98"/>
  <c r="AV77" i="98" s="1"/>
  <c r="AW77" i="98" s="1"/>
  <c r="AU84" i="98"/>
  <c r="AV84" i="98" s="1"/>
  <c r="AW84" i="98" s="1"/>
  <c r="AS84" i="98"/>
  <c r="AU74" i="98"/>
  <c r="AV74" i="98" s="1"/>
  <c r="AW74" i="98" s="1"/>
  <c r="AS74" i="98"/>
  <c r="AP67" i="90"/>
  <c r="AD17" i="90" l="1"/>
  <c r="AK44" i="90"/>
  <c r="D15" i="99"/>
  <c r="AX34" i="98"/>
  <c r="AX35" i="98" s="1"/>
  <c r="AX36" i="98" s="1"/>
  <c r="AX37" i="98" s="1"/>
  <c r="AX38" i="98" s="1"/>
  <c r="AX39" i="98" s="1"/>
  <c r="AX40" i="98" s="1"/>
  <c r="AX41" i="98" s="1"/>
  <c r="AX42" i="98" s="1"/>
  <c r="AX43" i="98" s="1"/>
  <c r="AX44" i="98" s="1"/>
  <c r="AX45" i="98" s="1"/>
  <c r="AX46" i="98" s="1"/>
  <c r="AX47" i="98" s="1"/>
  <c r="AX48" i="98" s="1"/>
  <c r="AX49" i="98" s="1"/>
  <c r="AX50" i="98" s="1"/>
  <c r="AX51" i="98" s="1"/>
  <c r="AX52" i="98" s="1"/>
  <c r="AX53" i="98" s="1"/>
  <c r="AX54" i="98" s="1"/>
  <c r="AX55" i="98" s="1"/>
  <c r="AX56" i="98" s="1"/>
  <c r="AX57" i="98" s="1"/>
  <c r="AX58" i="98" s="1"/>
  <c r="AX59" i="98" s="1"/>
  <c r="AX60" i="98" s="1"/>
  <c r="AX61" i="98" s="1"/>
  <c r="AX62" i="98" s="1"/>
  <c r="AX63" i="98" s="1"/>
  <c r="AX64" i="98" s="1"/>
  <c r="AX65" i="98" s="1"/>
  <c r="AX66" i="98" s="1"/>
  <c r="AX67" i="98" s="1"/>
  <c r="AX68" i="98" s="1"/>
  <c r="AX69" i="98" s="1"/>
  <c r="AX70" i="98" s="1"/>
  <c r="AX71" i="98" s="1"/>
  <c r="AX72" i="98" s="1"/>
  <c r="AX73" i="98" s="1"/>
  <c r="AX74" i="98" s="1"/>
  <c r="AX75" i="98" s="1"/>
  <c r="AX76" i="98" s="1"/>
  <c r="AX77" i="98" s="1"/>
  <c r="AX78" i="98" s="1"/>
  <c r="AX79" i="98" s="1"/>
  <c r="AX80" i="98" s="1"/>
  <c r="AX81" i="98" s="1"/>
  <c r="AX82" i="98" s="1"/>
  <c r="AX83" i="98" s="1"/>
  <c r="AX84" i="98" s="1"/>
  <c r="AQ77" i="90"/>
  <c r="AO69" i="90"/>
  <c r="AO70" i="90" s="1"/>
  <c r="AK13" i="90"/>
  <c r="AQ75" i="90"/>
  <c r="AQ74" i="90"/>
  <c r="AQ76" i="90"/>
  <c r="AJ69" i="90"/>
  <c r="AT35" i="98"/>
  <c r="AT36" i="98" s="1"/>
  <c r="AT37" i="98" s="1"/>
  <c r="AT38" i="98" s="1"/>
  <c r="AT39" i="98" s="1"/>
  <c r="AT40" i="98" s="1"/>
  <c r="AT41" i="98" s="1"/>
  <c r="AT42" i="98" s="1"/>
  <c r="AT43" i="98" s="1"/>
  <c r="AT44" i="98" s="1"/>
  <c r="AT45" i="98" s="1"/>
  <c r="AT46" i="98" s="1"/>
  <c r="AT47" i="98" s="1"/>
  <c r="AT48" i="98" s="1"/>
  <c r="AT49" i="98" s="1"/>
  <c r="AT50" i="98" s="1"/>
  <c r="AT51" i="98" s="1"/>
  <c r="AT52" i="98" s="1"/>
  <c r="AT53" i="98" s="1"/>
  <c r="AT54" i="98" s="1"/>
  <c r="AT55" i="98" s="1"/>
  <c r="AT56" i="98" s="1"/>
  <c r="AT57" i="98" s="1"/>
  <c r="AT58" i="98" s="1"/>
  <c r="AT59" i="98" s="1"/>
  <c r="AT60" i="98" s="1"/>
  <c r="AT61" i="98" s="1"/>
  <c r="AT62" i="98" s="1"/>
  <c r="AT63" i="98" s="1"/>
  <c r="AT64" i="98" s="1"/>
  <c r="AT65" i="98" s="1"/>
  <c r="AT66" i="98" s="1"/>
  <c r="AT67" i="98" s="1"/>
  <c r="AT68" i="98" s="1"/>
  <c r="AT69" i="98" s="1"/>
  <c r="AT70" i="98" s="1"/>
  <c r="AT71" i="98" s="1"/>
  <c r="AT72" i="98" s="1"/>
  <c r="AT73" i="98" s="1"/>
  <c r="AT74" i="98" s="1"/>
  <c r="AT75" i="98" s="1"/>
  <c r="AT76" i="98" s="1"/>
  <c r="AT77" i="98" s="1"/>
  <c r="AT78" i="98" s="1"/>
  <c r="AT79" i="98" s="1"/>
  <c r="AT80" i="98" s="1"/>
  <c r="AT81" i="98" s="1"/>
  <c r="AT82" i="98" s="1"/>
  <c r="AT83" i="98" s="1"/>
  <c r="AT84" i="98" s="1"/>
  <c r="AT32" i="98" s="1"/>
  <c r="AD33" i="90" l="1"/>
  <c r="AA24" i="90"/>
  <c r="AI2" i="90"/>
  <c r="AA27" i="90"/>
  <c r="AQ64" i="90"/>
  <c r="AC33" i="90"/>
  <c r="AK14" i="90"/>
  <c r="AX32" i="98"/>
  <c r="B62" i="98" s="1"/>
  <c r="A15" i="98"/>
  <c r="A13" i="98"/>
  <c r="A29" i="98"/>
  <c r="A27" i="98"/>
  <c r="A20" i="98"/>
  <c r="A28" i="98"/>
  <c r="A24" i="98"/>
  <c r="A26" i="98"/>
  <c r="A14" i="98"/>
  <c r="A18" i="98"/>
  <c r="A19" i="98"/>
  <c r="A32" i="98"/>
  <c r="A17" i="98"/>
  <c r="A31" i="98"/>
  <c r="A21" i="98"/>
  <c r="A30" i="98"/>
  <c r="A23" i="98"/>
  <c r="A16" i="98"/>
  <c r="A25" i="98"/>
  <c r="A22" i="98"/>
  <c r="AJ70" i="90"/>
  <c r="AP69" i="90"/>
  <c r="AK76" i="90"/>
  <c r="AI74" i="90"/>
  <c r="AI77" i="90"/>
  <c r="AH76" i="90"/>
  <c r="AJ77" i="90"/>
  <c r="AM74" i="90"/>
  <c r="AO74" i="90"/>
  <c r="AH75" i="90"/>
  <c r="AH77" i="90"/>
  <c r="AJ74" i="90"/>
  <c r="AI75" i="90"/>
  <c r="AL76" i="90"/>
  <c r="AN76" i="90"/>
  <c r="AJ76" i="90"/>
  <c r="AK74" i="90"/>
  <c r="AJ75" i="90"/>
  <c r="AH74" i="90"/>
  <c r="AO76" i="90"/>
  <c r="AM76" i="90"/>
  <c r="AK75" i="90"/>
  <c r="AL74" i="90"/>
  <c r="AN74" i="90"/>
  <c r="AO77" i="90"/>
  <c r="AK77" i="90"/>
  <c r="AN75" i="90"/>
  <c r="AN77" i="90"/>
  <c r="AI76" i="90"/>
  <c r="AO75" i="90"/>
  <c r="AM75" i="90"/>
  <c r="AL75" i="90"/>
  <c r="AL77" i="90"/>
  <c r="AM77" i="90"/>
  <c r="AF61" i="89"/>
  <c r="AF81" i="89"/>
  <c r="AF86" i="89"/>
  <c r="AF91" i="89"/>
  <c r="AF53" i="89"/>
  <c r="AH53" i="89" s="1"/>
  <c r="AF63" i="89"/>
  <c r="AF65" i="89"/>
  <c r="AF107" i="89"/>
  <c r="AH107" i="89" s="1"/>
  <c r="AF74" i="89"/>
  <c r="AF50" i="89"/>
  <c r="AF66" i="89"/>
  <c r="AF99" i="89"/>
  <c r="AF67" i="89"/>
  <c r="AF48" i="89"/>
  <c r="AF47" i="89"/>
  <c r="AF60" i="89"/>
  <c r="AH60" i="89" s="1"/>
  <c r="AF92" i="89"/>
  <c r="AF85" i="89"/>
  <c r="AF55" i="89"/>
  <c r="AF108" i="89"/>
  <c r="AH108" i="89" s="1"/>
  <c r="AF79" i="89"/>
  <c r="AF95" i="89"/>
  <c r="AF93" i="89"/>
  <c r="AH93" i="89" s="1"/>
  <c r="AF100" i="89"/>
  <c r="AF52" i="89"/>
  <c r="AF62" i="89"/>
  <c r="AF77" i="89"/>
  <c r="AF106" i="89"/>
  <c r="AH106" i="89" s="1"/>
  <c r="AF73" i="89"/>
  <c r="AF59" i="89"/>
  <c r="AH59" i="89" s="1"/>
  <c r="AF105" i="89"/>
  <c r="AH105" i="89" s="1"/>
  <c r="AF104" i="89"/>
  <c r="AF58" i="89"/>
  <c r="AF51" i="89"/>
  <c r="AH51" i="89" s="1"/>
  <c r="AF96" i="89"/>
  <c r="AH96" i="89" s="1"/>
  <c r="AF98" i="89"/>
  <c r="AF83" i="89"/>
  <c r="AF80" i="89"/>
  <c r="AF88" i="89"/>
  <c r="AF46" i="89"/>
  <c r="AF97" i="89"/>
  <c r="AF68" i="89"/>
  <c r="AF101" i="89"/>
  <c r="AF75" i="89"/>
  <c r="AF70" i="89"/>
  <c r="AF69" i="89"/>
  <c r="AF89" i="89"/>
  <c r="AF57" i="89"/>
  <c r="AF56" i="89"/>
  <c r="AF78" i="89"/>
  <c r="AF90" i="89"/>
  <c r="AF76" i="89"/>
  <c r="AF72" i="89"/>
  <c r="AF82" i="89"/>
  <c r="AF87" i="89"/>
  <c r="AF94" i="89"/>
  <c r="AF64" i="89"/>
  <c r="AF84" i="89"/>
  <c r="AF103" i="89"/>
  <c r="AH103" i="89" s="1"/>
  <c r="AF54" i="89"/>
  <c r="AF71" i="89"/>
  <c r="AF49" i="89"/>
  <c r="AF102" i="89"/>
  <c r="AQ65" i="90"/>
  <c r="AQ66" i="90"/>
  <c r="AQ68" i="90"/>
  <c r="AQ67" i="90"/>
  <c r="B27" i="98"/>
  <c r="AH101" i="89" l="1"/>
  <c r="AH98" i="89"/>
  <c r="AH99" i="89"/>
  <c r="AH104" i="89"/>
  <c r="AH70" i="89"/>
  <c r="AH95" i="89"/>
  <c r="AH63" i="89"/>
  <c r="AH74" i="89"/>
  <c r="AH56" i="89"/>
  <c r="AH67" i="89"/>
  <c r="AH68" i="89"/>
  <c r="AH83" i="89"/>
  <c r="AH73" i="89"/>
  <c r="AH79" i="89"/>
  <c r="AH58" i="89"/>
  <c r="AH49" i="89"/>
  <c r="AH47" i="89"/>
  <c r="AH66" i="89"/>
  <c r="AH65" i="89"/>
  <c r="AH76" i="89"/>
  <c r="AH69" i="89"/>
  <c r="AH62" i="89"/>
  <c r="AH61" i="89"/>
  <c r="AH85" i="89"/>
  <c r="AH64" i="89"/>
  <c r="AH80" i="89"/>
  <c r="AH94" i="89"/>
  <c r="AH92" i="89"/>
  <c r="AH84" i="89"/>
  <c r="AH82" i="89"/>
  <c r="AH78" i="89"/>
  <c r="AH71" i="89"/>
  <c r="AH72" i="89"/>
  <c r="AH81" i="89"/>
  <c r="AH77" i="89"/>
  <c r="AH75" i="89"/>
  <c r="AH102" i="89"/>
  <c r="AH97" i="89"/>
  <c r="AH87" i="89"/>
  <c r="AH90" i="89"/>
  <c r="AH89" i="89"/>
  <c r="AH88" i="89"/>
  <c r="AH100" i="89"/>
  <c r="AH91" i="89"/>
  <c r="AH86" i="89"/>
  <c r="AH48" i="89"/>
  <c r="AH50" i="89"/>
  <c r="AH55" i="89"/>
  <c r="AH46" i="89"/>
  <c r="AH110" i="89"/>
  <c r="AH109" i="89"/>
  <c r="AD36" i="90"/>
  <c r="AD34" i="90"/>
  <c r="AC34" i="90"/>
  <c r="A65" i="98"/>
  <c r="C65" i="98" s="1"/>
  <c r="AH57" i="89"/>
  <c r="AH54" i="89"/>
  <c r="AA33" i="90"/>
  <c r="AH52" i="89"/>
  <c r="AG103" i="89"/>
  <c r="AG104" i="89"/>
  <c r="AG106" i="89"/>
  <c r="AG60" i="89"/>
  <c r="AG99" i="89"/>
  <c r="AG107" i="89"/>
  <c r="AG89" i="89"/>
  <c r="AG101" i="89"/>
  <c r="AG88" i="89"/>
  <c r="AG96" i="89"/>
  <c r="AG102" i="89"/>
  <c r="AG87" i="89"/>
  <c r="AG105" i="89"/>
  <c r="AG98" i="89"/>
  <c r="AG90" i="89"/>
  <c r="AG100" i="89"/>
  <c r="AG108" i="89"/>
  <c r="AG91" i="89"/>
  <c r="AG49" i="89"/>
  <c r="AG94" i="89"/>
  <c r="AG78" i="89"/>
  <c r="AG71" i="89"/>
  <c r="AG64" i="89"/>
  <c r="AG56" i="89"/>
  <c r="AG70" i="89"/>
  <c r="AG97" i="89"/>
  <c r="AG83" i="89"/>
  <c r="AG58" i="89"/>
  <c r="AG73" i="89"/>
  <c r="AG77" i="89"/>
  <c r="AG52" i="89"/>
  <c r="AG93" i="89"/>
  <c r="AG79" i="89"/>
  <c r="AG55" i="89"/>
  <c r="AG92" i="89"/>
  <c r="AG47" i="89"/>
  <c r="AG67" i="89"/>
  <c r="AG66" i="89"/>
  <c r="AG74" i="89"/>
  <c r="AG65" i="89"/>
  <c r="AG53" i="89"/>
  <c r="AG86" i="89"/>
  <c r="AG61" i="89"/>
  <c r="AG84" i="89"/>
  <c r="AG76" i="89"/>
  <c r="AG46" i="89"/>
  <c r="AG69" i="89"/>
  <c r="AG75" i="89"/>
  <c r="AG68" i="89"/>
  <c r="AG80" i="89"/>
  <c r="AG51" i="89"/>
  <c r="AG54" i="89"/>
  <c r="AG82" i="89"/>
  <c r="AG57" i="89"/>
  <c r="AG72" i="89"/>
  <c r="AG59" i="89"/>
  <c r="AG62" i="89"/>
  <c r="AG95" i="89"/>
  <c r="AG85" i="89"/>
  <c r="AG48" i="89"/>
  <c r="AG50" i="89"/>
  <c r="AG63" i="89"/>
  <c r="AG81" i="89"/>
  <c r="A63" i="98"/>
  <c r="C63" i="98" s="1"/>
  <c r="AC36" i="90"/>
  <c r="AC17" i="90"/>
  <c r="AA18" i="90" s="1"/>
  <c r="A66" i="98"/>
  <c r="C66" i="98" s="1"/>
  <c r="AB8" i="89"/>
  <c r="D26" i="89" s="1"/>
  <c r="A64" i="98"/>
  <c r="C64" i="98" s="1"/>
  <c r="AL79" i="90"/>
  <c r="AL80" i="90" s="1"/>
  <c r="AP77" i="90"/>
  <c r="AP76" i="90"/>
  <c r="B55" i="98"/>
  <c r="AN79" i="90"/>
  <c r="AN80" i="90" s="1"/>
  <c r="AJ79" i="90"/>
  <c r="AJ80" i="90" s="1"/>
  <c r="AM79" i="90"/>
  <c r="AM80" i="90" s="1"/>
  <c r="AI79" i="90"/>
  <c r="AI80" i="90" s="1"/>
  <c r="A50" i="98"/>
  <c r="C22" i="98"/>
  <c r="A58" i="98"/>
  <c r="C58" i="98" s="1"/>
  <c r="C30" i="98"/>
  <c r="A60" i="98"/>
  <c r="C60" i="98" s="1"/>
  <c r="C32" i="98"/>
  <c r="C26" i="98"/>
  <c r="A54" i="98"/>
  <c r="A55" i="98"/>
  <c r="C27" i="98"/>
  <c r="AH83" i="90" a="1"/>
  <c r="AP74" i="90"/>
  <c r="A53" i="98"/>
  <c r="C25" i="98"/>
  <c r="C21" i="98"/>
  <c r="A49" i="98"/>
  <c r="A47" i="98"/>
  <c r="C19" i="98"/>
  <c r="C24" i="98"/>
  <c r="A52" i="98"/>
  <c r="C29" i="98"/>
  <c r="A57" i="98"/>
  <c r="C57" i="98" s="1"/>
  <c r="AP75" i="90"/>
  <c r="A44" i="98"/>
  <c r="C16" i="98"/>
  <c r="A59" i="98"/>
  <c r="C59" i="98" s="1"/>
  <c r="C31" i="98"/>
  <c r="C18" i="98"/>
  <c r="A46" i="98"/>
  <c r="C28" i="98"/>
  <c r="A56" i="98"/>
  <c r="C56" i="98" s="1"/>
  <c r="A41" i="98"/>
  <c r="C13" i="98"/>
  <c r="AK79" i="90"/>
  <c r="AK80" i="90" s="1"/>
  <c r="AO79" i="90"/>
  <c r="AO80" i="90" s="1"/>
  <c r="A51" i="98"/>
  <c r="C23" i="98"/>
  <c r="C17" i="98"/>
  <c r="A45" i="98"/>
  <c r="A42" i="98"/>
  <c r="C14" i="98"/>
  <c r="A48" i="98"/>
  <c r="C20" i="98"/>
  <c r="C15" i="98"/>
  <c r="A43" i="98"/>
  <c r="B32" i="98"/>
  <c r="B22" i="98"/>
  <c r="B30" i="98"/>
  <c r="B31" i="98"/>
  <c r="B28" i="98"/>
  <c r="B13" i="98"/>
  <c r="B16" i="98"/>
  <c r="B20" i="98"/>
  <c r="B29" i="98"/>
  <c r="B63" i="98"/>
  <c r="B66" i="98"/>
  <c r="B19" i="98"/>
  <c r="B24" i="98"/>
  <c r="B23" i="98"/>
  <c r="B17" i="98"/>
  <c r="B65" i="98"/>
  <c r="B21" i="98"/>
  <c r="B64" i="98"/>
  <c r="B18" i="98"/>
  <c r="B14" i="98"/>
  <c r="B26" i="98"/>
  <c r="B25" i="98"/>
  <c r="B15" i="98"/>
  <c r="AI51" i="89" l="1"/>
  <c r="AI49" i="89"/>
  <c r="AI50" i="89"/>
  <c r="AI48" i="89"/>
  <c r="AI46" i="89"/>
  <c r="AI47" i="89"/>
  <c r="AI52" i="89"/>
  <c r="AI70" i="89"/>
  <c r="AI93" i="89"/>
  <c r="AA34" i="90"/>
  <c r="B58" i="98"/>
  <c r="B59" i="98"/>
  <c r="B60" i="98"/>
  <c r="B56" i="98"/>
  <c r="B57" i="98"/>
  <c r="AI72" i="89"/>
  <c r="AI69" i="89"/>
  <c r="AI88" i="89"/>
  <c r="AI100" i="89"/>
  <c r="AI62" i="89"/>
  <c r="AI55" i="89"/>
  <c r="AI82" i="89"/>
  <c r="AA17" i="90"/>
  <c r="AA25" i="90"/>
  <c r="A20" i="90" s="1"/>
  <c r="AI83" i="89"/>
  <c r="AI80" i="89"/>
  <c r="AI108" i="89"/>
  <c r="AI54" i="89"/>
  <c r="AI71" i="89"/>
  <c r="AI63" i="89"/>
  <c r="AI59" i="89"/>
  <c r="AI86" i="89"/>
  <c r="AI91" i="89"/>
  <c r="AI101" i="89"/>
  <c r="AI95" i="89"/>
  <c r="AI97" i="89"/>
  <c r="AI65" i="89"/>
  <c r="AI105" i="89"/>
  <c r="AI78" i="89"/>
  <c r="AI99" i="89"/>
  <c r="AI96" i="89"/>
  <c r="AI87" i="89"/>
  <c r="AI67" i="89"/>
  <c r="AI73" i="89"/>
  <c r="AI107" i="89"/>
  <c r="AI106" i="89"/>
  <c r="AI90" i="89"/>
  <c r="AI74" i="89"/>
  <c r="AI81" i="89"/>
  <c r="AI85" i="89"/>
  <c r="AI58" i="89"/>
  <c r="AI56" i="89"/>
  <c r="AI66" i="89"/>
  <c r="AI77" i="89"/>
  <c r="AI68" i="89"/>
  <c r="AI84" i="89"/>
  <c r="AI60" i="89"/>
  <c r="AI104" i="89"/>
  <c r="AI89" i="89"/>
  <c r="AI102" i="89"/>
  <c r="AI53" i="89"/>
  <c r="AI79" i="89"/>
  <c r="AI109" i="89"/>
  <c r="AI57" i="89"/>
  <c r="AI110" i="89"/>
  <c r="AI76" i="89"/>
  <c r="AI94" i="89"/>
  <c r="AI103" i="89"/>
  <c r="AI61" i="89"/>
  <c r="AI92" i="89"/>
  <c r="AI98" i="89"/>
  <c r="AI75" i="89"/>
  <c r="AI64" i="89"/>
  <c r="AG45" i="89"/>
  <c r="C54" i="98"/>
  <c r="D54" i="98" s="1"/>
  <c r="C43" i="98"/>
  <c r="G43" i="98" s="1"/>
  <c r="C46" i="98"/>
  <c r="I46" i="98" s="1"/>
  <c r="C45" i="98"/>
  <c r="H45" i="98" s="1"/>
  <c r="C47" i="98"/>
  <c r="I47" i="98" s="1"/>
  <c r="C53" i="98"/>
  <c r="G53" i="98" s="1"/>
  <c r="C42" i="98"/>
  <c r="E42" i="98" s="1"/>
  <c r="C51" i="98"/>
  <c r="G51" i="98" s="1"/>
  <c r="C41" i="98"/>
  <c r="E41" i="98" s="1"/>
  <c r="C44" i="98"/>
  <c r="G44" i="98" s="1"/>
  <c r="C52" i="98"/>
  <c r="E52" i="98" s="1"/>
  <c r="C49" i="98"/>
  <c r="H49" i="98" s="1"/>
  <c r="C48" i="98"/>
  <c r="L48" i="98" s="1"/>
  <c r="C55" i="98"/>
  <c r="G55" i="98" s="1"/>
  <c r="C50" i="98"/>
  <c r="G50" i="98" s="1"/>
  <c r="B48" i="98"/>
  <c r="B43" i="98"/>
  <c r="B41" i="98"/>
  <c r="B44" i="98"/>
  <c r="B46" i="98"/>
  <c r="B54" i="98"/>
  <c r="B52" i="98"/>
  <c r="B49" i="98"/>
  <c r="B50" i="98"/>
  <c r="B45" i="98"/>
  <c r="B42" i="98"/>
  <c r="B51" i="98"/>
  <c r="B47" i="98"/>
  <c r="B53" i="98"/>
  <c r="D20" i="98"/>
  <c r="H20" i="98"/>
  <c r="I20" i="98"/>
  <c r="K20" i="98"/>
  <c r="E20" i="98"/>
  <c r="L20" i="98"/>
  <c r="G20" i="98"/>
  <c r="L15" i="98"/>
  <c r="D15" i="98"/>
  <c r="H15" i="98"/>
  <c r="E15" i="98"/>
  <c r="I15" i="98"/>
  <c r="K15" i="98"/>
  <c r="G15" i="98"/>
  <c r="I13" i="98"/>
  <c r="G13" i="98"/>
  <c r="E13" i="98"/>
  <c r="D13" i="98"/>
  <c r="K13" i="98"/>
  <c r="L13" i="98"/>
  <c r="H13" i="98"/>
  <c r="D16" i="98"/>
  <c r="G16" i="98"/>
  <c r="I16" i="98"/>
  <c r="L16" i="98"/>
  <c r="K16" i="98"/>
  <c r="H16" i="98"/>
  <c r="E16" i="98"/>
  <c r="I29" i="98"/>
  <c r="G29" i="98"/>
  <c r="D29" i="98"/>
  <c r="H29" i="98"/>
  <c r="L29" i="98"/>
  <c r="E29" i="98"/>
  <c r="K29" i="98"/>
  <c r="AJ88" i="90"/>
  <c r="AJ89" i="90"/>
  <c r="AI87" i="90"/>
  <c r="AI83" i="90"/>
  <c r="AL84" i="90"/>
  <c r="AK90" i="90"/>
  <c r="AK91" i="90" s="1"/>
  <c r="AJ83" i="90"/>
  <c r="AI88" i="90"/>
  <c r="AI84" i="90"/>
  <c r="AK84" i="90"/>
  <c r="AK87" i="90"/>
  <c r="AI90" i="90"/>
  <c r="AI91" i="90" s="1"/>
  <c r="AK83" i="90"/>
  <c r="AJ85" i="90"/>
  <c r="AJ84" i="90"/>
  <c r="AK86" i="90"/>
  <c r="AM88" i="90"/>
  <c r="AH83" i="90"/>
  <c r="AH84" i="90"/>
  <c r="AM90" i="90"/>
  <c r="AM91" i="90" s="1"/>
  <c r="AJ87" i="90"/>
  <c r="AL86" i="90"/>
  <c r="AI89" i="90"/>
  <c r="AL90" i="90"/>
  <c r="AL91" i="90" s="1"/>
  <c r="AK88" i="90"/>
  <c r="AH88" i="90"/>
  <c r="AH89" i="90"/>
  <c r="AH86" i="90"/>
  <c r="AM86" i="90"/>
  <c r="AI85" i="90"/>
  <c r="AL85" i="90"/>
  <c r="AI86" i="90"/>
  <c r="AL89" i="90"/>
  <c r="AL88" i="90"/>
  <c r="AM89" i="90"/>
  <c r="AH90" i="90"/>
  <c r="AH85" i="90"/>
  <c r="AM85" i="90"/>
  <c r="AL87" i="90"/>
  <c r="AJ90" i="90"/>
  <c r="AJ91" i="90" s="1"/>
  <c r="AK89" i="90"/>
  <c r="AL83" i="90"/>
  <c r="AK85" i="90"/>
  <c r="AM83" i="90"/>
  <c r="AH87" i="90"/>
  <c r="AM87" i="90"/>
  <c r="AM84" i="90"/>
  <c r="AJ86" i="90"/>
  <c r="L30" i="98"/>
  <c r="I30" i="98"/>
  <c r="E30" i="98"/>
  <c r="K30" i="98"/>
  <c r="H30" i="98"/>
  <c r="G30" i="98"/>
  <c r="D30" i="98"/>
  <c r="D18" i="98"/>
  <c r="K18" i="98"/>
  <c r="I18" i="98"/>
  <c r="G18" i="98"/>
  <c r="E18" i="98"/>
  <c r="H18" i="98"/>
  <c r="L18" i="98"/>
  <c r="E26" i="98"/>
  <c r="K26" i="98"/>
  <c r="D26" i="98"/>
  <c r="G26" i="98"/>
  <c r="I26" i="98"/>
  <c r="L26" i="98"/>
  <c r="H26" i="98"/>
  <c r="I58" i="98"/>
  <c r="H58" i="98"/>
  <c r="E58" i="98"/>
  <c r="G58" i="98"/>
  <c r="D58" i="98"/>
  <c r="L58" i="98"/>
  <c r="K58" i="98"/>
  <c r="AP79" i="90"/>
  <c r="G56" i="98"/>
  <c r="D56" i="98"/>
  <c r="E56" i="98"/>
  <c r="I56" i="98"/>
  <c r="H56" i="98"/>
  <c r="L56" i="98"/>
  <c r="K56" i="98"/>
  <c r="G24" i="98"/>
  <c r="H24" i="98"/>
  <c r="I24" i="98"/>
  <c r="L24" i="98"/>
  <c r="D24" i="98"/>
  <c r="K24" i="98"/>
  <c r="E24" i="98"/>
  <c r="H21" i="98"/>
  <c r="I21" i="98"/>
  <c r="D21" i="98"/>
  <c r="K21" i="98"/>
  <c r="E21" i="98"/>
  <c r="G21" i="98"/>
  <c r="L21" i="98"/>
  <c r="G27" i="98"/>
  <c r="K27" i="98"/>
  <c r="E27" i="98"/>
  <c r="I27" i="98"/>
  <c r="H27" i="98"/>
  <c r="L27" i="98"/>
  <c r="D27" i="98"/>
  <c r="E22" i="98"/>
  <c r="K22" i="98"/>
  <c r="G22" i="98"/>
  <c r="H22" i="98"/>
  <c r="I22" i="98"/>
  <c r="D22" i="98"/>
  <c r="L22" i="98"/>
  <c r="H17" i="98"/>
  <c r="L17" i="98"/>
  <c r="I17" i="98"/>
  <c r="E17" i="98"/>
  <c r="G17" i="98"/>
  <c r="D17" i="98"/>
  <c r="K17" i="98"/>
  <c r="E31" i="98"/>
  <c r="G31" i="98"/>
  <c r="L31" i="98"/>
  <c r="H31" i="98"/>
  <c r="K31" i="98"/>
  <c r="D31" i="98"/>
  <c r="I31" i="98"/>
  <c r="K32" i="98"/>
  <c r="E32" i="98"/>
  <c r="D32" i="98"/>
  <c r="L32" i="98"/>
  <c r="H32" i="98"/>
  <c r="G32" i="98"/>
  <c r="I32" i="98"/>
  <c r="L14" i="98"/>
  <c r="H14" i="98"/>
  <c r="I14" i="98"/>
  <c r="K14" i="98"/>
  <c r="E14" i="98"/>
  <c r="G14" i="98"/>
  <c r="D14" i="98"/>
  <c r="D23" i="98"/>
  <c r="E23" i="98"/>
  <c r="K23" i="98"/>
  <c r="G23" i="98"/>
  <c r="I23" i="98"/>
  <c r="H23" i="98"/>
  <c r="L23" i="98"/>
  <c r="G28" i="98"/>
  <c r="H28" i="98"/>
  <c r="L28" i="98"/>
  <c r="E28" i="98"/>
  <c r="K28" i="98"/>
  <c r="I28" i="98"/>
  <c r="D28" i="98"/>
  <c r="G59" i="98"/>
  <c r="D59" i="98"/>
  <c r="L59" i="98"/>
  <c r="E59" i="98"/>
  <c r="K59" i="98"/>
  <c r="I59" i="98"/>
  <c r="H59" i="98"/>
  <c r="I57" i="98"/>
  <c r="E57" i="98"/>
  <c r="G57" i="98"/>
  <c r="K57" i="98"/>
  <c r="H57" i="98"/>
  <c r="D57" i="98"/>
  <c r="L57" i="98"/>
  <c r="H19" i="98"/>
  <c r="I19" i="98"/>
  <c r="E19" i="98"/>
  <c r="K19" i="98"/>
  <c r="L19" i="98"/>
  <c r="D19" i="98"/>
  <c r="G19" i="98"/>
  <c r="D25" i="98"/>
  <c r="E25" i="98"/>
  <c r="H25" i="98"/>
  <c r="K25" i="98"/>
  <c r="I25" i="98"/>
  <c r="G25" i="98"/>
  <c r="L25" i="98"/>
  <c r="E60" i="98"/>
  <c r="I60" i="98"/>
  <c r="K60" i="98"/>
  <c r="H60" i="98"/>
  <c r="G60" i="98"/>
  <c r="L60" i="98"/>
  <c r="D60" i="98"/>
  <c r="AD35" i="90" l="1"/>
  <c r="A32" i="89"/>
  <c r="A36" i="89"/>
  <c r="A40" i="89"/>
  <c r="A44" i="89"/>
  <c r="A33" i="89"/>
  <c r="A37" i="89"/>
  <c r="A41" i="89"/>
  <c r="A45" i="89"/>
  <c r="A30" i="89"/>
  <c r="A34" i="89"/>
  <c r="A38" i="89"/>
  <c r="A42" i="89"/>
  <c r="A29" i="89"/>
  <c r="A31" i="89"/>
  <c r="A35" i="89"/>
  <c r="A39" i="89"/>
  <c r="A43" i="89"/>
  <c r="G41" i="98"/>
  <c r="L54" i="98"/>
  <c r="E47" i="98"/>
  <c r="K54" i="98"/>
  <c r="E54" i="98"/>
  <c r="F54" i="98" s="1"/>
  <c r="O54" i="98" s="1"/>
  <c r="I44" i="98"/>
  <c r="I54" i="98"/>
  <c r="I52" i="98"/>
  <c r="G48" i="98"/>
  <c r="H54" i="98"/>
  <c r="H47" i="98"/>
  <c r="H48" i="98"/>
  <c r="G54" i="98"/>
  <c r="K47" i="98"/>
  <c r="L50" i="98"/>
  <c r="E50" i="98"/>
  <c r="AC35" i="90"/>
  <c r="L52" i="98"/>
  <c r="K50" i="98"/>
  <c r="G52" i="98"/>
  <c r="K52" i="98"/>
  <c r="H50" i="98"/>
  <c r="I50" i="98"/>
  <c r="H52" i="98"/>
  <c r="D50" i="98"/>
  <c r="D52" i="98"/>
  <c r="F52" i="98" s="1"/>
  <c r="O52" i="98" s="1"/>
  <c r="L47" i="98"/>
  <c r="G47" i="98"/>
  <c r="D47" i="98"/>
  <c r="E55" i="98"/>
  <c r="H43" i="98"/>
  <c r="K48" i="98"/>
  <c r="M48" i="98" s="1"/>
  <c r="Q48" i="98" s="1"/>
  <c r="D48" i="98"/>
  <c r="E48" i="98"/>
  <c r="I48" i="98"/>
  <c r="H55" i="98"/>
  <c r="D55" i="98"/>
  <c r="L44" i="98"/>
  <c r="L55" i="98"/>
  <c r="E43" i="98"/>
  <c r="E53" i="98"/>
  <c r="I55" i="98"/>
  <c r="K55" i="98"/>
  <c r="L43" i="98"/>
  <c r="E44" i="98"/>
  <c r="I43" i="98"/>
  <c r="D43" i="98"/>
  <c r="H44" i="98"/>
  <c r="K44" i="98"/>
  <c r="L53" i="98"/>
  <c r="K43" i="98"/>
  <c r="D44" i="98"/>
  <c r="K53" i="98"/>
  <c r="I45" i="98"/>
  <c r="I49" i="98"/>
  <c r="K45" i="98"/>
  <c r="G49" i="98"/>
  <c r="K49" i="98"/>
  <c r="L45" i="98"/>
  <c r="G45" i="98"/>
  <c r="E45" i="98"/>
  <c r="I51" i="98"/>
  <c r="E49" i="98"/>
  <c r="L49" i="98"/>
  <c r="D49" i="98"/>
  <c r="D45" i="98"/>
  <c r="D51" i="98"/>
  <c r="I53" i="98"/>
  <c r="D53" i="98"/>
  <c r="H53" i="98"/>
  <c r="K46" i="98"/>
  <c r="D46" i="98"/>
  <c r="H51" i="98"/>
  <c r="E46" i="98"/>
  <c r="L51" i="98"/>
  <c r="L46" i="98"/>
  <c r="K51" i="98"/>
  <c r="L42" i="98"/>
  <c r="D42" i="98"/>
  <c r="F42" i="98" s="1"/>
  <c r="O42" i="98" s="1"/>
  <c r="H46" i="98"/>
  <c r="G46" i="98"/>
  <c r="I42" i="98"/>
  <c r="H42" i="98"/>
  <c r="G42" i="98"/>
  <c r="K42" i="98"/>
  <c r="H41" i="98"/>
  <c r="D41" i="98"/>
  <c r="F41" i="98" s="1"/>
  <c r="O41" i="98" s="1"/>
  <c r="I41" i="98"/>
  <c r="L41" i="98"/>
  <c r="E51" i="98"/>
  <c r="K41" i="98"/>
  <c r="F57" i="98"/>
  <c r="O57" i="98" s="1"/>
  <c r="F30" i="98"/>
  <c r="O30" i="98" s="1"/>
  <c r="M13" i="98"/>
  <c r="Q13" i="98" s="1"/>
  <c r="F19" i="98"/>
  <c r="O19" i="98" s="1"/>
  <c r="F28" i="98"/>
  <c r="O28" i="98" s="1"/>
  <c r="J14" i="98"/>
  <c r="P14" i="98" s="1"/>
  <c r="F24" i="98"/>
  <c r="O24" i="98" s="1"/>
  <c r="F15" i="98"/>
  <c r="O15" i="98" s="1"/>
  <c r="M20" i="98"/>
  <c r="Q20" i="98" s="1"/>
  <c r="M60" i="98"/>
  <c r="Q60" i="98" s="1"/>
  <c r="M56" i="98"/>
  <c r="Q56" i="98" s="1"/>
  <c r="F29" i="98"/>
  <c r="O29" i="98" s="1"/>
  <c r="F13" i="98"/>
  <c r="O13" i="98" s="1"/>
  <c r="J20" i="98"/>
  <c r="P20" i="98" s="1"/>
  <c r="J17" i="98"/>
  <c r="P17" i="98" s="1"/>
  <c r="M57" i="98"/>
  <c r="Q57" i="98" s="1"/>
  <c r="F32" i="98"/>
  <c r="O32" i="98" s="1"/>
  <c r="F31" i="98"/>
  <c r="O31" i="98" s="1"/>
  <c r="J21" i="98"/>
  <c r="P21" i="98" s="1"/>
  <c r="M58" i="98"/>
  <c r="Q58" i="98" s="1"/>
  <c r="J31" i="98"/>
  <c r="P31" i="98" s="1"/>
  <c r="J24" i="98"/>
  <c r="P24" i="98" s="1"/>
  <c r="M18" i="98"/>
  <c r="Q18" i="98" s="1"/>
  <c r="M30" i="98"/>
  <c r="Q30" i="98" s="1"/>
  <c r="M15" i="98"/>
  <c r="Q15" i="98" s="1"/>
  <c r="F27" i="98"/>
  <c r="O27" i="98" s="1"/>
  <c r="J25" i="98"/>
  <c r="P25" i="98" s="1"/>
  <c r="M28" i="98"/>
  <c r="Q28" i="98" s="1"/>
  <c r="M31" i="98"/>
  <c r="Q31" i="98" s="1"/>
  <c r="M27" i="98"/>
  <c r="Q27" i="98" s="1"/>
  <c r="M29" i="98"/>
  <c r="Q29" i="98" s="1"/>
  <c r="J60" i="98"/>
  <c r="P60" i="98" s="1"/>
  <c r="M23" i="98"/>
  <c r="Q23" i="98" s="1"/>
  <c r="F17" i="98"/>
  <c r="O17" i="98" s="1"/>
  <c r="F21" i="98"/>
  <c r="O21" i="98" s="1"/>
  <c r="M24" i="98"/>
  <c r="Q24" i="98" s="1"/>
  <c r="J56" i="98"/>
  <c r="P56" i="98" s="1"/>
  <c r="J58" i="98"/>
  <c r="P58" i="98" s="1"/>
  <c r="F26" i="98"/>
  <c r="O26" i="98" s="1"/>
  <c r="J13" i="98"/>
  <c r="P13" i="98" s="1"/>
  <c r="J15" i="98"/>
  <c r="P15" i="98" s="1"/>
  <c r="F20" i="98"/>
  <c r="O20" i="98" s="1"/>
  <c r="M26" i="98"/>
  <c r="Q26" i="98" s="1"/>
  <c r="F60" i="98"/>
  <c r="O60" i="98" s="1"/>
  <c r="F25" i="98"/>
  <c r="O25" i="98" s="1"/>
  <c r="J28" i="98"/>
  <c r="P28" i="98" s="1"/>
  <c r="J32" i="98"/>
  <c r="P32" i="98" s="1"/>
  <c r="J22" i="98"/>
  <c r="P22" i="98" s="1"/>
  <c r="F18" i="98"/>
  <c r="O18" i="98" s="1"/>
  <c r="J16" i="98"/>
  <c r="P16" i="98" s="1"/>
  <c r="M19" i="98"/>
  <c r="Q19" i="98" s="1"/>
  <c r="J57" i="98"/>
  <c r="P57" i="98" s="1"/>
  <c r="F59" i="98"/>
  <c r="O59" i="98" s="1"/>
  <c r="F23" i="98"/>
  <c r="O23" i="98" s="1"/>
  <c r="M14" i="98"/>
  <c r="Q14" i="98" s="1"/>
  <c r="M25" i="98"/>
  <c r="Q25" i="98" s="1"/>
  <c r="J19" i="98"/>
  <c r="P19" i="98" s="1"/>
  <c r="M59" i="98"/>
  <c r="Q59" i="98" s="1"/>
  <c r="J59" i="98"/>
  <c r="P59" i="98" s="1"/>
  <c r="J23" i="98"/>
  <c r="P23" i="98" s="1"/>
  <c r="F14" i="98"/>
  <c r="O14" i="98" s="1"/>
  <c r="M32" i="98"/>
  <c r="Q32" i="98" s="1"/>
  <c r="M17" i="98"/>
  <c r="Q17" i="98" s="1"/>
  <c r="F22" i="98"/>
  <c r="O22" i="98" s="1"/>
  <c r="M22" i="98"/>
  <c r="Q22" i="98" s="1"/>
  <c r="J27" i="98"/>
  <c r="P27" i="98" s="1"/>
  <c r="M21" i="98"/>
  <c r="Q21" i="98" s="1"/>
  <c r="F56" i="98"/>
  <c r="O56" i="98" s="1"/>
  <c r="F58" i="98"/>
  <c r="O58" i="98" s="1"/>
  <c r="J26" i="98"/>
  <c r="P26" i="98" s="1"/>
  <c r="J18" i="98"/>
  <c r="P18" i="98" s="1"/>
  <c r="J30" i="98"/>
  <c r="P30" i="98" s="1"/>
  <c r="J29" i="98"/>
  <c r="P29" i="98" s="1"/>
  <c r="M16" i="98"/>
  <c r="Q16" i="98" s="1"/>
  <c r="F16" i="98"/>
  <c r="O16" i="98" s="1"/>
  <c r="F53" i="98" l="1"/>
  <c r="O53" i="98" s="1"/>
  <c r="AA35" i="90"/>
  <c r="AA36" i="90"/>
  <c r="D39" i="89"/>
  <c r="C39" i="89"/>
  <c r="D42" i="89"/>
  <c r="C42" i="89"/>
  <c r="D45" i="89"/>
  <c r="C45" i="89"/>
  <c r="C44" i="89"/>
  <c r="D44" i="89"/>
  <c r="D35" i="89"/>
  <c r="C35" i="89"/>
  <c r="C38" i="89"/>
  <c r="D38" i="89"/>
  <c r="D41" i="89"/>
  <c r="C41" i="89"/>
  <c r="C40" i="89"/>
  <c r="D40" i="89"/>
  <c r="D31" i="89"/>
  <c r="C31" i="89"/>
  <c r="C34" i="89"/>
  <c r="D34" i="89"/>
  <c r="D37" i="89"/>
  <c r="C37" i="89"/>
  <c r="D36" i="89"/>
  <c r="C36" i="89"/>
  <c r="D43" i="89"/>
  <c r="C43" i="89"/>
  <c r="D29" i="89"/>
  <c r="C29" i="89"/>
  <c r="C30" i="89"/>
  <c r="D30" i="89"/>
  <c r="D33" i="89"/>
  <c r="C33" i="89"/>
  <c r="D32" i="89"/>
  <c r="C32" i="89"/>
  <c r="M50" i="98"/>
  <c r="Q50" i="98" s="1"/>
  <c r="M55" i="98"/>
  <c r="Q55" i="98" s="1"/>
  <c r="M54" i="98"/>
  <c r="Q54" i="98" s="1"/>
  <c r="F47" i="98"/>
  <c r="O47" i="98" s="1"/>
  <c r="M52" i="98"/>
  <c r="Q52" i="98" s="1"/>
  <c r="M42" i="98"/>
  <c r="Q42" i="98" s="1"/>
  <c r="M44" i="98"/>
  <c r="Q44" i="98" s="1"/>
  <c r="F48" i="98"/>
  <c r="O48" i="98" s="1"/>
  <c r="F46" i="98"/>
  <c r="O46" i="98" s="1"/>
  <c r="J47" i="98"/>
  <c r="P47" i="98" s="1"/>
  <c r="M41" i="98"/>
  <c r="Q41" i="98" s="1"/>
  <c r="M49" i="98"/>
  <c r="Q49" i="98" s="1"/>
  <c r="J44" i="98"/>
  <c r="P44" i="98" s="1"/>
  <c r="M47" i="98"/>
  <c r="Q47" i="98" s="1"/>
  <c r="F50" i="98"/>
  <c r="O50" i="98" s="1"/>
  <c r="J54" i="98"/>
  <c r="P54" i="98" s="1"/>
  <c r="J48" i="98"/>
  <c r="P48" i="98" s="1"/>
  <c r="J52" i="98"/>
  <c r="P52" i="98" s="1"/>
  <c r="J50" i="98"/>
  <c r="P50" i="98" s="1"/>
  <c r="J55" i="98"/>
  <c r="P55" i="98" s="1"/>
  <c r="F55" i="98"/>
  <c r="O55" i="98" s="1"/>
  <c r="J43" i="98"/>
  <c r="P43" i="98" s="1"/>
  <c r="J49" i="98"/>
  <c r="P49" i="98" s="1"/>
  <c r="J42" i="98"/>
  <c r="P42" i="98" s="1"/>
  <c r="M46" i="98"/>
  <c r="Q46" i="98" s="1"/>
  <c r="F51" i="98"/>
  <c r="O51" i="98" s="1"/>
  <c r="F45" i="98"/>
  <c r="O45" i="98" s="1"/>
  <c r="F43" i="98"/>
  <c r="O43" i="98" s="1"/>
  <c r="J41" i="98"/>
  <c r="P41" i="98" s="1"/>
  <c r="M43" i="98"/>
  <c r="Q43" i="98" s="1"/>
  <c r="J53" i="98"/>
  <c r="P53" i="98" s="1"/>
  <c r="J45" i="98"/>
  <c r="P45" i="98" s="1"/>
  <c r="M45" i="98"/>
  <c r="Q45" i="98" s="1"/>
  <c r="M53" i="98"/>
  <c r="Q53" i="98" s="1"/>
  <c r="F44" i="98"/>
  <c r="O44" i="98" s="1"/>
  <c r="M51" i="98"/>
  <c r="Q51" i="98" s="1"/>
  <c r="J46" i="98"/>
  <c r="P46" i="98" s="1"/>
  <c r="J51" i="98"/>
  <c r="P51" i="98" s="1"/>
  <c r="F49" i="98"/>
  <c r="O49" i="98" s="1"/>
  <c r="A29" i="90" l="1"/>
  <c r="AB6" i="89"/>
  <c r="D24" i="89" s="1"/>
  <c r="AB7" i="89"/>
  <c r="D25" i="89" s="1"/>
  <c r="D13" i="99"/>
  <c r="D10" i="99"/>
  <c r="D12" i="99"/>
  <c r="D11" i="99"/>
  <c r="D8" i="99"/>
  <c r="BP6" i="29"/>
  <c r="AD11" i="29"/>
  <c r="BP11" i="29" s="1"/>
  <c r="BQ11" i="29" s="1"/>
  <c r="F4" i="81"/>
  <c r="P4" i="81" s="1"/>
  <c r="P9" i="81" s="1"/>
  <c r="AJ13" i="90" s="1"/>
  <c r="AM13" i="90" s="1"/>
  <c r="B30" i="89"/>
  <c r="B29" i="89"/>
  <c r="B44" i="89"/>
  <c r="B40" i="89"/>
  <c r="B42" i="89"/>
  <c r="B37" i="89"/>
  <c r="B33" i="89"/>
  <c r="B32" i="89"/>
  <c r="B35" i="89"/>
  <c r="B39" i="89"/>
  <c r="B38" i="89"/>
  <c r="B43" i="89"/>
  <c r="B34" i="89"/>
  <c r="B36" i="89"/>
  <c r="B45" i="89"/>
  <c r="B31" i="89"/>
  <c r="B41" i="89"/>
  <c r="AD13" i="29" l="1"/>
  <c r="BP13" i="29" s="1"/>
  <c r="AD19" i="90"/>
  <c r="AC19" i="90"/>
  <c r="AA19" i="90" s="1"/>
  <c r="A13" i="90" s="1"/>
  <c r="AD8" i="90"/>
  <c r="AJ16" i="90"/>
  <c r="AC8" i="90"/>
  <c r="AA8" i="90" s="1"/>
  <c r="D8" i="91"/>
  <c r="F9" i="81"/>
  <c r="F11" i="81" l="1"/>
  <c r="AJ4" i="90"/>
  <c r="D13" i="91"/>
  <c r="L8" i="91"/>
  <c r="L13" i="91" s="1"/>
  <c r="AD11" i="90"/>
  <c r="AC11" i="90"/>
  <c r="AA11" i="90" s="1"/>
  <c r="E8" i="99" l="1"/>
  <c r="E11" i="99"/>
  <c r="E12" i="99"/>
  <c r="E10" i="99"/>
  <c r="E13" i="99"/>
  <c r="E14" i="99"/>
  <c r="AM4" i="90"/>
  <c r="AI26" i="90"/>
  <c r="AI25" i="90"/>
  <c r="AI23" i="90"/>
  <c r="AI30" i="90"/>
  <c r="AI24" i="90"/>
  <c r="AI27" i="90"/>
  <c r="AI29" i="90"/>
  <c r="AI28" i="90"/>
  <c r="AJ14" i="90"/>
  <c r="E15" i="99"/>
  <c r="AI22" i="90"/>
  <c r="D15" i="91"/>
  <c r="L15" i="91" s="1"/>
  <c r="P11" i="81"/>
  <c r="AJ24" i="90" l="1"/>
  <c r="AK26" i="90"/>
  <c r="AL26" i="90" s="1"/>
  <c r="AK28" i="90"/>
  <c r="AL28" i="90" s="1"/>
  <c r="AK24" i="90"/>
  <c r="AL24" i="90" s="1"/>
  <c r="AJ30" i="90"/>
  <c r="AK30" i="90"/>
  <c r="AL30" i="90" s="1"/>
  <c r="AK29" i="90"/>
  <c r="AL29" i="90" s="1"/>
  <c r="AK25" i="90"/>
  <c r="AL25" i="90" s="1"/>
  <c r="AJ25" i="90"/>
  <c r="AJ29" i="90"/>
  <c r="AK27" i="90"/>
  <c r="AL27" i="90" s="1"/>
  <c r="AJ27" i="90"/>
  <c r="AK22" i="90"/>
  <c r="AK23" i="90"/>
  <c r="AL23" i="90" s="1"/>
  <c r="AJ26" i="90"/>
  <c r="AJ28" i="90"/>
  <c r="AJ22" i="90"/>
  <c r="AJ23" i="90"/>
  <c r="AD10" i="90" l="1"/>
  <c r="AC10" i="90"/>
  <c r="AA10" i="90" s="1"/>
  <c r="AL22" i="90"/>
  <c r="AK31" i="90"/>
  <c r="AD9" i="90" l="1"/>
  <c r="AC9" i="90"/>
  <c r="AA9" i="90" s="1"/>
  <c r="A6" i="9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E3" authorId="0" shapeId="0" xr:uid="{00000000-0006-0000-0000-000001000000}">
      <text>
        <r>
          <rPr>
            <b/>
            <sz val="9"/>
            <color indexed="81"/>
            <rFont val="Tahoma"/>
            <family val="2"/>
          </rPr>
          <t>Note:</t>
        </r>
        <r>
          <rPr>
            <sz val="9"/>
            <color indexed="81"/>
            <rFont val="Tahoma"/>
            <family val="2"/>
          </rPr>
          <t xml:space="preserve">
To show Chinese in the drop-down menu for the language, copy the value in from the cell right next to this one.</t>
        </r>
      </text>
    </comment>
    <comment ref="AA21" authorId="0" shapeId="0" xr:uid="{00000000-0006-0000-0000-000002000000}">
      <text>
        <r>
          <rPr>
            <b/>
            <sz val="9"/>
            <color indexed="81"/>
            <rFont val="Tahoma"/>
            <family val="2"/>
          </rPr>
          <t>Note:</t>
        </r>
        <r>
          <rPr>
            <sz val="9"/>
            <color indexed="81"/>
            <rFont val="Tahoma"/>
            <family val="2"/>
          </rPr>
          <t xml:space="preserve">
Language choice for the buttons, as formula cannot be inserted in directly.</t>
        </r>
      </text>
    </comment>
    <comment ref="D64" authorId="0" shapeId="0" xr:uid="{00000000-0006-0000-0000-000003000000}">
      <text>
        <r>
          <rPr>
            <b/>
            <sz val="9"/>
            <color indexed="81"/>
            <rFont val="Tahoma"/>
            <family val="2"/>
          </rPr>
          <t>Note:</t>
        </r>
        <r>
          <rPr>
            <sz val="9"/>
            <color indexed="81"/>
            <rFont val="Tahoma"/>
            <family val="2"/>
          </rPr>
          <t xml:space="preserve">
Instead of adding the latest year to the top of the list and the consequentially adjusting the input range for the year-field, do the following:
Just change the top value to correspond to the latest data year, others will be calculated automatically.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H3" authorId="0" shapeId="0" xr:uid="{00000000-0006-0000-1100-000001000000}">
      <text>
        <r>
          <rPr>
            <b/>
            <sz val="9"/>
            <color indexed="81"/>
            <rFont val="Tahoma"/>
            <family val="2"/>
          </rPr>
          <t>Note:</t>
        </r>
        <r>
          <rPr>
            <sz val="9"/>
            <color indexed="81"/>
            <rFont val="Tahoma"/>
            <family val="2"/>
          </rPr>
          <t xml:space="preserve">
Sum of coal, peat and oil shale.</t>
        </r>
      </text>
    </comment>
    <comment ref="AI3" authorId="0" shapeId="0" xr:uid="{00000000-0006-0000-1100-000002000000}">
      <text>
        <r>
          <rPr>
            <b/>
            <sz val="9"/>
            <color indexed="81"/>
            <rFont val="Tahoma"/>
            <family val="2"/>
          </rPr>
          <t>Note:</t>
        </r>
        <r>
          <rPr>
            <sz val="9"/>
            <color indexed="81"/>
            <rFont val="Tahoma"/>
            <family val="2"/>
          </rPr>
          <t xml:space="preserve">
Sum of coal, peat and oil shale.</t>
        </r>
      </text>
    </comment>
    <comment ref="AJ3" authorId="0" shapeId="0" xr:uid="{00000000-0006-0000-1100-000003000000}">
      <text>
        <r>
          <rPr>
            <b/>
            <sz val="9"/>
            <color indexed="81"/>
            <rFont val="Tahoma"/>
            <family val="2"/>
          </rPr>
          <t>Note:</t>
        </r>
        <r>
          <rPr>
            <sz val="9"/>
            <color indexed="81"/>
            <rFont val="Tahoma"/>
            <family val="2"/>
          </rPr>
          <t xml:space="preserve">
Sum of coal, peat and oil shale.</t>
        </r>
      </text>
    </comment>
    <comment ref="AK3" authorId="0" shapeId="0" xr:uid="{00000000-0006-0000-1100-000004000000}">
      <text>
        <r>
          <rPr>
            <b/>
            <sz val="9"/>
            <color indexed="81"/>
            <rFont val="Tahoma"/>
            <family val="2"/>
          </rPr>
          <t>Note:</t>
        </r>
        <r>
          <rPr>
            <sz val="9"/>
            <color indexed="81"/>
            <rFont val="Tahoma"/>
            <family val="2"/>
          </rPr>
          <t xml:space="preserve">
Sum of coal, peat and oil shale.</t>
        </r>
      </text>
    </comment>
    <comment ref="AL3" authorId="0" shapeId="0" xr:uid="{00000000-0006-0000-1100-000005000000}">
      <text>
        <r>
          <rPr>
            <b/>
            <sz val="9"/>
            <color indexed="81"/>
            <rFont val="Tahoma"/>
            <family val="2"/>
          </rPr>
          <t>Note:</t>
        </r>
        <r>
          <rPr>
            <sz val="9"/>
            <color indexed="81"/>
            <rFont val="Tahoma"/>
            <family val="2"/>
          </rPr>
          <t xml:space="preserve">
Sum of coal, peat and oil shale.</t>
        </r>
      </text>
    </comment>
    <comment ref="AH4" authorId="0" shapeId="0" xr:uid="{00000000-0006-0000-1100-000006000000}">
      <text>
        <r>
          <rPr>
            <b/>
            <sz val="9"/>
            <color indexed="81"/>
            <rFont val="Tahoma"/>
            <family val="2"/>
          </rPr>
          <t>Note:</t>
        </r>
        <r>
          <rPr>
            <sz val="9"/>
            <color indexed="81"/>
            <rFont val="Tahoma"/>
            <family val="2"/>
          </rPr>
          <t xml:space="preserve">
A memo-item for total oil for pie charts.</t>
        </r>
      </text>
    </comment>
    <comment ref="AH9" authorId="0" shapeId="0" xr:uid="{00000000-0006-0000-1100-000007000000}">
      <text>
        <r>
          <rPr>
            <b/>
            <sz val="9"/>
            <color indexed="81"/>
            <rFont val="Tahoma"/>
            <family val="2"/>
          </rPr>
          <t>Markus Fager-Pintilä:</t>
        </r>
        <r>
          <rPr>
            <sz val="9"/>
            <color indexed="81"/>
            <rFont val="Tahoma"/>
            <family val="2"/>
          </rPr>
          <t xml:space="preserve">
(14/Sep/17)
Category as in KWES.</t>
        </r>
      </text>
    </comment>
    <comment ref="AH15" authorId="0" shapeId="0" xr:uid="{00000000-0006-0000-1100-000008000000}">
      <text>
        <r>
          <rPr>
            <b/>
            <sz val="9"/>
            <color indexed="81"/>
            <rFont val="Tahoma"/>
            <family val="2"/>
          </rPr>
          <t>Note:</t>
        </r>
        <r>
          <rPr>
            <sz val="9"/>
            <color indexed="81"/>
            <rFont val="Tahoma"/>
            <family val="2"/>
          </rPr>
          <t xml:space="preserve">
"Real" renewables without non-renewable waste.</t>
        </r>
      </text>
    </comment>
    <comment ref="AK15" authorId="0" shapeId="0" xr:uid="{00000000-0006-0000-1100-000009000000}">
      <text>
        <r>
          <rPr>
            <b/>
            <sz val="9"/>
            <color indexed="81"/>
            <rFont val="Tahoma"/>
            <family val="2"/>
          </rPr>
          <t>Markus Fager-Pintilä:</t>
        </r>
        <r>
          <rPr>
            <sz val="9"/>
            <color indexed="81"/>
            <rFont val="Tahoma"/>
            <family val="2"/>
          </rPr>
          <t xml:space="preserve">
(26/Jul/17)
Not calculated, as renewable share from TFC is more ambigous.</t>
        </r>
      </text>
    </comment>
    <comment ref="AH18" authorId="0" shapeId="0" xr:uid="{00000000-0006-0000-1100-00000A000000}">
      <text>
        <r>
          <rPr>
            <b/>
            <sz val="9"/>
            <color indexed="81"/>
            <rFont val="Tahoma"/>
            <family val="2"/>
          </rPr>
          <t>Note:</t>
        </r>
        <r>
          <rPr>
            <sz val="9"/>
            <color indexed="81"/>
            <rFont val="Tahoma"/>
            <family val="2"/>
          </rPr>
          <t xml:space="preserve">
Inlcudes non-renewable waste.</t>
        </r>
      </text>
    </comment>
    <comment ref="AJ31" authorId="0" shapeId="0" xr:uid="{00000000-0006-0000-1100-00000B000000}">
      <text>
        <r>
          <rPr>
            <b/>
            <sz val="9"/>
            <color indexed="81"/>
            <rFont val="Tahoma"/>
            <family val="2"/>
          </rPr>
          <t>Note:</t>
        </r>
        <r>
          <rPr>
            <sz val="9"/>
            <color indexed="81"/>
            <rFont val="Tahoma"/>
            <family val="2"/>
          </rPr>
          <t xml:space="preserve">
Other calculated as a difference between the top-5 and the total. Usually this portion remains small.</t>
        </r>
      </text>
    </comment>
    <comment ref="AC36" authorId="0" shapeId="0" xr:uid="{00000000-0006-0000-1100-00000C000000}">
      <text>
        <r>
          <rPr>
            <b/>
            <sz val="9"/>
            <color indexed="81"/>
            <rFont val="Tahoma"/>
            <family val="2"/>
          </rPr>
          <t>Note:</t>
        </r>
        <r>
          <rPr>
            <sz val="9"/>
            <color indexed="81"/>
            <rFont val="Tahoma"/>
            <family val="2"/>
          </rPr>
          <t xml:space="preserve">
If the biggest consuming sector is in fact residential, the second sentence is omitted.</t>
        </r>
      </text>
    </comment>
    <comment ref="AJ44" authorId="0" shapeId="0" xr:uid="{00000000-0006-0000-1100-00000D000000}">
      <text>
        <r>
          <rPr>
            <b/>
            <sz val="9"/>
            <color indexed="81"/>
            <rFont val="Tahoma"/>
            <family val="2"/>
          </rPr>
          <t>Note:</t>
        </r>
        <r>
          <rPr>
            <sz val="9"/>
            <color indexed="81"/>
            <rFont val="Tahoma"/>
            <family val="2"/>
          </rPr>
          <t xml:space="preserve">
Other calculated as a difference between the top-5 and the total. Usually this portion remains small.</t>
        </r>
      </text>
    </comment>
    <comment ref="AJ57" authorId="0" shapeId="0" xr:uid="{00000000-0006-0000-1100-00000E000000}">
      <text>
        <r>
          <rPr>
            <b/>
            <sz val="9"/>
            <color indexed="81"/>
            <rFont val="Tahoma"/>
            <family val="2"/>
          </rPr>
          <t>Note:</t>
        </r>
        <r>
          <rPr>
            <sz val="9"/>
            <color indexed="81"/>
            <rFont val="Tahoma"/>
            <family val="2"/>
          </rPr>
          <t xml:space="preserve">
Other calculated as a difference between the top-5 and the total. Usually this portion remains small.</t>
        </r>
      </text>
    </comment>
    <comment ref="AI63" authorId="0" shapeId="0" xr:uid="{00000000-0006-0000-1100-00000F000000}">
      <text>
        <r>
          <rPr>
            <b/>
            <sz val="9"/>
            <color indexed="81"/>
            <rFont val="Tahoma"/>
            <family val="2"/>
          </rPr>
          <t>Note:</t>
        </r>
        <r>
          <rPr>
            <sz val="9"/>
            <color indexed="81"/>
            <rFont val="Tahoma"/>
            <family val="2"/>
          </rPr>
          <t xml:space="preserve">
Sum of coal, peat and oil shale.</t>
        </r>
      </text>
    </comment>
    <comment ref="AJ63" authorId="0" shapeId="0" xr:uid="{00000000-0006-0000-1100-000010000000}">
      <text>
        <r>
          <rPr>
            <b/>
            <sz val="9"/>
            <color indexed="81"/>
            <rFont val="Tahoma"/>
            <family val="2"/>
          </rPr>
          <t>Note:</t>
        </r>
        <r>
          <rPr>
            <sz val="9"/>
            <color indexed="81"/>
            <rFont val="Tahoma"/>
            <family val="2"/>
          </rPr>
          <t xml:space="preserve">
Custom name for the category: Instead of "Crude Oil &amp; Oil Products", this is called "Oil".</t>
        </r>
      </text>
    </comment>
    <comment ref="AN63" authorId="0" shapeId="0" xr:uid="{00000000-0006-0000-1100-000011000000}">
      <text>
        <r>
          <rPr>
            <b/>
            <sz val="9"/>
            <color indexed="81"/>
            <rFont val="Tahoma"/>
            <family val="2"/>
          </rPr>
          <t>Note:</t>
        </r>
        <r>
          <rPr>
            <sz val="9"/>
            <color indexed="81"/>
            <rFont val="Tahoma"/>
            <family val="2"/>
          </rPr>
          <t xml:space="preserve">
Includes solar/geothermal energy for easier representation.
In case the column is needed separately, split 'heat' after the "+"-sign.</t>
        </r>
      </text>
    </comment>
    <comment ref="AH67" authorId="0" shapeId="0" xr:uid="{00000000-0006-0000-1100-000012000000}">
      <text>
        <r>
          <rPr>
            <b/>
            <sz val="9"/>
            <color indexed="81"/>
            <rFont val="Tahoma"/>
            <family val="2"/>
          </rPr>
          <t>Note:</t>
        </r>
        <r>
          <rPr>
            <sz val="9"/>
            <color indexed="81"/>
            <rFont val="Tahoma"/>
            <family val="2"/>
          </rPr>
          <t xml:space="preserve">
Includes commerce, public, agriculture, forestry, fishing, non-specified.</t>
        </r>
      </text>
    </comment>
    <comment ref="AH68" authorId="0" shapeId="0" xr:uid="{00000000-0006-0000-1100-000013000000}">
      <text>
        <r>
          <rPr>
            <b/>
            <sz val="9"/>
            <color indexed="81"/>
            <rFont val="Tahoma"/>
            <family val="2"/>
          </rPr>
          <t>Note:</t>
        </r>
        <r>
          <rPr>
            <sz val="9"/>
            <color indexed="81"/>
            <rFont val="Tahoma"/>
            <family val="2"/>
          </rPr>
          <t xml:space="preserve">
This category highlighted separately to visualize the proportion of the total final consumption.</t>
        </r>
      </text>
    </comment>
    <comment ref="AH78" authorId="0" shapeId="0" xr:uid="{00000000-0006-0000-1100-000014000000}">
      <text>
        <r>
          <rPr>
            <b/>
            <sz val="9"/>
            <color indexed="81"/>
            <rFont val="Tahoma"/>
            <family val="2"/>
          </rPr>
          <t>Note:</t>
        </r>
        <r>
          <rPr>
            <sz val="9"/>
            <color indexed="81"/>
            <rFont val="Tahoma"/>
            <family val="2"/>
          </rPr>
          <t xml:space="preserve">
Non-specified not sorted to show it as the last column.</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IEA</author>
  </authors>
  <commentList>
    <comment ref="C6" authorId="0" shapeId="0" xr:uid="{00000000-0006-0000-1300-000001000000}">
      <text>
        <r>
          <rPr>
            <sz val="8"/>
            <color indexed="81"/>
            <rFont val="Tahoma"/>
            <family val="2"/>
          </rPr>
          <t>IEA:
Refers to Item 1 in Table 1</t>
        </r>
      </text>
    </comment>
    <comment ref="C8" authorId="0" shapeId="0" xr:uid="{00000000-0006-0000-1300-000002000000}">
      <text>
        <r>
          <rPr>
            <sz val="8"/>
            <color indexed="81"/>
            <rFont val="Tahoma"/>
            <family val="2"/>
          </rPr>
          <t>IEA:
Refers to Item 5 in Table 1</t>
        </r>
      </text>
    </comment>
    <comment ref="C10" authorId="0" shapeId="0" xr:uid="{00000000-0006-0000-1300-000003000000}">
      <text>
        <r>
          <rPr>
            <sz val="8"/>
            <color indexed="81"/>
            <rFont val="Tahoma"/>
            <family val="2"/>
          </rPr>
          <t>IEA:
Refers to Item 6 in Table 1</t>
        </r>
      </text>
    </comment>
    <comment ref="C12" authorId="0" shapeId="0" xr:uid="{00000000-0006-0000-1300-000004000000}">
      <text>
        <r>
          <rPr>
            <sz val="8"/>
            <color indexed="81"/>
            <rFont val="Tahoma"/>
            <family val="2"/>
          </rPr>
          <t>IEA:
Refers to Item 22 and 33 in Table 1</t>
        </r>
      </text>
    </comment>
    <comment ref="C14" authorId="0" shapeId="0" xr:uid="{00000000-0006-0000-1300-000005000000}">
      <text>
        <r>
          <rPr>
            <sz val="8"/>
            <color indexed="81"/>
            <rFont val="Tahoma"/>
            <family val="2"/>
          </rPr>
          <t>IEA:
Refers to Item 25 and 36 in Table 1</t>
        </r>
      </text>
    </comment>
    <comment ref="C16" authorId="0" shapeId="0" xr:uid="{00000000-0006-0000-1300-000006000000}">
      <text>
        <r>
          <rPr>
            <sz val="8"/>
            <color indexed="81"/>
            <rFont val="Tahoma"/>
            <family val="2"/>
          </rPr>
          <t>IEA:
Refers to Items 15, 16 and 17 in Table 1. Please ensure that these calorific values are in line with those given in the joint IEA/EUROSTAT/UN ECE "Annual Electricity and Heat Questionnaire"</t>
        </r>
      </text>
    </comment>
    <comment ref="C18" authorId="0" shapeId="0" xr:uid="{00000000-0006-0000-1300-000007000000}">
      <text>
        <r>
          <rPr>
            <sz val="8"/>
            <color indexed="81"/>
            <rFont val="Tahoma"/>
            <family val="2"/>
          </rPr>
          <t>IEA:
Refers to Items 18 to 20 and 48 to 61 in Table 1. For items 18 to 20, please ensure that these calorific values are in line with those given in the joint IEA/EUROSTAT/UN ECE "Annual Electricity and Heat Questionnaire"</t>
        </r>
      </text>
    </comment>
    <comment ref="C20" authorId="0" shapeId="0" xr:uid="{00000000-0006-0000-1300-000008000000}">
      <text>
        <r>
          <rPr>
            <sz val="8"/>
            <color indexed="81"/>
            <rFont val="Tahoma"/>
            <family val="2"/>
          </rPr>
          <t>IEA:
Refers to the average calorific value of remaining consumption items not specified above</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IEA</author>
  </authors>
  <commentList>
    <comment ref="C11" authorId="0" shapeId="0" xr:uid="{00000000-0006-0000-1800-000001000000}">
      <text>
        <r>
          <rPr>
            <sz val="8"/>
            <color indexed="81"/>
            <rFont val="Tahoma"/>
            <family val="2"/>
          </rPr>
          <t>This mainly concerns Crude Oil (indigenous or imported) and indigenous NGL which does not pass through an oil refinery. Total Product Receipts on Table 2A (cell Z1) should be equal to Total Direct Use on Table 1 (cell G7).</t>
        </r>
      </text>
    </comment>
    <comment ref="C12" authorId="0" shapeId="0" xr:uid="{00000000-0006-0000-1800-000002000000}">
      <text>
        <r>
          <rPr>
            <sz val="8"/>
            <color indexed="81"/>
            <rFont val="Tahoma"/>
            <family val="2"/>
          </rPr>
          <t>Total Gross Refinery Output on Table 2A (cell Z2) should be equal to Observed Refinery Intake on Table 1 (cell G11) minus Refinery Losses on Table 1 (cell G12).</t>
        </r>
      </text>
    </comment>
    <comment ref="C15" authorId="0" shapeId="0" xr:uid="{00000000-0006-0000-1800-000003000000}">
      <text>
        <r>
          <rPr>
            <sz val="8"/>
            <color indexed="81"/>
            <rFont val="Tahoma"/>
            <family val="2"/>
          </rPr>
          <t>Should correspond to Total Imports on Table 4.</t>
        </r>
      </text>
    </comment>
    <comment ref="C16" authorId="0" shapeId="0" xr:uid="{00000000-0006-0000-1800-000004000000}">
      <text>
        <r>
          <rPr>
            <sz val="8"/>
            <color indexed="81"/>
            <rFont val="Tahoma"/>
            <family val="2"/>
          </rPr>
          <t>Should correspond to Total Exports on Table 5.</t>
        </r>
      </text>
    </comment>
    <comment ref="C18" authorId="0" shapeId="0" xr:uid="{00000000-0006-0000-1800-000005000000}">
      <text>
        <r>
          <rPr>
            <sz val="8"/>
            <color indexed="81"/>
            <rFont val="Tahoma"/>
            <family val="2"/>
          </rPr>
          <t>Must add to zero in cell Z8 on Table 2A.</t>
        </r>
      </text>
    </comment>
    <comment ref="C19" authorId="0" shapeId="0" xr:uid="{00000000-0006-0000-1800-000006000000}">
      <text>
        <r>
          <rPr>
            <sz val="8"/>
            <color indexed="81"/>
            <rFont val="Tahoma"/>
            <family val="2"/>
          </rPr>
          <t>For definition see instructions for completing Individual Tables (Table 2A).  Total (cell Z9) must equal Total Product Transfers on Table 1 (cell G4).</t>
        </r>
      </text>
    </comment>
    <comment ref="C20" authorId="0" shapeId="0" xr:uid="{00000000-0006-0000-1800-000007000000}">
      <text>
        <r>
          <rPr>
            <sz val="8"/>
            <color indexed="81"/>
            <rFont val="Tahoma"/>
            <family val="2"/>
          </rPr>
          <t>Opening Stock Level minus Closing Stock Level (row 14 minus row 15).  Figures may have positive or negative signs.</t>
        </r>
      </text>
    </comment>
    <comment ref="C22" authorId="0" shapeId="0" xr:uid="{00000000-0006-0000-1800-000008000000}">
      <text>
        <r>
          <rPr>
            <sz val="8"/>
            <color indexed="81"/>
            <rFont val="Tahoma"/>
            <family val="2"/>
          </rPr>
          <t>Statistical Differences occur when independent figures for Gross Inland Deliveries are available and are different to those calculated.  The sign of the differences can be positive or negative.</t>
        </r>
      </text>
    </comment>
    <comment ref="C28" authorId="0" shapeId="0" xr:uid="{00000000-0006-0000-1800-000009000000}">
      <text>
        <r>
          <rPr>
            <sz val="8"/>
            <color indexed="81"/>
            <rFont val="Tahoma"/>
            <family val="2"/>
          </rPr>
          <t>Report that part of refinery fuel included in the row above (4) which is used to produce electricity and/or heat.</t>
        </r>
      </text>
    </comment>
    <comment ref="C29" authorId="0" shapeId="0" xr:uid="{00000000-0006-0000-1800-00000A000000}">
      <text>
        <r>
          <rPr>
            <sz val="8"/>
            <color indexed="81"/>
            <rFont val="Tahoma"/>
            <family val="2"/>
          </rPr>
          <t>Report that part of refinery fuel included in the row above (4) which is used to produce electricity and/or heat.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IEA</author>
  </authors>
  <commentList>
    <comment ref="E5" authorId="0" shapeId="0" xr:uid="{00000000-0006-0000-1C00-000001000000}">
      <text>
        <r>
          <rPr>
            <sz val="8"/>
            <color indexed="81"/>
            <rFont val="Tahoma"/>
            <family val="2"/>
          </rPr>
          <t xml:space="preserve">Only report direct use of geothermal and solar thermal. </t>
        </r>
      </text>
    </comment>
    <comment ref="F5" authorId="0" shapeId="0" xr:uid="{00000000-0006-0000-1C00-000002000000}">
      <text>
        <r>
          <rPr>
            <sz val="8"/>
            <color indexed="81"/>
            <rFont val="Tahoma"/>
            <family val="2"/>
          </rPr>
          <t xml:space="preserve">Only report direct use of geothermal and solar thermal. </t>
        </r>
      </text>
    </comment>
    <comment ref="C15" authorId="0" shapeId="0" xr:uid="{00000000-0006-0000-1C00-000003000000}">
      <text>
        <r>
          <rPr>
            <sz val="8"/>
            <color indexed="81"/>
            <rFont val="Tahoma"/>
            <family val="2"/>
          </rPr>
          <t>Corresponding to the electricity generation and heat output reported in Table 1</t>
        </r>
      </text>
    </comment>
    <comment ref="C16" authorId="0" shapeId="0" xr:uid="{00000000-0006-0000-1C00-000004000000}">
      <text>
        <r>
          <rPr>
            <sz val="8"/>
            <color indexed="81"/>
            <rFont val="Tahoma"/>
            <family val="2"/>
          </rPr>
          <t>Corresponding to the electricity generation and heat output reported in Table 1</t>
        </r>
      </text>
    </comment>
    <comment ref="C17" authorId="0" shapeId="0" xr:uid="{00000000-0006-0000-1C00-000005000000}">
      <text>
        <r>
          <rPr>
            <sz val="8"/>
            <color indexed="81"/>
            <rFont val="Tahoma"/>
            <family val="2"/>
          </rPr>
          <t>Corresponding to the electricity generation and heat output reported in Table 1</t>
        </r>
      </text>
    </comment>
    <comment ref="C18" authorId="0" shapeId="0" xr:uid="{00000000-0006-0000-1C00-000006000000}">
      <text>
        <r>
          <rPr>
            <sz val="8"/>
            <color indexed="81"/>
            <rFont val="Tahoma"/>
            <family val="2"/>
          </rPr>
          <t>Corresponding to the electricity generation and heat output reported in Table 1</t>
        </r>
      </text>
    </comment>
    <comment ref="C19" authorId="0" shapeId="0" xr:uid="{00000000-0006-0000-1C00-000007000000}">
      <text>
        <r>
          <rPr>
            <sz val="8"/>
            <color indexed="81"/>
            <rFont val="Tahoma"/>
            <family val="2"/>
          </rPr>
          <t>Corresponding to the electricity generation and heat output reported in Table 1</t>
        </r>
      </text>
    </comment>
    <comment ref="C20" authorId="0" shapeId="0" xr:uid="{00000000-0006-0000-1C00-000008000000}">
      <text>
        <r>
          <rPr>
            <sz val="8"/>
            <color indexed="81"/>
            <rFont val="Tahoma"/>
            <family val="2"/>
          </rPr>
          <t>Corresponding to the electricity generation and heat output reported in Table 1</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IEA</author>
  </authors>
  <commentList>
    <comment ref="C8" authorId="0" shapeId="0" xr:uid="{00000000-0006-0000-1D00-000001000000}">
      <text>
        <r>
          <rPr>
            <sz val="8"/>
            <color indexed="81"/>
            <rFont val="Tahoma"/>
            <family val="2"/>
          </rPr>
          <t>This item should be equal to the sum of items 2,3,4 and 5.</t>
        </r>
      </text>
    </comment>
    <comment ref="C9" authorId="0" shapeId="0" xr:uid="{00000000-0006-0000-1D00-000002000000}">
      <text>
        <r>
          <rPr>
            <sz val="8"/>
            <color indexed="81"/>
            <rFont val="Tahoma"/>
            <family val="2"/>
          </rPr>
          <t>Net of pumping</t>
        </r>
      </text>
    </comment>
    <comment ref="C10" authorId="0" shapeId="0" xr:uid="{00000000-0006-0000-1D00-000003000000}">
      <text>
        <r>
          <rPr>
            <sz val="8"/>
            <color indexed="81"/>
            <rFont val="Tahoma"/>
            <family val="2"/>
          </rPr>
          <t>Net of pumping</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IEA</author>
  </authors>
  <commentList>
    <comment ref="C35" authorId="0" shapeId="0" xr:uid="{00000000-0006-0000-2200-000001000000}">
      <text>
        <r>
          <rPr>
            <sz val="8"/>
            <color indexed="81"/>
            <rFont val="Tahoma"/>
            <family val="2"/>
          </rPr>
          <t>Distillate Fuel Oil</t>
        </r>
      </text>
    </comment>
    <comment ref="C43" authorId="0" shapeId="0" xr:uid="{00000000-0006-0000-2200-000002000000}">
      <text>
        <r>
          <rPr>
            <sz val="8"/>
            <color indexed="81"/>
            <rFont val="Tahoma"/>
            <family val="2"/>
          </rPr>
          <t>Including ORIMULSION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Gianluca TONOLO</author>
    <author>IEA</author>
  </authors>
  <commentList>
    <comment ref="D9" authorId="0" shapeId="0" xr:uid="{00000000-0006-0000-2500-000001000000}">
      <text>
        <r>
          <rPr>
            <sz val="8"/>
            <color indexed="81"/>
            <rFont val="Tahoma"/>
            <family val="2"/>
          </rPr>
          <t>Hydro capacity includes mixed and pure pumped storage plants’ capacity</t>
        </r>
      </text>
    </comment>
    <comment ref="D11" authorId="0" shapeId="0" xr:uid="{00000000-0006-0000-2500-000002000000}">
      <text>
        <r>
          <rPr>
            <sz val="8"/>
            <color indexed="81"/>
            <rFont val="Tahoma"/>
            <family val="2"/>
          </rPr>
          <t xml:space="preserve">Mixed plants capacity is also included in the total hydro capacity
</t>
        </r>
      </text>
    </comment>
    <comment ref="D12" authorId="0" shapeId="0" xr:uid="{00000000-0006-0000-2500-000003000000}">
      <text>
        <r>
          <rPr>
            <sz val="8"/>
            <color indexed="81"/>
            <rFont val="Tahoma"/>
            <family val="2"/>
          </rPr>
          <t>Pure pumped storage capacity is also included in the total hydro capacity</t>
        </r>
      </text>
    </comment>
    <comment ref="D19" authorId="1" shapeId="0" xr:uid="{00000000-0006-0000-2500-000004000000}">
      <text>
        <r>
          <rPr>
            <sz val="8"/>
            <color indexed="81"/>
            <rFont val="Tahoma"/>
            <family val="2"/>
          </rPr>
          <t>Please identify in the "Remarks Page" (e.g.:  fuel cells, primary heat).</t>
        </r>
      </text>
    </comment>
    <comment ref="D20" authorId="1" shapeId="0" xr:uid="{00000000-0006-0000-2500-000005000000}">
      <text>
        <r>
          <rPr>
            <sz val="8"/>
            <color indexed="81"/>
            <rFont val="Tahoma"/>
            <family val="2"/>
          </rPr>
          <t>Equal to the figure reported on Line 10.</t>
        </r>
      </text>
    </comment>
    <comment ref="D25" authorId="1" shapeId="0" xr:uid="{00000000-0006-0000-2500-000006000000}">
      <text>
        <r>
          <rPr>
            <sz val="8"/>
            <color indexed="81"/>
            <rFont val="Tahoma"/>
            <family val="2"/>
          </rPr>
          <t>Please specify.</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B35" authorId="0" shapeId="0" xr:uid="{00000000-0006-0000-2600-000001000000}">
      <text>
        <r>
          <rPr>
            <b/>
            <sz val="9"/>
            <color indexed="81"/>
            <rFont val="Tahoma"/>
            <family val="2"/>
          </rPr>
          <t>Note:</t>
        </r>
        <r>
          <rPr>
            <sz val="9"/>
            <color indexed="81"/>
            <rFont val="Tahoma"/>
            <family val="2"/>
          </rPr>
          <t xml:space="preserve">
Other inputs are rare, but some countries report e.g. industrial waste or oil products as transformation inputs to coke ovens.</t>
        </r>
      </text>
    </comment>
    <comment ref="E39" authorId="0" shapeId="0" xr:uid="{00000000-0006-0000-2600-000002000000}">
      <text>
        <r>
          <rPr>
            <b/>
            <sz val="9"/>
            <color indexed="81"/>
            <rFont val="Tahoma"/>
            <family val="2"/>
          </rPr>
          <t>Note:</t>
        </r>
        <r>
          <rPr>
            <sz val="9"/>
            <color indexed="81"/>
            <rFont val="Tahoma"/>
            <family val="2"/>
          </rPr>
          <t xml:space="preserve">
Net-to-gross -ratio</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B37" authorId="0" shapeId="0" xr:uid="{00000000-0006-0000-2700-000001000000}">
      <text>
        <r>
          <rPr>
            <b/>
            <sz val="9"/>
            <color indexed="81"/>
            <rFont val="Tahoma"/>
            <family val="2"/>
          </rPr>
          <t>Notes:</t>
        </r>
        <r>
          <rPr>
            <sz val="9"/>
            <color indexed="81"/>
            <rFont val="Tahoma"/>
            <family val="2"/>
          </rPr>
          <t xml:space="preserve">
Pulverized coal injection (PCI) is used in modern blast furnaces. The cost of coke has risen due to increased global demand. Thus more competition for the resource have made this method attractive to the iron producing industries and increased its value.
Item is not present in the IEA energy balance, thus the values (amount, NCV) must be entered manually!</t>
        </r>
      </text>
    </comment>
    <comment ref="E40" authorId="0" shapeId="0" xr:uid="{00000000-0006-0000-2700-000002000000}">
      <text>
        <r>
          <rPr>
            <b/>
            <sz val="9"/>
            <color indexed="81"/>
            <rFont val="Tahoma"/>
            <family val="2"/>
          </rPr>
          <t>Note:</t>
        </r>
        <r>
          <rPr>
            <sz val="9"/>
            <color indexed="81"/>
            <rFont val="Tahoma"/>
            <family val="2"/>
          </rPr>
          <t xml:space="preserve">
Net-to-gross -ratio</t>
        </r>
      </text>
    </comment>
    <comment ref="E41" authorId="0" shapeId="0" xr:uid="{00000000-0006-0000-2700-000003000000}">
      <text>
        <r>
          <rPr>
            <b/>
            <sz val="9"/>
            <color indexed="81"/>
            <rFont val="Tahoma"/>
            <family val="2"/>
          </rPr>
          <t>Note:</t>
        </r>
        <r>
          <rPr>
            <sz val="9"/>
            <color indexed="81"/>
            <rFont val="Tahoma"/>
            <family val="2"/>
          </rPr>
          <t xml:space="preserve">
Net-to-gross -ratio</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V31" authorId="0" shapeId="0" xr:uid="{00000000-0006-0000-2A00-000001000000}">
      <text>
        <r>
          <rPr>
            <b/>
            <sz val="9"/>
            <color indexed="81"/>
            <rFont val="Tahoma"/>
            <family val="2"/>
          </rPr>
          <t>Note:</t>
        </r>
        <r>
          <rPr>
            <sz val="9"/>
            <color indexed="81"/>
            <rFont val="Tahoma"/>
            <family val="2"/>
          </rPr>
          <t xml:space="preserve">
If the back-calculated inputs from outputs  (with 50% eff.) are below 1 ktoe, attribute it to rounding, i.e. no alert is generated.</t>
        </r>
      </text>
    </comment>
    <comment ref="AT32" authorId="0" shapeId="0" xr:uid="{00000000-0006-0000-2A00-000002000000}">
      <text>
        <r>
          <rPr>
            <b/>
            <sz val="9"/>
            <color indexed="81"/>
            <rFont val="Tahoma"/>
            <family val="2"/>
          </rPr>
          <t>Note:</t>
        </r>
        <r>
          <rPr>
            <sz val="9"/>
            <color indexed="81"/>
            <rFont val="Tahoma"/>
            <family val="2"/>
          </rPr>
          <t xml:space="preserve">
Row counter for detailed efficency table.</t>
        </r>
      </text>
    </comment>
    <comment ref="AX32" authorId="0" shapeId="0" xr:uid="{00000000-0006-0000-2A00-000003000000}">
      <text>
        <r>
          <rPr>
            <b/>
            <sz val="9"/>
            <color indexed="81"/>
            <rFont val="Tahoma"/>
            <family val="2"/>
          </rPr>
          <t>Note:</t>
        </r>
        <r>
          <rPr>
            <sz val="9"/>
            <color indexed="81"/>
            <rFont val="Tahoma"/>
            <family val="2"/>
          </rPr>
          <t xml:space="preserve">
Row counter for detailed efficency table.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B5" authorId="0" shapeId="0" xr:uid="{00000000-0006-0000-0100-000001000000}">
      <text>
        <r>
          <rPr>
            <b/>
            <sz val="9"/>
            <color indexed="81"/>
            <rFont val="Tahoma"/>
            <family val="2"/>
          </rPr>
          <t>Markus Fager-Pintilä:</t>
        </r>
        <r>
          <rPr>
            <sz val="9"/>
            <color indexed="81"/>
            <rFont val="Tahoma"/>
            <family val="2"/>
          </rPr>
          <t xml:space="preserve">
Counters for low/high efficiencies.</t>
        </r>
      </text>
    </comment>
    <comment ref="AG43" authorId="0" shapeId="0" xr:uid="{00000000-0006-0000-0100-000002000000}">
      <text>
        <r>
          <rPr>
            <b/>
            <sz val="9"/>
            <color indexed="81"/>
            <rFont val="Tahoma"/>
            <family val="2"/>
          </rPr>
          <t>Markus Fager-Pintilä:</t>
        </r>
        <r>
          <rPr>
            <sz val="9"/>
            <color indexed="81"/>
            <rFont val="Tahoma"/>
            <family val="2"/>
          </rPr>
          <t xml:space="preserve">
Boundary condition for showing up in the list.</t>
        </r>
      </text>
    </comment>
    <comment ref="AH44" authorId="0" shapeId="0" xr:uid="{00000000-0006-0000-0100-000003000000}">
      <text>
        <r>
          <rPr>
            <b/>
            <sz val="9"/>
            <color indexed="81"/>
            <rFont val="Tahoma"/>
            <family val="2"/>
          </rPr>
          <t>Markus Fager-Pintilä:</t>
        </r>
        <r>
          <rPr>
            <sz val="9"/>
            <color indexed="81"/>
            <rFont val="Tahoma"/>
            <family val="2"/>
          </rPr>
          <t xml:space="preserve">
Used to generate the published list.</t>
        </r>
      </text>
    </comment>
    <comment ref="AI44" authorId="0" shapeId="0" xr:uid="{00000000-0006-0000-0100-000004000000}">
      <text>
        <r>
          <rPr>
            <b/>
            <sz val="9"/>
            <color indexed="81"/>
            <rFont val="Tahoma"/>
            <family val="2"/>
          </rPr>
          <t>Markus Fager-Pintilä:</t>
        </r>
        <r>
          <rPr>
            <sz val="9"/>
            <color indexed="81"/>
            <rFont val="Tahoma"/>
            <family val="2"/>
          </rPr>
          <t xml:space="preserve">
In case same rank repeats more than once, the list is adjusted.</t>
        </r>
      </text>
    </comment>
    <comment ref="AG45" authorId="0" shapeId="0" xr:uid="{00000000-0006-0000-0100-000005000000}">
      <text>
        <r>
          <rPr>
            <b/>
            <sz val="9"/>
            <color indexed="81"/>
            <rFont val="Tahoma"/>
            <family val="2"/>
          </rPr>
          <t>Markus Fager-Pintilä:</t>
        </r>
        <r>
          <rPr>
            <sz val="9"/>
            <color indexed="81"/>
            <rFont val="Tahoma"/>
            <family val="2"/>
          </rPr>
          <t xml:space="preserve">
Counter for the cases where statdiff is above limit.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C31" authorId="0" shapeId="0" xr:uid="{00000000-0006-0000-2B00-000001000000}">
      <text>
        <r>
          <rPr>
            <b/>
            <sz val="9"/>
            <color indexed="81"/>
            <rFont val="Tahoma"/>
            <family val="2"/>
          </rPr>
          <t>Note:</t>
        </r>
        <r>
          <rPr>
            <sz val="9"/>
            <color indexed="81"/>
            <rFont val="Tahoma"/>
            <family val="2"/>
          </rPr>
          <t xml:space="preserve">
Data from:
-Renewables questionnaire, 'Table 3'
-Electricity questionnaire, 'Table 7'</t>
        </r>
      </text>
    </comment>
    <comment ref="D31" authorId="0" shapeId="0" xr:uid="{00000000-0006-0000-2B00-000002000000}">
      <text>
        <r>
          <rPr>
            <b/>
            <sz val="9"/>
            <color indexed="81"/>
            <rFont val="Tahoma"/>
            <family val="2"/>
          </rPr>
          <t>Note:</t>
        </r>
        <r>
          <rPr>
            <sz val="9"/>
            <color indexed="81"/>
            <rFont val="Tahoma"/>
            <family val="2"/>
          </rPr>
          <t xml:space="preserve">
Maximum production = Capacity x Time in reference period (e.g. 8760 hours/year)</t>
        </r>
      </text>
    </comment>
    <comment ref="AA32" authorId="0" shapeId="0" xr:uid="{00000000-0006-0000-2B00-000003000000}">
      <text>
        <r>
          <rPr>
            <b/>
            <sz val="9"/>
            <color indexed="81"/>
            <rFont val="Tahoma"/>
            <family val="2"/>
          </rPr>
          <t>Note:</t>
        </r>
        <r>
          <rPr>
            <sz val="9"/>
            <color indexed="81"/>
            <rFont val="Tahoma"/>
            <family val="2"/>
          </rPr>
          <t xml:space="preserve">
Example data copied from monthly electricity supply IVT. Data represents total electricity supply for Finland in 2016.</t>
        </r>
      </text>
    </comment>
    <comment ref="C46" authorId="0" shapeId="0" xr:uid="{00000000-0006-0000-2B00-000004000000}">
      <text>
        <r>
          <rPr>
            <b/>
            <sz val="9"/>
            <color indexed="81"/>
            <rFont val="Tahoma"/>
            <family val="2"/>
          </rPr>
          <t xml:space="preserve">Note:
</t>
        </r>
        <r>
          <rPr>
            <sz val="9"/>
            <color indexed="81"/>
            <rFont val="Tahoma"/>
            <family val="2"/>
          </rPr>
          <t>Data from:
-Renewables questionnaire, 'Table 3'</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Markus F-P</author>
  </authors>
  <commentList>
    <comment ref="C2" authorId="0" shapeId="0" xr:uid="{00000000-0006-0000-2C00-000001000000}">
      <text>
        <r>
          <rPr>
            <b/>
            <sz val="9"/>
            <color indexed="81"/>
            <rFont val="Tahoma"/>
            <family val="2"/>
          </rPr>
          <t>Note:</t>
        </r>
        <r>
          <rPr>
            <sz val="9"/>
            <color indexed="81"/>
            <rFont val="Tahoma"/>
            <family val="2"/>
          </rPr>
          <t xml:space="preserve">
(</t>
        </r>
        <r>
          <rPr>
            <b/>
            <sz val="9"/>
            <color indexed="81"/>
            <rFont val="Tahoma"/>
            <family val="2"/>
          </rPr>
          <t>F</t>
        </r>
        <r>
          <rPr>
            <sz val="9"/>
            <color indexed="81"/>
            <rFont val="Tahoma"/>
            <family val="2"/>
          </rPr>
          <t>)unctional: affectes the calculations, output etc.
(</t>
        </r>
        <r>
          <rPr>
            <b/>
            <sz val="9"/>
            <color indexed="81"/>
            <rFont val="Tahoma"/>
            <family val="2"/>
          </rPr>
          <t>V</t>
        </r>
        <r>
          <rPr>
            <sz val="9"/>
            <color indexed="81"/>
            <rFont val="Tahoma"/>
            <family val="2"/>
          </rPr>
          <t>)isual: Affects only the visual reprentation of data</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Roberta Quadrelli</author>
    <author>tc={890E386B-F5E4-4771-AE8E-8CD9B07A9EB4}</author>
    <author>tc={E58C16AF-FB1C-47BD-A004-BBF797A8F84E}</author>
    <author>tc={620C7718-F5AF-4AC6-9BB2-C5CC1DF24921}</author>
    <author>treanton</author>
  </authors>
  <commentList>
    <comment ref="Q3" authorId="0" shapeId="0" xr:uid="{00000000-0006-0000-0700-000001000000}">
      <text>
        <r>
          <rPr>
            <sz val="8"/>
            <color indexed="81"/>
            <rFont val="Tahoma"/>
            <family val="2"/>
          </rPr>
          <t>Category used very rarely, and is mostly applicable for some historical data, where a further breakdown is not possible.</t>
        </r>
      </text>
    </comment>
    <comment ref="Y6" authorId="1" shapeId="0" xr:uid="{890E386B-F5E4-4771-AE8E-8CD9B07A9EB4}">
      <text>
        <t>[Threaded comment]
Your version of Excel allows you to read this threaded comment; however, any edits to it will get removed if the file is opened in a newer version of Excel. Learn more: https://go.microsoft.com/fwlink/?linkid=870924
Comment:
    SASOL report on Production and Sales METRICS</t>
      </text>
    </comment>
    <comment ref="Y7" authorId="2" shapeId="0" xr:uid="{E58C16AF-FB1C-47BD-A004-BBF797A8F84E}">
      <text>
        <t>[Threaded comment]
Your version of Excel allows you to read this threaded comment; however, any edits to it will get removed if the file is opened in a newer version of Excel. Learn more: https://go.microsoft.com/fwlink/?linkid=870924
Comment:
    Gas liquefaction value from Sasol sales data x 23.88 minus 40% assuming 60% GTL Efficiency</t>
      </text>
    </comment>
    <comment ref="D12" authorId="3" shapeId="0" xr:uid="{620C7718-F5AF-4AC6-9BB2-C5CC1DF24921}">
      <text>
        <t>[Threaded comment]
Your version of Excel allows you to read this threaded comment; however, any edits to it will get removed if the file is opened in a newer version of Excel. Learn more: https://go.microsoft.com/fwlink/?linkid=870924
Comment:
    Assumed that there was no export for Coking coal and therefore efficiencies fell within ranges</t>
      </text>
    </comment>
    <comment ref="AO33" authorId="4" shapeId="0" xr:uid="{00000000-0006-0000-0700-000002000000}">
      <text>
        <r>
          <rPr>
            <b/>
            <sz val="8"/>
            <color indexed="81"/>
            <rFont val="Tahoma"/>
            <family val="2"/>
          </rPr>
          <t>treanton:</t>
        </r>
        <r>
          <rPr>
            <sz val="8"/>
            <color indexed="81"/>
            <rFont val="Tahoma"/>
            <family val="2"/>
          </rPr>
          <t xml:space="preserve">
do not subtract out the non-energy use</t>
        </r>
      </text>
    </comment>
    <comment ref="AP33" authorId="4" shapeId="0" xr:uid="{00000000-0006-0000-0700-000003000000}">
      <text>
        <r>
          <rPr>
            <b/>
            <sz val="8"/>
            <color indexed="81"/>
            <rFont val="Tahoma"/>
            <family val="2"/>
          </rPr>
          <t>treanton:</t>
        </r>
        <r>
          <rPr>
            <sz val="8"/>
            <color indexed="81"/>
            <rFont val="Tahoma"/>
            <family val="2"/>
          </rPr>
          <t xml:space="preserve">
do not subtract out the non-energy use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Wilkinson</author>
    <author>Karen Treanton</author>
    <author>FAGER-PINTILA Markus</author>
  </authors>
  <commentList>
    <comment ref="E5" authorId="0" shapeId="0" xr:uid="{00000000-0006-0000-0900-000001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F5" authorId="0" shapeId="0" xr:uid="{00000000-0006-0000-0900-000002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G5" authorId="0" shapeId="0" xr:uid="{00000000-0006-0000-0900-000003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H5" authorId="0" shapeId="0" xr:uid="{00000000-0006-0000-0900-000004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I5" authorId="0" shapeId="0" xr:uid="{00000000-0006-0000-0900-000005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T5" authorId="0" shapeId="0" xr:uid="{00000000-0006-0000-0900-000006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V5" authorId="0" shapeId="0" xr:uid="{00000000-0006-0000-0900-000007000000}">
      <text>
        <r>
          <rPr>
            <sz val="8"/>
            <color indexed="81"/>
            <rFont val="Tahoma"/>
            <family val="2"/>
          </rPr>
          <t>This figure is calculated as the sum of the indigenous production and production from other sources of coal.</t>
        </r>
        <r>
          <rPr>
            <sz val="8"/>
            <color indexed="81"/>
            <rFont val="Tahoma"/>
            <family val="2"/>
          </rPr>
          <t xml:space="preserve">
</t>
        </r>
      </text>
    </comment>
    <comment ref="Z5" authorId="0" shapeId="0" xr:uid="{00000000-0006-0000-0900-000008000000}">
      <text>
        <r>
          <rPr>
            <sz val="8"/>
            <color indexed="81"/>
            <rFont val="Tahoma"/>
            <family val="2"/>
          </rPr>
          <t>This figure is calculated as the sum of the indigenous production and production from all other sources.</t>
        </r>
        <r>
          <rPr>
            <sz val="8"/>
            <color indexed="81"/>
            <rFont val="Tahoma"/>
            <family val="2"/>
          </rPr>
          <t xml:space="preserve">
</t>
        </r>
      </text>
    </comment>
    <comment ref="BN5" authorId="1" shapeId="0" xr:uid="{00000000-0006-0000-0900-000009000000}">
      <text>
        <r>
          <rPr>
            <sz val="8"/>
            <color indexed="81"/>
            <rFont val="Tahoma"/>
            <family val="2"/>
          </rPr>
          <t>If there is negative production due to data problems, this is set to zero.</t>
        </r>
      </text>
    </comment>
    <comment ref="BE15" authorId="0" shapeId="0" xr:uid="{00000000-0006-0000-0900-00000A000000}">
      <text>
        <r>
          <rPr>
            <sz val="8"/>
            <color indexed="81"/>
            <rFont val="Tahoma"/>
            <family val="2"/>
          </rPr>
          <t>Assume 33% Efficiency</t>
        </r>
        <r>
          <rPr>
            <sz val="8"/>
            <color indexed="81"/>
            <rFont val="Tahoma"/>
            <family val="2"/>
          </rPr>
          <t xml:space="preserve">
</t>
        </r>
      </text>
    </comment>
    <comment ref="BF15" authorId="0" shapeId="0" xr:uid="{00000000-0006-0000-0900-00000B000000}">
      <text>
        <r>
          <rPr>
            <sz val="8"/>
            <color indexed="81"/>
            <rFont val="Tahoma"/>
            <family val="2"/>
          </rPr>
          <t>Pumped storage is netted out from hydro to prevent double counting.</t>
        </r>
      </text>
    </comment>
    <comment ref="BM15" authorId="0" shapeId="0" xr:uid="{00000000-0006-0000-0900-00000C000000}">
      <text>
        <r>
          <rPr>
            <sz val="8"/>
            <color indexed="81"/>
            <rFont val="Tahoma"/>
            <family val="2"/>
          </rPr>
          <t>Net out pumped storage production from total hydro production.</t>
        </r>
        <r>
          <rPr>
            <sz val="8"/>
            <color indexed="81"/>
            <rFont val="Tahoma"/>
            <family val="2"/>
          </rPr>
          <t xml:space="preserve">
</t>
        </r>
      </text>
    </comment>
    <comment ref="BE16" authorId="0" shapeId="0" xr:uid="{00000000-0006-0000-0900-00000D000000}">
      <text>
        <r>
          <rPr>
            <sz val="8"/>
            <color indexed="81"/>
            <rFont val="Tahoma"/>
            <family val="2"/>
          </rPr>
          <t>Assume 33% Efficiency</t>
        </r>
        <r>
          <rPr>
            <sz val="8"/>
            <color indexed="81"/>
            <rFont val="Tahoma"/>
            <family val="2"/>
          </rPr>
          <t xml:space="preserve">
</t>
        </r>
      </text>
    </comment>
    <comment ref="BF16" authorId="0" shapeId="0" xr:uid="{00000000-0006-0000-0900-00000E000000}">
      <text>
        <r>
          <rPr>
            <sz val="8"/>
            <color indexed="81"/>
            <rFont val="Tahoma"/>
            <family val="2"/>
          </rPr>
          <t>Pumped storage is netted out from hydro to prevent double counting.</t>
        </r>
      </text>
    </comment>
    <comment ref="BM16" authorId="0" shapeId="0" xr:uid="{00000000-0006-0000-0900-00000F000000}">
      <text>
        <r>
          <rPr>
            <sz val="8"/>
            <color indexed="81"/>
            <rFont val="Tahoma"/>
            <family val="2"/>
          </rPr>
          <t>Net out pumped storage production from total hydro production.  Also net out electricity produced from chemical heat.</t>
        </r>
        <r>
          <rPr>
            <sz val="8"/>
            <color indexed="81"/>
            <rFont val="Tahoma"/>
            <family val="2"/>
          </rPr>
          <t xml:space="preserve">
</t>
        </r>
      </text>
    </comment>
    <comment ref="BE17" authorId="0" shapeId="0" xr:uid="{00000000-0006-0000-0900-000010000000}">
      <text>
        <r>
          <rPr>
            <sz val="8"/>
            <color indexed="81"/>
            <rFont val="Tahoma"/>
            <family val="2"/>
          </rPr>
          <t>Assume 33% Efficiency</t>
        </r>
        <r>
          <rPr>
            <sz val="8"/>
            <color indexed="81"/>
            <rFont val="Tahoma"/>
            <family val="2"/>
          </rPr>
          <t xml:space="preserve">
</t>
        </r>
      </text>
    </comment>
    <comment ref="BE18" authorId="0" shapeId="0" xr:uid="{00000000-0006-0000-0900-000011000000}">
      <text>
        <r>
          <rPr>
            <sz val="8"/>
            <color indexed="81"/>
            <rFont val="Tahoma"/>
            <family val="2"/>
          </rPr>
          <t>Assume 33% Efficiency</t>
        </r>
        <r>
          <rPr>
            <sz val="8"/>
            <color indexed="81"/>
            <rFont val="Tahoma"/>
            <family val="2"/>
          </rPr>
          <t xml:space="preserve">
</t>
        </r>
      </text>
    </comment>
    <comment ref="BM18" authorId="0" shapeId="0" xr:uid="{00000000-0006-0000-0900-000012000000}">
      <text>
        <r>
          <rPr>
            <sz val="8"/>
            <color indexed="81"/>
            <rFont val="Tahoma"/>
            <family val="2"/>
          </rPr>
          <t>Net out electricity produced from chemical heat</t>
        </r>
      </text>
    </comment>
    <comment ref="BE19" authorId="0" shapeId="0" xr:uid="{00000000-0006-0000-0900-000013000000}">
      <text>
        <r>
          <rPr>
            <sz val="8"/>
            <color indexed="81"/>
            <rFont val="Tahoma"/>
            <family val="2"/>
          </rPr>
          <t>Assume 33% Efficiency</t>
        </r>
        <r>
          <rPr>
            <sz val="8"/>
            <color indexed="81"/>
            <rFont val="Tahoma"/>
            <family val="2"/>
          </rPr>
          <t xml:space="preserve">
</t>
        </r>
      </text>
    </comment>
    <comment ref="BE20" authorId="0" shapeId="0" xr:uid="{00000000-0006-0000-0900-000014000000}">
      <text>
        <r>
          <rPr>
            <sz val="8"/>
            <color indexed="81"/>
            <rFont val="Tahoma"/>
            <family val="2"/>
          </rPr>
          <t>Assume 33% Efficiency</t>
        </r>
        <r>
          <rPr>
            <sz val="8"/>
            <color indexed="81"/>
            <rFont val="Tahoma"/>
            <family val="2"/>
          </rPr>
          <t xml:space="preserve">
</t>
        </r>
      </text>
    </comment>
    <comment ref="BN22" authorId="0" shapeId="0" xr:uid="{00000000-0006-0000-0900-000015000000}">
      <text>
        <r>
          <rPr>
            <sz val="8"/>
            <color indexed="81"/>
            <rFont val="Tahoma"/>
            <family val="2"/>
          </rPr>
          <t>Heat production from boiler</t>
        </r>
      </text>
    </comment>
    <comment ref="BM23" authorId="0" shapeId="0" xr:uid="{00000000-0006-0000-0900-000016000000}">
      <text>
        <r>
          <rPr>
            <sz val="8"/>
            <color indexed="81"/>
            <rFont val="Tahoma"/>
            <family val="2"/>
          </rPr>
          <t>Electricity from Chemical Heat</t>
        </r>
      </text>
    </comment>
    <comment ref="J24" authorId="0" shapeId="0" xr:uid="{00000000-0006-0000-0900-000017000000}">
      <text>
        <r>
          <rPr>
            <sz val="8"/>
            <color indexed="81"/>
            <rFont val="Tahoma"/>
            <family val="2"/>
          </rPr>
          <t>This figure is calculated as the sum of the indigenous production and production from other sources (oil, gas, renewables, non-specified) less own use in patent fuel plants.</t>
        </r>
        <r>
          <rPr>
            <sz val="8"/>
            <color indexed="81"/>
            <rFont val="Tahoma"/>
            <family val="2"/>
          </rPr>
          <t xml:space="preserve">
</t>
        </r>
      </text>
    </comment>
    <comment ref="K25" authorId="0" shapeId="0" xr:uid="{00000000-0006-0000-0900-000018000000}">
      <text>
        <r>
          <rPr>
            <sz val="8"/>
            <color indexed="81"/>
            <rFont val="Tahoma"/>
            <family val="2"/>
          </rPr>
          <t>This figure is calculated as the sum of the indigenous production and production from other sources (oil, gas, renewables) less own use in coke ovens.</t>
        </r>
        <r>
          <rPr>
            <sz val="8"/>
            <color indexed="81"/>
            <rFont val="Tahoma"/>
            <family val="2"/>
          </rPr>
          <t xml:space="preserve">
</t>
        </r>
      </text>
    </comment>
    <comment ref="M25" authorId="0" shapeId="0" xr:uid="{00000000-0006-0000-0900-000019000000}">
      <text>
        <r>
          <rPr>
            <sz val="8"/>
            <color indexed="81"/>
            <rFont val="Tahoma"/>
            <family val="2"/>
          </rPr>
          <t>This figure is calculated as the sum of the indigenous production and production from other sources (oil, gas, renewables, non-specified) less own use in coke oven plants.</t>
        </r>
        <r>
          <rPr>
            <sz val="8"/>
            <color indexed="81"/>
            <rFont val="Tahoma"/>
            <family val="2"/>
          </rPr>
          <t xml:space="preserve">
</t>
        </r>
      </text>
    </comment>
    <comment ref="P25" authorId="2" shapeId="0" xr:uid="{00000000-0006-0000-0900-00001A000000}">
      <text>
        <r>
          <rPr>
            <sz val="8"/>
            <color indexed="81"/>
            <rFont val="Tahoma"/>
            <family val="2"/>
          </rPr>
          <t>This figure is calculated as the sum of the indigenous production and production from other sources less the Coke Ovens figure.</t>
        </r>
      </text>
    </comment>
    <comment ref="L26" authorId="0" shapeId="0" xr:uid="{00000000-0006-0000-0900-00001B000000}">
      <text>
        <r>
          <rPr>
            <sz val="8"/>
            <color indexed="81"/>
            <rFont val="Tahoma"/>
            <family val="2"/>
          </rPr>
          <t>This figure is calculated as the sum of the indigenous production and production from other sources (oil, gas, renewables, non-specified) less own use in gas works plants.</t>
        </r>
        <r>
          <rPr>
            <sz val="8"/>
            <color indexed="81"/>
            <rFont val="Tahoma"/>
            <family val="2"/>
          </rPr>
          <t xml:space="preserve">
</t>
        </r>
      </text>
    </comment>
    <comment ref="Y28" authorId="0" shapeId="0" xr:uid="{00000000-0006-0000-0900-00001C000000}">
      <text>
        <r>
          <rPr>
            <sz val="8"/>
            <color indexed="81"/>
            <rFont val="Tahoma"/>
            <family val="2"/>
          </rPr>
          <t xml:space="preserve">Other oil sources reported here
</t>
        </r>
      </text>
    </comment>
    <comment ref="Z28" authorId="0" shapeId="0" xr:uid="{00000000-0006-0000-0900-00001D000000}">
      <text>
        <r>
          <rPr>
            <sz val="8"/>
            <color indexed="81"/>
            <rFont val="Tahoma"/>
            <family val="2"/>
          </rPr>
          <t>This figure is calculated as the sum of the indigenous production and production from all other sources.</t>
        </r>
        <r>
          <rPr>
            <sz val="8"/>
            <color indexed="81"/>
            <rFont val="Tahoma"/>
            <family val="2"/>
          </rPr>
          <t xml:space="preserve">
</t>
        </r>
      </text>
    </comment>
    <comment ref="N29" authorId="0" shapeId="0" xr:uid="{00000000-0006-0000-0900-00001E000000}">
      <text>
        <r>
          <rPr>
            <sz val="8"/>
            <color indexed="81"/>
            <rFont val="Tahoma"/>
            <family val="2"/>
          </rPr>
          <t>This figure is calculated as the sum of the indigenous production and production from other sources (oil, gas, renewables, non-specified) less own use in BKB plants.</t>
        </r>
        <r>
          <rPr>
            <sz val="8"/>
            <color indexed="81"/>
            <rFont val="Tahoma"/>
            <family val="2"/>
          </rPr>
          <t xml:space="preserve">
</t>
        </r>
      </text>
    </comment>
    <comment ref="U29" authorId="0" shapeId="0" xr:uid="{00000000-0006-0000-0900-00001F000000}">
      <text>
        <r>
          <rPr>
            <sz val="8"/>
            <color indexed="81"/>
            <rFont val="Tahoma"/>
            <family val="2"/>
          </rPr>
          <t>This figure is calculated as the sum of the indigenous production and production from other sources (oil, gas, renewables, non-specified) less own use in BKB plants.</t>
        </r>
        <r>
          <rPr>
            <sz val="8"/>
            <color indexed="81"/>
            <rFont val="Tahoma"/>
            <family val="2"/>
          </rPr>
          <t xml:space="preserve">
</t>
        </r>
      </text>
    </comment>
    <comment ref="AB30" authorId="0" shapeId="0" xr:uid="{00000000-0006-0000-0900-000020000000}">
      <text>
        <r>
          <rPr>
            <sz val="8"/>
            <color indexed="81"/>
            <rFont val="Tahoma"/>
            <family val="2"/>
          </rPr>
          <t>This figure is calculated as the the production  less use from the refinery</t>
        </r>
        <r>
          <rPr>
            <sz val="8"/>
            <color indexed="81"/>
            <rFont val="Tahoma"/>
            <family val="2"/>
          </rPr>
          <t xml:space="preserve">
</t>
        </r>
      </text>
    </comment>
    <comment ref="AC30" authorId="0" shapeId="0" xr:uid="{00000000-0006-0000-0900-000021000000}">
      <text>
        <r>
          <rPr>
            <sz val="8"/>
            <color indexed="81"/>
            <rFont val="Tahoma"/>
            <family val="2"/>
          </rPr>
          <t>This figure is calculated as the the production  less use from the refinery</t>
        </r>
        <r>
          <rPr>
            <sz val="8"/>
            <color indexed="81"/>
            <rFont val="Tahoma"/>
            <family val="2"/>
          </rPr>
          <t xml:space="preserve">
</t>
        </r>
      </text>
    </comment>
    <comment ref="AD30" authorId="0" shapeId="0" xr:uid="{00000000-0006-0000-0900-000022000000}">
      <text>
        <r>
          <rPr>
            <sz val="8"/>
            <color indexed="81"/>
            <rFont val="Tahoma"/>
            <family val="2"/>
          </rPr>
          <t>This figure is calculated as the the production  less use from the refinery</t>
        </r>
        <r>
          <rPr>
            <sz val="8"/>
            <color indexed="81"/>
            <rFont val="Tahoma"/>
            <family val="2"/>
          </rPr>
          <t xml:space="preserve">
</t>
        </r>
      </text>
    </comment>
    <comment ref="AE30" authorId="0" shapeId="0" xr:uid="{00000000-0006-0000-0900-000023000000}">
      <text>
        <r>
          <rPr>
            <sz val="8"/>
            <color indexed="81"/>
            <rFont val="Tahoma"/>
            <family val="2"/>
          </rPr>
          <t>This figure is calculated as the the production  less use from the refinery</t>
        </r>
        <r>
          <rPr>
            <sz val="8"/>
            <color indexed="81"/>
            <rFont val="Tahoma"/>
            <family val="2"/>
          </rPr>
          <t xml:space="preserve">
</t>
        </r>
      </text>
    </comment>
    <comment ref="AF30" authorId="0" shapeId="0" xr:uid="{00000000-0006-0000-0900-000024000000}">
      <text>
        <r>
          <rPr>
            <sz val="8"/>
            <color indexed="81"/>
            <rFont val="Tahoma"/>
            <family val="2"/>
          </rPr>
          <t>This figure is calculated as the the production  less use from the refinery</t>
        </r>
        <r>
          <rPr>
            <sz val="8"/>
            <color indexed="81"/>
            <rFont val="Tahoma"/>
            <family val="2"/>
          </rPr>
          <t xml:space="preserve">
</t>
        </r>
      </text>
    </comment>
    <comment ref="AG30" authorId="0" shapeId="0" xr:uid="{00000000-0006-0000-0900-000025000000}">
      <text>
        <r>
          <rPr>
            <sz val="8"/>
            <color indexed="81"/>
            <rFont val="Tahoma"/>
            <family val="2"/>
          </rPr>
          <t>This figure is calculated as the the production  less use from the refinery</t>
        </r>
        <r>
          <rPr>
            <sz val="8"/>
            <color indexed="81"/>
            <rFont val="Tahoma"/>
            <family val="2"/>
          </rPr>
          <t xml:space="preserve">
</t>
        </r>
      </text>
    </comment>
    <comment ref="AH30" authorId="0" shapeId="0" xr:uid="{00000000-0006-0000-0900-000026000000}">
      <text>
        <r>
          <rPr>
            <sz val="8"/>
            <color indexed="81"/>
            <rFont val="Tahoma"/>
            <family val="2"/>
          </rPr>
          <t>This figure is calculated as the the production  less use from the refinery</t>
        </r>
        <r>
          <rPr>
            <sz val="8"/>
            <color indexed="81"/>
            <rFont val="Tahoma"/>
            <family val="2"/>
          </rPr>
          <t xml:space="preserve">
</t>
        </r>
      </text>
    </comment>
    <comment ref="AI30" authorId="0" shapeId="0" xr:uid="{00000000-0006-0000-0900-000027000000}">
      <text>
        <r>
          <rPr>
            <sz val="8"/>
            <color indexed="81"/>
            <rFont val="Tahoma"/>
            <family val="2"/>
          </rPr>
          <t>This figure is calculated as the the production  less use from the refinery</t>
        </r>
        <r>
          <rPr>
            <sz val="8"/>
            <color indexed="81"/>
            <rFont val="Tahoma"/>
            <family val="2"/>
          </rPr>
          <t xml:space="preserve">
</t>
        </r>
      </text>
    </comment>
    <comment ref="AJ30" authorId="0" shapeId="0" xr:uid="{00000000-0006-0000-0900-000028000000}">
      <text>
        <r>
          <rPr>
            <sz val="8"/>
            <color indexed="81"/>
            <rFont val="Tahoma"/>
            <family val="2"/>
          </rPr>
          <t>This figure is calculated as the the production  less use from the refinery</t>
        </r>
        <r>
          <rPr>
            <sz val="8"/>
            <color indexed="81"/>
            <rFont val="Tahoma"/>
            <family val="2"/>
          </rPr>
          <t xml:space="preserve">
</t>
        </r>
      </text>
    </comment>
    <comment ref="AK30" authorId="0" shapeId="0" xr:uid="{00000000-0006-0000-0900-000029000000}">
      <text>
        <r>
          <rPr>
            <sz val="8"/>
            <color indexed="81"/>
            <rFont val="Tahoma"/>
            <family val="2"/>
          </rPr>
          <t>This figure is calculated as the the production  less use from the refinery</t>
        </r>
        <r>
          <rPr>
            <sz val="8"/>
            <color indexed="81"/>
            <rFont val="Tahoma"/>
            <family val="2"/>
          </rPr>
          <t xml:space="preserve">
</t>
        </r>
      </text>
    </comment>
    <comment ref="AL30" authorId="0" shapeId="0" xr:uid="{00000000-0006-0000-0900-00002A000000}">
      <text>
        <r>
          <rPr>
            <sz val="8"/>
            <color indexed="81"/>
            <rFont val="Tahoma"/>
            <family val="2"/>
          </rPr>
          <t>This figure is calculated as the the production  less use from the refinery</t>
        </r>
        <r>
          <rPr>
            <sz val="8"/>
            <color indexed="81"/>
            <rFont val="Tahoma"/>
            <family val="2"/>
          </rPr>
          <t xml:space="preserve">
</t>
        </r>
      </text>
    </comment>
    <comment ref="AM30" authorId="0" shapeId="0" xr:uid="{00000000-0006-0000-0900-00002B000000}">
      <text>
        <r>
          <rPr>
            <sz val="8"/>
            <color indexed="81"/>
            <rFont val="Tahoma"/>
            <family val="2"/>
          </rPr>
          <t>This figure is calculated as the the production  less use from the refinery</t>
        </r>
        <r>
          <rPr>
            <sz val="8"/>
            <color indexed="81"/>
            <rFont val="Tahoma"/>
            <family val="2"/>
          </rPr>
          <t xml:space="preserve">
</t>
        </r>
      </text>
    </comment>
    <comment ref="AN30" authorId="0" shapeId="0" xr:uid="{00000000-0006-0000-0900-00002C000000}">
      <text>
        <r>
          <rPr>
            <sz val="8"/>
            <color indexed="81"/>
            <rFont val="Tahoma"/>
            <family val="2"/>
          </rPr>
          <t>This figure is calculated as the the production  less use from the refinery</t>
        </r>
        <r>
          <rPr>
            <sz val="8"/>
            <color indexed="81"/>
            <rFont val="Tahoma"/>
            <family val="2"/>
          </rPr>
          <t xml:space="preserve">
</t>
        </r>
      </text>
    </comment>
    <comment ref="AO30" authorId="0" shapeId="0" xr:uid="{00000000-0006-0000-0900-00002D000000}">
      <text>
        <r>
          <rPr>
            <sz val="8"/>
            <color indexed="81"/>
            <rFont val="Tahoma"/>
            <family val="2"/>
          </rPr>
          <t>This figure is calculated as the the production  less use from the refinery</t>
        </r>
        <r>
          <rPr>
            <sz val="8"/>
            <color indexed="81"/>
            <rFont val="Tahoma"/>
            <family val="2"/>
          </rPr>
          <t xml:space="preserve">
</t>
        </r>
      </text>
    </comment>
    <comment ref="AP30" authorId="0" shapeId="0" xr:uid="{00000000-0006-0000-0900-00002E000000}">
      <text>
        <r>
          <rPr>
            <sz val="8"/>
            <color indexed="81"/>
            <rFont val="Tahoma"/>
            <family val="2"/>
          </rPr>
          <t>This figure is calculated as the the production  less use from the refinery</t>
        </r>
        <r>
          <rPr>
            <sz val="8"/>
            <color indexed="81"/>
            <rFont val="Tahoma"/>
            <family val="2"/>
          </rPr>
          <t xml:space="preserve">
</t>
        </r>
      </text>
    </comment>
    <comment ref="AQ30" authorId="0" shapeId="0" xr:uid="{00000000-0006-0000-0900-00002F000000}">
      <text>
        <r>
          <rPr>
            <sz val="8"/>
            <color indexed="81"/>
            <rFont val="Tahoma"/>
            <family val="2"/>
          </rPr>
          <t>This figure is calculated as the the production  less use from the refinery</t>
        </r>
        <r>
          <rPr>
            <sz val="8"/>
            <color indexed="81"/>
            <rFont val="Tahoma"/>
            <family val="2"/>
          </rPr>
          <t xml:space="preserve">
</t>
        </r>
      </text>
    </comment>
    <comment ref="AR30" authorId="0" shapeId="0" xr:uid="{00000000-0006-0000-0900-000030000000}">
      <text>
        <r>
          <rPr>
            <sz val="8"/>
            <color indexed="81"/>
            <rFont val="Tahoma"/>
            <family val="2"/>
          </rPr>
          <t>This figure is calculated as the the production  less use from the refinery</t>
        </r>
        <r>
          <rPr>
            <sz val="8"/>
            <color indexed="81"/>
            <rFont val="Tahoma"/>
            <family val="2"/>
          </rPr>
          <t xml:space="preserve">
</t>
        </r>
      </text>
    </comment>
    <comment ref="AA31" authorId="0" shapeId="0" xr:uid="{00000000-0006-0000-0900-000031000000}">
      <text>
        <r>
          <rPr>
            <sz val="8"/>
            <color indexed="81"/>
            <rFont val="Tahoma"/>
            <family val="2"/>
          </rPr>
          <t>This figure is calculated as the production from coal sources less own use in coal liquefication plants</t>
        </r>
        <r>
          <rPr>
            <sz val="8"/>
            <color indexed="81"/>
            <rFont val="Tahoma"/>
            <family val="2"/>
          </rPr>
          <t xml:space="preserve">
</t>
        </r>
      </text>
    </comment>
    <comment ref="AA32" authorId="0" shapeId="0" xr:uid="{00000000-0006-0000-0900-000032000000}">
      <text>
        <r>
          <rPr>
            <sz val="8"/>
            <color indexed="81"/>
            <rFont val="Tahoma"/>
            <family val="2"/>
          </rPr>
          <t>This figure is calculated as the production from gas sources less own use in GTL plants</t>
        </r>
        <r>
          <rPr>
            <sz val="8"/>
            <color indexed="81"/>
            <rFont val="Tahoma"/>
            <family val="2"/>
          </rPr>
          <t xml:space="preserve">
</t>
        </r>
      </text>
    </comment>
    <comment ref="AS33" authorId="0" shapeId="0" xr:uid="{00000000-0006-0000-0900-000033000000}">
      <text>
        <r>
          <rPr>
            <sz val="8"/>
            <color indexed="81"/>
            <rFont val="Tahoma"/>
            <family val="2"/>
          </rPr>
          <t>This figure is calculated as the sum of the production from other sources less other blends.</t>
        </r>
        <r>
          <rPr>
            <sz val="8"/>
            <color indexed="81"/>
            <rFont val="Tahoma"/>
            <family val="2"/>
          </rPr>
          <t xml:space="preserve">
</t>
        </r>
      </text>
    </comment>
    <comment ref="BD34" authorId="0" shapeId="0" xr:uid="{00000000-0006-0000-0900-000034000000}">
      <text>
        <r>
          <rPr>
            <sz val="8"/>
            <color indexed="81"/>
            <rFont val="Tahoma"/>
            <family val="2"/>
          </rPr>
          <t>This figure is calculated as charcoal production less own use in charcoal plant.</t>
        </r>
        <r>
          <rPr>
            <sz val="8"/>
            <color indexed="81"/>
            <rFont val="Tahoma"/>
            <family val="2"/>
          </rPr>
          <t xml:space="preserve">
</t>
        </r>
      </text>
    </comment>
    <comment ref="K35" authorId="0" shapeId="0" xr:uid="{00000000-0006-0000-0900-000035000000}">
      <text>
        <r>
          <rPr>
            <sz val="8"/>
            <color indexed="81"/>
            <rFont val="Tahoma"/>
            <family val="2"/>
          </rPr>
          <t>This figure is calculated as the sum of production from other non-specified  sources less any other non-specified own use.</t>
        </r>
        <r>
          <rPr>
            <sz val="8"/>
            <color indexed="81"/>
            <rFont val="Tahoma"/>
            <family val="2"/>
          </rPr>
          <t xml:space="preserve">
</t>
        </r>
      </text>
    </comment>
    <comment ref="AA35" authorId="0" shapeId="0" xr:uid="{00000000-0006-0000-0900-000036000000}">
      <text>
        <r>
          <rPr>
            <sz val="8"/>
            <color indexed="81"/>
            <rFont val="Tahoma"/>
            <family val="2"/>
          </rPr>
          <t>This figure is calculated as the production from other non specified sources less own use.</t>
        </r>
        <r>
          <rPr>
            <sz val="8"/>
            <color indexed="81"/>
            <rFont val="Tahoma"/>
            <family val="2"/>
          </rPr>
          <t xml:space="preserve">
</t>
        </r>
      </text>
    </comment>
    <comment ref="BM50" authorId="0" shapeId="0" xr:uid="{00000000-0006-0000-0900-000037000000}">
      <text>
        <r>
          <rPr>
            <sz val="8"/>
            <color indexed="81"/>
            <rFont val="Tahoma"/>
            <family val="2"/>
          </rPr>
          <t xml:space="preserve">Energy Sector contains the difference between electricity consumed for pumped storage and electricity produced from pumped storage.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Roberta Quadrelli</author>
    <author>CHRISTINAKIS Emmanouil, IEA/EXD/EDC/EDC4</author>
    <author>treanton</author>
    <author>FAGER-PINTILA Markus</author>
  </authors>
  <commentList>
    <comment ref="Q3" authorId="0" shapeId="0" xr:uid="{00000000-0006-0000-0B00-000001000000}">
      <text>
        <r>
          <rPr>
            <sz val="8"/>
            <color indexed="81"/>
            <rFont val="Tahoma"/>
            <family val="2"/>
          </rPr>
          <t>Sometimes used for non-member countries, where a further breakdown is not possible.</t>
        </r>
      </text>
    </comment>
    <comment ref="AW15" authorId="1" shapeId="0" xr:uid="{00000000-0006-0000-0B00-000002000000}">
      <text>
        <r>
          <rPr>
            <b/>
            <sz val="9"/>
            <color indexed="81"/>
            <rFont val="Tahoma"/>
            <family val="2"/>
          </rPr>
          <t>CHRISTINAKIS Emmanouil, IEA/EXD/EDC/EDC4:</t>
        </r>
        <r>
          <rPr>
            <sz val="9"/>
            <color indexed="81"/>
            <rFont val="Tahoma"/>
            <family val="2"/>
          </rPr>
          <t xml:space="preserve">
Stock changes in OIL questionnaire plus stock changes in renewables questionnaire plus primary product receipts and refinery gross output (OIL questionnaire) less used for blending (renewables questionnaire).</t>
        </r>
      </text>
    </comment>
    <comment ref="AX15" authorId="1" shapeId="0" xr:uid="{00000000-0006-0000-0B00-000003000000}">
      <text>
        <r>
          <rPr>
            <b/>
            <sz val="9"/>
            <color indexed="81"/>
            <rFont val="Tahoma"/>
            <family val="2"/>
          </rPr>
          <t>CHRISTINAKIS Emmanouil, IEA/EXD/EDC/EDC4:</t>
        </r>
        <r>
          <rPr>
            <sz val="9"/>
            <color indexed="81"/>
            <rFont val="Tahoma"/>
            <family val="2"/>
          </rPr>
          <t xml:space="preserve">
Stock changes in OIL questionnaire plus stock changes in renewables questionnaire plus primary product receipts and refinery gross output (OIL questionnaire) less used for blending (renewables questionnaire).</t>
        </r>
      </text>
    </comment>
    <comment ref="AY15" authorId="1" shapeId="0" xr:uid="{00000000-0006-0000-0B00-000004000000}">
      <text>
        <r>
          <rPr>
            <b/>
            <sz val="9"/>
            <color indexed="81"/>
            <rFont val="Tahoma"/>
            <family val="2"/>
          </rPr>
          <t>CHRISTINAKIS Emmanouil, IEA/EXD/EDC/EDC4:</t>
        </r>
        <r>
          <rPr>
            <sz val="9"/>
            <color indexed="81"/>
            <rFont val="Tahoma"/>
            <family val="2"/>
          </rPr>
          <t xml:space="preserve">
Stock changes in OIL questionnaire plus stock changes in renewables questionnaire plus primary product receipts and refinery gross output (OIL questionnaire) less used for blending (renewables questionnaire).</t>
        </r>
      </text>
    </comment>
    <comment ref="AO33" authorId="2" shapeId="0" xr:uid="{00000000-0006-0000-0B00-000005000000}">
      <text>
        <r>
          <rPr>
            <b/>
            <sz val="8"/>
            <color indexed="81"/>
            <rFont val="Tahoma"/>
            <family val="2"/>
          </rPr>
          <t>treanton:</t>
        </r>
        <r>
          <rPr>
            <sz val="8"/>
            <color indexed="81"/>
            <rFont val="Tahoma"/>
            <family val="2"/>
          </rPr>
          <t xml:space="preserve">
do not subtract out the non-energy use</t>
        </r>
      </text>
    </comment>
    <comment ref="AP33" authorId="2" shapeId="0" xr:uid="{00000000-0006-0000-0B00-000006000000}">
      <text>
        <r>
          <rPr>
            <b/>
            <sz val="8"/>
            <color indexed="81"/>
            <rFont val="Tahoma"/>
            <family val="2"/>
          </rPr>
          <t>treanton:</t>
        </r>
        <r>
          <rPr>
            <sz val="8"/>
            <color indexed="81"/>
            <rFont val="Tahoma"/>
            <family val="2"/>
          </rPr>
          <t xml:space="preserve">
do not subtract out the non-energy use</t>
        </r>
      </text>
    </comment>
    <comment ref="Z50" authorId="3" shapeId="0" xr:uid="{00000000-0006-0000-0B00-000007000000}">
      <text>
        <r>
          <rPr>
            <b/>
            <sz val="9"/>
            <color indexed="81"/>
            <rFont val="Tahoma"/>
            <family val="2"/>
          </rPr>
          <t>Markus Fager-Pintilä:</t>
        </r>
        <r>
          <rPr>
            <sz val="9"/>
            <color indexed="81"/>
            <rFont val="Tahoma"/>
            <family val="2"/>
          </rPr>
          <t xml:space="preserve">
(19/Sep/17)
I added the inputs to heat generation (G30), as it was omitted earlier, and created and arithmetic error. Now matches the data point in the database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B3" authorId="0" shapeId="0" xr:uid="{00000000-0006-0000-0D00-000001000000}">
      <text>
        <r>
          <rPr>
            <b/>
            <sz val="9"/>
            <color indexed="81"/>
            <rFont val="Tahoma"/>
            <family val="2"/>
          </rPr>
          <t xml:space="preserve">Note:
</t>
        </r>
        <r>
          <rPr>
            <sz val="9"/>
            <color indexed="81"/>
            <rFont val="Tahoma"/>
            <family val="2"/>
          </rPr>
          <t>Flow names in blue linked to "Definitions_FlowLang"-sheet. Some flow names are customized to fit in the column.
Yellow background indicates that value is missing/wrong etc.</t>
        </r>
      </text>
    </comment>
    <comment ref="AM11" authorId="0" shapeId="0" xr:uid="{00000000-0006-0000-0D00-000002000000}">
      <text>
        <r>
          <rPr>
            <b/>
            <sz val="9"/>
            <color indexed="81"/>
            <rFont val="Tahoma"/>
            <family val="2"/>
          </rPr>
          <t>Markus Fager-Pintilä:</t>
        </r>
        <r>
          <rPr>
            <sz val="9"/>
            <color indexed="81"/>
            <rFont val="Tahoma"/>
            <family val="2"/>
          </rPr>
          <t xml:space="preserve">
(21/Sep/17)
Old category label in RUS.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E14" authorId="0" shapeId="0" xr:uid="{00000000-0006-0000-0E00-000001000000}">
      <text>
        <r>
          <rPr>
            <b/>
            <sz val="9"/>
            <color indexed="81"/>
            <rFont val="Tahoma"/>
            <family val="2"/>
          </rPr>
          <t>Markus Fager-Pintilä:</t>
        </r>
        <r>
          <rPr>
            <sz val="9"/>
            <color indexed="81"/>
            <rFont val="Tahoma"/>
            <family val="2"/>
          </rPr>
          <t xml:space="preserve">
(15/Sep/17)
Data taken from 'Balance summary' where oil is grouped already.</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J7" authorId="0" shapeId="0" xr:uid="{00000000-0006-0000-0F00-000001000000}">
      <text>
        <r>
          <rPr>
            <b/>
            <sz val="9"/>
            <color indexed="81"/>
            <rFont val="Tahoma"/>
            <family val="2"/>
          </rPr>
          <t>Markus Fager-Pintilä:</t>
        </r>
        <r>
          <rPr>
            <sz val="9"/>
            <color indexed="81"/>
            <rFont val="Tahoma"/>
            <family val="2"/>
          </rPr>
          <t xml:space="preserve">
(18/Aug/17)
7000 ktoe missing from production.</t>
        </r>
      </text>
    </comment>
    <comment ref="BD8" authorId="0" shapeId="0" xr:uid="{00000000-0006-0000-0F00-000002000000}">
      <text>
        <r>
          <rPr>
            <b/>
            <sz val="9"/>
            <color indexed="81"/>
            <rFont val="Tahoma"/>
            <family val="2"/>
          </rPr>
          <t>Markus Fager-Pintilä:</t>
        </r>
        <r>
          <rPr>
            <sz val="9"/>
            <color indexed="81"/>
            <rFont val="Tahoma"/>
            <family val="2"/>
          </rPr>
          <t xml:space="preserve">
(21/Aug/17)
We would ask a question about imports/exports (=transit?).</t>
        </r>
      </text>
    </comment>
    <comment ref="BK12" authorId="0" shapeId="0" xr:uid="{00000000-0006-0000-0F00-000003000000}">
      <text>
        <r>
          <rPr>
            <b/>
            <sz val="9"/>
            <color indexed="81"/>
            <rFont val="Tahoma"/>
            <family val="2"/>
          </rPr>
          <t>Markus Fager-Pintilä:</t>
        </r>
        <r>
          <rPr>
            <sz val="9"/>
            <color indexed="81"/>
            <rFont val="Tahoma"/>
            <family val="2"/>
          </rPr>
          <t xml:space="preserve">
(21/Aug/17)
Big electricity storage not yet available...</t>
        </r>
      </text>
    </comment>
    <comment ref="AR16" authorId="0" shapeId="0" xr:uid="{00000000-0006-0000-0F00-000004000000}">
      <text>
        <r>
          <rPr>
            <b/>
            <sz val="9"/>
            <color indexed="81"/>
            <rFont val="Tahoma"/>
            <family val="2"/>
          </rPr>
          <t>Markus Fager-Pintilä:</t>
        </r>
        <r>
          <rPr>
            <sz val="9"/>
            <color indexed="81"/>
            <rFont val="Tahoma"/>
            <family val="2"/>
          </rPr>
          <t xml:space="preserve">
(21/Aug/17)
Production figure is accidentally doubled (should be 15000 ktoe instead of 30000 ktoe), and consequentially the seemingly excess coal is allocated to electricity generation. Value should be -7500 ktoe instead (eff. 33%).</t>
        </r>
      </text>
    </comment>
    <comment ref="AZ17" authorId="0" shapeId="0" xr:uid="{00000000-0006-0000-0F00-000005000000}">
      <text>
        <r>
          <rPr>
            <b/>
            <sz val="9"/>
            <color indexed="81"/>
            <rFont val="Tahoma"/>
            <family val="2"/>
          </rPr>
          <t>Markus Fager-Pintilä:</t>
        </r>
        <r>
          <rPr>
            <sz val="9"/>
            <color indexed="81"/>
            <rFont val="Tahoma"/>
            <family val="2"/>
          </rPr>
          <t xml:space="preserve">
(21/Aug/17)
Correct value is 1300 ktoe (eff. 80%).</t>
        </r>
      </text>
    </comment>
    <comment ref="A20" authorId="0" shapeId="0" xr:uid="{00000000-0006-0000-0F00-000006000000}">
      <text>
        <r>
          <rPr>
            <b/>
            <sz val="9"/>
            <color indexed="81"/>
            <rFont val="Tahoma"/>
            <family val="2"/>
          </rPr>
          <t>Markus Fager-Pintilä:</t>
        </r>
        <r>
          <rPr>
            <sz val="9"/>
            <color indexed="81"/>
            <rFont val="Tahoma"/>
            <family val="2"/>
          </rPr>
          <t xml:space="preserve">
(29/May/17)
Contains natural gas blending.</t>
        </r>
      </text>
    </comment>
    <comment ref="AT22" authorId="0" shapeId="0" xr:uid="{00000000-0006-0000-0F00-000007000000}">
      <text>
        <r>
          <rPr>
            <b/>
            <sz val="9"/>
            <color indexed="81"/>
            <rFont val="Tahoma"/>
            <family val="2"/>
          </rPr>
          <t>Markus Fager-Pintilä:</t>
        </r>
        <r>
          <rPr>
            <sz val="9"/>
            <color indexed="81"/>
            <rFont val="Tahoma"/>
            <family val="2"/>
          </rPr>
          <t xml:space="preserve">
(21/Aug/17)
Value too high, correct value is 9750 ktoe. Correcting this value creates a statistical difference, but that is not the point of this exercise.</t>
        </r>
      </text>
    </comment>
    <comment ref="BC24" authorId="0" shapeId="0" xr:uid="{00000000-0006-0000-0F00-000008000000}">
      <text>
        <r>
          <rPr>
            <b/>
            <sz val="9"/>
            <color indexed="81"/>
            <rFont val="Tahoma"/>
            <family val="2"/>
          </rPr>
          <t>Markus Fager-Pintilä:</t>
        </r>
        <r>
          <rPr>
            <sz val="9"/>
            <color indexed="81"/>
            <rFont val="Tahoma"/>
            <family val="2"/>
          </rPr>
          <t xml:space="preserve">
(21/Aug/17)
Likely CTL, we would ask a question about the process and conversion rates etc.</t>
        </r>
      </text>
    </comment>
    <comment ref="BE24" authorId="0" shapeId="0" xr:uid="{00000000-0006-0000-0F00-000009000000}">
      <text>
        <r>
          <rPr>
            <b/>
            <sz val="9"/>
            <color indexed="81"/>
            <rFont val="Tahoma"/>
            <family val="2"/>
          </rPr>
          <t>Markus Fager-Pintilä:</t>
        </r>
        <r>
          <rPr>
            <sz val="9"/>
            <color indexed="81"/>
            <rFont val="Tahoma"/>
            <family val="2"/>
          </rPr>
          <t xml:space="preserve">
(21/Aug/17)
Likely GTL, we would ask a question about the process and conversion rates etc.</t>
        </r>
      </text>
    </comment>
    <comment ref="AO27" authorId="0" shapeId="0" xr:uid="{00000000-0006-0000-0F00-00000A000000}">
      <text>
        <r>
          <rPr>
            <b/>
            <sz val="9"/>
            <color indexed="81"/>
            <rFont val="Tahoma"/>
            <family val="2"/>
          </rPr>
          <t>Markus Fager-Pintilä:</t>
        </r>
        <r>
          <rPr>
            <sz val="9"/>
            <color indexed="81"/>
            <rFont val="Tahoma"/>
            <family val="2"/>
          </rPr>
          <t xml:space="preserve">
(18/Aug/17)
-700 ktoe missing from losses.</t>
        </r>
      </text>
    </comment>
    <comment ref="BD42" authorId="0" shapeId="0" xr:uid="{00000000-0006-0000-0F00-00000B000000}">
      <text>
        <r>
          <rPr>
            <b/>
            <sz val="9"/>
            <color indexed="81"/>
            <rFont val="Tahoma"/>
            <family val="2"/>
          </rPr>
          <t>Markus Fager-Pintilä:</t>
        </r>
        <r>
          <rPr>
            <sz val="9"/>
            <color indexed="81"/>
            <rFont val="Tahoma"/>
            <family val="2"/>
          </rPr>
          <t xml:space="preserve">
(21/Aug/17)
Rare use. Confirmation is needed.</t>
        </r>
      </text>
    </comment>
    <comment ref="BK42" authorId="0" shapeId="0" xr:uid="{00000000-0006-0000-0F00-00000C000000}">
      <text>
        <r>
          <rPr>
            <b/>
            <sz val="9"/>
            <color indexed="81"/>
            <rFont val="Tahoma"/>
            <family val="2"/>
          </rPr>
          <t>Markus Fager-Pintilä:</t>
        </r>
        <r>
          <rPr>
            <sz val="9"/>
            <color indexed="81"/>
            <rFont val="Tahoma"/>
            <family val="2"/>
          </rPr>
          <t xml:space="preserve">
(21/Aug/17)
We would ask a question about the high portion of non-specified ele consumption.</t>
        </r>
      </text>
    </comment>
    <comment ref="BC44" authorId="0" shapeId="0" xr:uid="{00000000-0006-0000-0F00-00000D000000}">
      <text>
        <r>
          <rPr>
            <b/>
            <sz val="9"/>
            <color indexed="81"/>
            <rFont val="Tahoma"/>
            <family val="2"/>
          </rPr>
          <t>Markus Fager-Pintilä:</t>
        </r>
        <r>
          <rPr>
            <sz val="9"/>
            <color indexed="81"/>
            <rFont val="Tahoma"/>
            <family val="2"/>
          </rPr>
          <t xml:space="preserve">
(21/Aug/17)
Coal cannot have aviation use.</t>
        </r>
      </text>
    </comment>
    <comment ref="AI45" authorId="0" shapeId="0" xr:uid="{00000000-0006-0000-0F00-00000E000000}">
      <text>
        <r>
          <rPr>
            <b/>
            <sz val="9"/>
            <color indexed="81"/>
            <rFont val="Tahoma"/>
            <family val="2"/>
          </rPr>
          <t>Markus Fager-Pintilä:</t>
        </r>
        <r>
          <rPr>
            <sz val="9"/>
            <color indexed="81"/>
            <rFont val="Tahoma"/>
            <family val="2"/>
          </rPr>
          <t xml:space="preserve">
(18/Aug/17)
5000 ktoe missing from road transport.</t>
        </r>
      </text>
    </comment>
    <comment ref="BD45" authorId="0" shapeId="0" xr:uid="{00000000-0006-0000-0F00-00000F000000}">
      <text>
        <r>
          <rPr>
            <b/>
            <sz val="9"/>
            <color indexed="81"/>
            <rFont val="Tahoma"/>
            <family val="2"/>
          </rPr>
          <t>Markus Fager-Pintilä:</t>
        </r>
        <r>
          <rPr>
            <sz val="9"/>
            <color indexed="81"/>
            <rFont val="Tahoma"/>
            <family val="2"/>
          </rPr>
          <t xml:space="preserve">
(21/Aug/17)
Crude oil cannot be used in road transport.</t>
        </r>
      </text>
    </comment>
    <comment ref="BC46" authorId="0" shapeId="0" xr:uid="{00000000-0006-0000-0F00-000010000000}">
      <text>
        <r>
          <rPr>
            <b/>
            <sz val="9"/>
            <color indexed="81"/>
            <rFont val="Tahoma"/>
            <family val="2"/>
          </rPr>
          <t>Markus Fager-Pintilä:</t>
        </r>
        <r>
          <rPr>
            <sz val="9"/>
            <color indexed="81"/>
            <rFont val="Tahoma"/>
            <family val="2"/>
          </rPr>
          <t xml:space="preserve">
(21/Aug/17)
Rare use. Confirmation is needed.</t>
        </r>
      </text>
    </comment>
    <comment ref="BC48" authorId="0" shapeId="0" xr:uid="{00000000-0006-0000-0F00-000011000000}">
      <text>
        <r>
          <rPr>
            <b/>
            <sz val="9"/>
            <color indexed="81"/>
            <rFont val="Tahoma"/>
            <family val="2"/>
          </rPr>
          <t>Markus Fager-Pintilä:</t>
        </r>
        <r>
          <rPr>
            <sz val="9"/>
            <color indexed="81"/>
            <rFont val="Tahoma"/>
            <family val="2"/>
          </rPr>
          <t xml:space="preserve">
(21/Aug/17)
Rare use. Confirmation is needed.</t>
        </r>
      </text>
    </comment>
    <comment ref="AG51" authorId="0" shapeId="0" xr:uid="{00000000-0006-0000-0F00-000012000000}">
      <text>
        <r>
          <rPr>
            <b/>
            <sz val="9"/>
            <color indexed="81"/>
            <rFont val="Tahoma"/>
            <family val="2"/>
          </rPr>
          <t>Markus Fager-Pintilä:</t>
        </r>
        <r>
          <rPr>
            <sz val="9"/>
            <color indexed="81"/>
            <rFont val="Tahoma"/>
            <family val="2"/>
          </rPr>
          <t xml:space="preserve">
(18/Aug/17)
2500 ktoe missing from residential.</t>
        </r>
      </text>
    </comment>
    <comment ref="BJ57" authorId="0" shapeId="0" xr:uid="{00000000-0006-0000-0F00-000013000000}">
      <text>
        <r>
          <rPr>
            <b/>
            <sz val="9"/>
            <color indexed="81"/>
            <rFont val="Tahoma"/>
            <family val="2"/>
          </rPr>
          <t>Markus Fager-Pintilä:</t>
        </r>
        <r>
          <rPr>
            <sz val="9"/>
            <color indexed="81"/>
            <rFont val="Tahoma"/>
            <family val="2"/>
          </rPr>
          <t xml:space="preserve">
(21/Aug/17)
Biofuels cannot have non-energy use.</t>
        </r>
      </text>
    </comment>
    <comment ref="BK60" authorId="0" shapeId="0" xr:uid="{00000000-0006-0000-0F00-000014000000}">
      <text>
        <r>
          <rPr>
            <b/>
            <sz val="9"/>
            <color indexed="81"/>
            <rFont val="Tahoma"/>
            <family val="2"/>
          </rPr>
          <t>Markus Fager-Pintilä:</t>
        </r>
        <r>
          <rPr>
            <sz val="9"/>
            <color indexed="81"/>
            <rFont val="Tahoma"/>
            <family val="2"/>
          </rPr>
          <t xml:space="preserve">
(21/Aug/17)
Electricity cannot have non-energy use.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FAGER-PINTILA Markus</author>
  </authors>
  <commentList>
    <comment ref="AW3" authorId="0" shapeId="0" xr:uid="{00000000-0006-0000-1000-000001000000}">
      <text>
        <r>
          <rPr>
            <b/>
            <sz val="9"/>
            <color indexed="81"/>
            <rFont val="Tahoma"/>
            <family val="2"/>
          </rPr>
          <t xml:space="preserve">Note:
</t>
        </r>
        <r>
          <rPr>
            <sz val="9"/>
            <color indexed="81"/>
            <rFont val="Tahoma"/>
            <family val="2"/>
          </rPr>
          <t>Flow names in blue linked to "Definitions_FlowLang"-sheet. Some flow names are customized to fit in the column.
Yellow background indicates that value is missing/wrong etc.</t>
        </r>
      </text>
    </comment>
    <comment ref="BH11" authorId="0" shapeId="0" xr:uid="{00000000-0006-0000-1000-000002000000}">
      <text>
        <r>
          <rPr>
            <b/>
            <sz val="9"/>
            <color indexed="81"/>
            <rFont val="Tahoma"/>
            <family val="2"/>
          </rPr>
          <t>Markus Fager-Pintilä:</t>
        </r>
        <r>
          <rPr>
            <sz val="9"/>
            <color indexed="81"/>
            <rFont val="Tahoma"/>
            <family val="2"/>
          </rPr>
          <t xml:space="preserve">
(21/Sep/17)
Old category label in RUS.</t>
        </r>
      </text>
    </comment>
  </commentList>
</comments>
</file>

<file path=xl/sharedStrings.xml><?xml version="1.0" encoding="utf-8"?>
<sst xmlns="http://schemas.openxmlformats.org/spreadsheetml/2006/main" count="13354" uniqueCount="8378">
  <si>
    <t>Select language /
 Выберите язык:</t>
  </si>
  <si>
    <t>Hide --&gt;:</t>
  </si>
  <si>
    <t>&lt;--Hide</t>
  </si>
  <si>
    <t>August 2022.1</t>
  </si>
  <si>
    <t>original file:</t>
  </si>
  <si>
    <t>Language</t>
  </si>
  <si>
    <t>Select language /
 Выберите язык / 
选择语言:</t>
  </si>
  <si>
    <t>English</t>
  </si>
  <si>
    <t>Pусский</t>
  </si>
  <si>
    <t>中文</t>
  </si>
  <si>
    <t>IEA Balance Builder</t>
  </si>
  <si>
    <t>Построитель баланса МЭА</t>
  </si>
  <si>
    <t>y</t>
  </si>
  <si>
    <t>Version:</t>
  </si>
  <si>
    <t>Версия:</t>
  </si>
  <si>
    <t>The main purpose of this tool is to build a country energy balance following the IEA methodology. This can be done by:</t>
  </si>
  <si>
    <t>Основной целью этого инструмента является построение энергетического баланса страны по методологии МЭА. Это можно сделать следующими способами:</t>
  </si>
  <si>
    <t>1.</t>
  </si>
  <si>
    <t>A) by automatically loading data from the IEA data questionnaires (2021 data requested in August 2022)</t>
  </si>
  <si>
    <t>А) автоматически загрузив данные из вопросников МЭА (данные за 2021 год, запрошенные в августе 2022 года)</t>
  </si>
  <si>
    <t>South Africa</t>
  </si>
  <si>
    <t>B) by manually filling the "Data in physical units" and "Conversion factors" worksheets.</t>
  </si>
  <si>
    <t>В) вручную заполнив рабочие листы «Data in physical units» и «Conversion factors»</t>
  </si>
  <si>
    <t>2.</t>
  </si>
  <si>
    <t>C) having the IEA load data from their current databases</t>
  </si>
  <si>
    <t>С) попросить МЭА загрузить данные из имеющихся у него баз данных</t>
  </si>
  <si>
    <t>Select your country name from the drop down list or type it in manually:</t>
  </si>
  <si>
    <t>Выберите название вашей страны из выпадающего списка или наберите его вручную:</t>
  </si>
  <si>
    <t>3.</t>
  </si>
  <si>
    <t>Country:</t>
  </si>
  <si>
    <t>Страна:</t>
  </si>
  <si>
    <t>4.</t>
  </si>
  <si>
    <t>Select the year for which the balance should be built:</t>
  </si>
  <si>
    <t>Выберите год, для которого нужно построить баланс:</t>
  </si>
  <si>
    <t>Year:</t>
  </si>
  <si>
    <t>Год:</t>
  </si>
  <si>
    <t>A.</t>
  </si>
  <si>
    <t>Follow the instructions for A. automatic upload or B. manual data input</t>
  </si>
  <si>
    <t>Следуйте инструкциям для вариантов «А. Автоматическая загрузка» или «В. Ручной ввод данных»</t>
  </si>
  <si>
    <t>Check the "Data in physical units" and "Conversion factors" worksheets to see if any problems are highlighted in yellow.</t>
  </si>
  <si>
    <t>Проверьте рабочие листы «Data in physical units» и «Conversion factors» на предмет проблем, которые отмечаются желтым цветом.</t>
  </si>
  <si>
    <t>(Detailed checking instructions in 'Table Of Contents-sheet)</t>
  </si>
  <si>
    <t>(Подробные инструкции по проверке приведены во вкладке «Table Of Contents»)</t>
  </si>
  <si>
    <t>NA</t>
  </si>
  <si>
    <t>Automatic upload</t>
  </si>
  <si>
    <t>Автоматическая загрузка</t>
  </si>
  <si>
    <t>Use the buttons below to load the IEA data questionnaires into the balance builder worksheets "Data in physical units" and "Conversion factors".</t>
  </si>
  <si>
    <t>Используйте кнопки ниже для загрузки данных из вопросников МЭА в рабочие таблицы построителя балансов «Data in physical units» и «Conversion factors».</t>
  </si>
  <si>
    <t>Choice for the buttons</t>
  </si>
  <si>
    <t>Last upload:</t>
  </si>
  <si>
    <t>Последняя загрузка:</t>
  </si>
  <si>
    <t>Load COAL</t>
  </si>
  <si>
    <t>УГОЛЬ</t>
  </si>
  <si>
    <t>Load OIL</t>
  </si>
  <si>
    <t>НЕФТЬ</t>
  </si>
  <si>
    <t>B.</t>
  </si>
  <si>
    <t>Load GAS</t>
  </si>
  <si>
    <t>ГАЗ</t>
  </si>
  <si>
    <t>Load REN</t>
  </si>
  <si>
    <t>ВИЭ</t>
  </si>
  <si>
    <t>Load ELE</t>
  </si>
  <si>
    <t>ЭЛЕКТРО</t>
  </si>
  <si>
    <t>C.</t>
  </si>
  <si>
    <t>Manual data input</t>
  </si>
  <si>
    <t>Ручной ввод данных</t>
  </si>
  <si>
    <t>Insert data in the "Data in physical units" worksheet by products (e.g. natural gas, crude oil, hydro) and by flows (e.g. indigenous production, imports, electricity generation).</t>
  </si>
  <si>
    <t>Вставьте данные в рабочую таблицу «Data in physical units» по видам продукта (например, природный газ, сырая нефть, гидро) и по потокам (например, собственное производство, импорт, генерация электроэнергии).</t>
  </si>
  <si>
    <t>Update the conversion factors on the "Conversion Factors" worksheet as appropriate (colored cells should be filled in).</t>
  </si>
  <si>
    <t>При необходимости обновите коэффициенты пересчета во вкладке «Conversion Factors» (нужно заполнить цветные ячейки).</t>
  </si>
  <si>
    <t>IEA-prefilled data</t>
  </si>
  <si>
    <t>Предварительное заполнение данных МЭА</t>
  </si>
  <si>
    <t>Please contact BALANCES@iea.org.</t>
  </si>
  <si>
    <t>Пожалуйста, обращайтесь на электронный адрес BALANCES@iea.org.</t>
  </si>
  <si>
    <t>Создать PDF-отчёт!
(сохранить на рабочем столе пользователя)</t>
  </si>
  <si>
    <t>HIDE</t>
  </si>
  <si>
    <t>Country list</t>
  </si>
  <si>
    <t>Year list</t>
  </si>
  <si>
    <t>Australia</t>
  </si>
  <si>
    <t>&lt;-- Change</t>
  </si>
  <si>
    <t>Austria</t>
  </si>
  <si>
    <t>Belgium</t>
  </si>
  <si>
    <t>Canada</t>
  </si>
  <si>
    <t>Chile</t>
  </si>
  <si>
    <t>Czech Republic</t>
  </si>
  <si>
    <t>Denmark</t>
  </si>
  <si>
    <t>Estonia</t>
  </si>
  <si>
    <t>Finland</t>
  </si>
  <si>
    <t>France</t>
  </si>
  <si>
    <t>Germany</t>
  </si>
  <si>
    <t>Greece</t>
  </si>
  <si>
    <t>Hungary</t>
  </si>
  <si>
    <t>Iceland</t>
  </si>
  <si>
    <t>Ireland</t>
  </si>
  <si>
    <t>Israel</t>
  </si>
  <si>
    <t>Italy</t>
  </si>
  <si>
    <t>Japan</t>
  </si>
  <si>
    <t>Korea</t>
  </si>
  <si>
    <t>Latvia</t>
  </si>
  <si>
    <t>Lithuania</t>
  </si>
  <si>
    <t>Luxembourg</t>
  </si>
  <si>
    <t>Mexico</t>
  </si>
  <si>
    <t>Netherlands</t>
  </si>
  <si>
    <t>New Zealand</t>
  </si>
  <si>
    <t>Norway</t>
  </si>
  <si>
    <t>Poland</t>
  </si>
  <si>
    <t>Portugal</t>
  </si>
  <si>
    <t>Slovak Republic</t>
  </si>
  <si>
    <t>Slovenia</t>
  </si>
  <si>
    <t>Spain</t>
  </si>
  <si>
    <t>Sweden</t>
  </si>
  <si>
    <t>Switzerland</t>
  </si>
  <si>
    <t>Turkey</t>
  </si>
  <si>
    <t>United Kingdom</t>
  </si>
  <si>
    <t>United States</t>
  </si>
  <si>
    <t>Albania</t>
  </si>
  <si>
    <t>Algeria</t>
  </si>
  <si>
    <t>Armenia</t>
  </si>
  <si>
    <t>Azerbaijan</t>
  </si>
  <si>
    <t>Belarus</t>
  </si>
  <si>
    <t>Bosnia and Herzegovina</t>
  </si>
  <si>
    <t>Bulgaria</t>
  </si>
  <si>
    <t>Croatia</t>
  </si>
  <si>
    <t>Cyprus</t>
  </si>
  <si>
    <t>Georgia</t>
  </si>
  <si>
    <t>Gibraltar</t>
  </si>
  <si>
    <t>Kazakhstan</t>
  </si>
  <si>
    <t>Kosovo</t>
  </si>
  <si>
    <t>Kyrgyzstan</t>
  </si>
  <si>
    <t>Malta</t>
  </si>
  <si>
    <t>Moldova, Republic of</t>
  </si>
  <si>
    <t>Montenegro</t>
  </si>
  <si>
    <t>North Macedonia, Republic of</t>
  </si>
  <si>
    <t>Romania</t>
  </si>
  <si>
    <t>Russian Federation</t>
  </si>
  <si>
    <t>Serbia</t>
  </si>
  <si>
    <t>Tajikistan</t>
  </si>
  <si>
    <t>Turkmenistan</t>
  </si>
  <si>
    <t>Ukraine</t>
  </si>
  <si>
    <t>Uzbekistan</t>
  </si>
  <si>
    <t>Morocco</t>
  </si>
  <si>
    <t>Tunisia</t>
  </si>
  <si>
    <t>Brazil</t>
  </si>
  <si>
    <t>People's Republic of China</t>
  </si>
  <si>
    <t>India</t>
  </si>
  <si>
    <t>Malaysia</t>
  </si>
  <si>
    <t>Statisland</t>
  </si>
  <si>
    <t>Energy balance report</t>
  </si>
  <si>
    <t>Отчет об энергетическом балансе</t>
  </si>
  <si>
    <t>[missing Chinese]</t>
  </si>
  <si>
    <t>Electricity and heat generation</t>
  </si>
  <si>
    <t>Low efficiencies for some fuels. Please verify the input and output values in the ELE/fuel questionnaire.</t>
  </si>
  <si>
    <t>Низкая эффективность для некоторых видов топлива. Проверьте значения используемых ресурсов и производства.</t>
  </si>
  <si>
    <t>Low efficiencies</t>
  </si>
  <si>
    <t>High efficiencies for some fuels. Please verify the input and output values in the ELE/fuel questionnaire.</t>
  </si>
  <si>
    <t>Высокая эффективность для некоторых видов топлива. Проверьте значения используемых ресурсов и производства.</t>
  </si>
  <si>
    <t>High efficiencies</t>
  </si>
  <si>
    <t>Missing inputs/outputs for some fuels. Please check 'Electricity_Heat_II'-sheet for details.</t>
  </si>
  <si>
    <t>Отсутствующие значения затраченных ресурсов и выпуска. Проверьте детали в  листе  'Electricity_Heat_II'.</t>
  </si>
  <si>
    <t>missing outputs</t>
  </si>
  <si>
    <t>Report created with IEA energy balance builder tool based on data provided by the user.</t>
  </si>
  <si>
    <t>Отчет, созданный при помощи инструментария МЭА для построения энергетических балансов на основе предоставленных пользователем данных.</t>
  </si>
  <si>
    <t>Version</t>
  </si>
  <si>
    <t>версия</t>
  </si>
  <si>
    <t>Questionnaires loaded:</t>
  </si>
  <si>
    <t>Загруженный вопросники:</t>
  </si>
  <si>
    <t>Coal</t>
  </si>
  <si>
    <t>по углю</t>
  </si>
  <si>
    <t>Oil</t>
  </si>
  <si>
    <t>по нефти</t>
  </si>
  <si>
    <t>Gas</t>
  </si>
  <si>
    <t>по газу</t>
  </si>
  <si>
    <t>Renewables</t>
  </si>
  <si>
    <t>по ВИЭ</t>
  </si>
  <si>
    <t>Electricity and heat</t>
  </si>
  <si>
    <t>по электроэнергии</t>
  </si>
  <si>
    <t>OR (if questionnaires are not used)</t>
  </si>
  <si>
    <t>ИЛИ (если вопросники не используются)</t>
  </si>
  <si>
    <t>Data input manually</t>
  </si>
  <si>
    <t>Summary of the checks:</t>
  </si>
  <si>
    <t>Сводка проверок:</t>
  </si>
  <si>
    <t>Transformation sector:</t>
  </si>
  <si>
    <t>Сектор преобразования:</t>
  </si>
  <si>
    <t>Coke oven</t>
  </si>
  <si>
    <t>Коксовая печь</t>
  </si>
  <si>
    <t>Hide</t>
  </si>
  <si>
    <t>Blast furnace</t>
  </si>
  <si>
    <t>Доменная печь</t>
  </si>
  <si>
    <t>Oil refinery</t>
  </si>
  <si>
    <t>Нефтеперерабатывающий завод</t>
  </si>
  <si>
    <t>Генерация электрической и тепловой энергии</t>
  </si>
  <si>
    <t>Statistical differences for following products:</t>
  </si>
  <si>
    <t>Статистические расхождения для следующих видов продукции:</t>
  </si>
  <si>
    <t>Statistical difference / Total supply of the fuel</t>
  </si>
  <si>
    <t>Статистическое расхождение / 
Общее предложение данного вида топлива</t>
  </si>
  <si>
    <t>Data to create the statistical difference -list</t>
  </si>
  <si>
    <t>Limit:</t>
  </si>
  <si>
    <t>Order</t>
  </si>
  <si>
    <t>Statistical differences</t>
  </si>
  <si>
    <t>STATDIFF</t>
  </si>
  <si>
    <t>TPES</t>
  </si>
  <si>
    <t>Statdiff/Fuel TPES</t>
  </si>
  <si>
    <t>Above limit?</t>
  </si>
  <si>
    <t>Rank of statdiff</t>
  </si>
  <si>
    <t>Adjusted rank</t>
  </si>
  <si>
    <t>Print?</t>
  </si>
  <si>
    <t>Definitions</t>
  </si>
  <si>
    <t>Conversion Factors</t>
  </si>
  <si>
    <t>Table of Contents</t>
  </si>
  <si>
    <t>Оглавление</t>
  </si>
  <si>
    <t>Data in physical units</t>
  </si>
  <si>
    <t>Sheet</t>
  </si>
  <si>
    <t>Лист</t>
  </si>
  <si>
    <t>Disaggregated balance</t>
  </si>
  <si>
    <t>Contents</t>
  </si>
  <si>
    <t>Содержание</t>
  </si>
  <si>
    <t>Aggregated balance</t>
  </si>
  <si>
    <t>Notes</t>
  </si>
  <si>
    <t>Примечания</t>
  </si>
  <si>
    <t>Published balance</t>
  </si>
  <si>
    <t>IEA product and flow definitions</t>
  </si>
  <si>
    <t>Определения МЭА для продукта и потоков</t>
  </si>
  <si>
    <t>Balance summary</t>
  </si>
  <si>
    <t>Conversion factors used to convert data from physical to energy units</t>
  </si>
  <si>
    <t>Коэффициенты пересчета, используемые для перевода данных из физических в энергетические единицы</t>
  </si>
  <si>
    <t>IronSteel_CokeOven</t>
  </si>
  <si>
    <t>Filled by hand or automatically loaded data from the IEA questionnaires</t>
  </si>
  <si>
    <t>Заполняется вручную или автоматически загружаемые данные из вопросников МЭА</t>
  </si>
  <si>
    <t>IronSteel_BlastFurnace</t>
  </si>
  <si>
    <t>All fuels converted to a common energy unit from the data in physical units</t>
  </si>
  <si>
    <t>Все виды топлива переводятся в принятые единицы энергии из данных, приведенных в физических единицах</t>
  </si>
  <si>
    <t>Refinery</t>
  </si>
  <si>
    <t>Energy balance grouped by main fuel source</t>
  </si>
  <si>
    <t>Энергетический баланс, сгруппированный по основному источнику топлива</t>
  </si>
  <si>
    <t>Electricity_Heat_I</t>
  </si>
  <si>
    <t>Aggregated energy balance as published in IEA World Energy Balances-publication</t>
  </si>
  <si>
    <t>Агрегированный энергетический баланс на основе публикации «World Energy Balances» МЭА</t>
  </si>
  <si>
    <t>Electricity_Heat_II</t>
  </si>
  <si>
    <t>Short description of the data with graphs</t>
  </si>
  <si>
    <t>Краткое описание данных с графиками</t>
  </si>
  <si>
    <t>CapacityFactor</t>
  </si>
  <si>
    <t>Check for coke oven transformation process</t>
  </si>
  <si>
    <t>Проверка для процесса преобразования в коксовой печи</t>
  </si>
  <si>
    <t>Check for blast furnace transformation process</t>
  </si>
  <si>
    <t>Проверка для процесса преобразования в доменной печи</t>
  </si>
  <si>
    <t>Check for oil refinery transformation process</t>
  </si>
  <si>
    <t>Проверка для процесса преобразования на нефтеперерабатывающем заводе</t>
  </si>
  <si>
    <t>Broad check for electricity and heat generation efficiencies and a calculator</t>
  </si>
  <si>
    <t>Общая проверка для эффективности генерации электрической и тепловой энергии, а также калькулятор</t>
  </si>
  <si>
    <t>Detailed check for electricity and heat generation efficiencies</t>
  </si>
  <si>
    <t>Подробная проверка для эффективности генерации электрической и тепловой энергии</t>
  </si>
  <si>
    <t>Check for plant capacity factors</t>
  </si>
  <si>
    <t>Проверка для коэффициентов мощности электростанций</t>
  </si>
  <si>
    <t>Data entry</t>
  </si>
  <si>
    <t>Ввод данных</t>
  </si>
  <si>
    <t>Data dissemi-nation</t>
  </si>
  <si>
    <t>Распространение данных</t>
  </si>
  <si>
    <t>Energy-specific checks</t>
  </si>
  <si>
    <t>Проверки, связанные с энергетикой</t>
  </si>
  <si>
    <t>See 'Instructions' below</t>
  </si>
  <si>
    <t>См. «Инструкции» ниже</t>
  </si>
  <si>
    <t>Calculated automatically</t>
  </si>
  <si>
    <t>Рассчитывается автоматически</t>
  </si>
  <si>
    <t>Instructions:</t>
  </si>
  <si>
    <t>Инструкции:</t>
  </si>
  <si>
    <t>- Certain cells must always be negative (i.e. exports and bunkers).</t>
  </si>
  <si>
    <t>- Некоторые ячейки должны всегда иметь отрицательное значение (например, экспорт и бункерные накопители).</t>
  </si>
  <si>
    <t>- Certain cells must always be positive (i.e. production, other sources, imports and all the sub-elements for transformation processes, energy industry own use, losses, industry, transport, other and non-energy use)</t>
  </si>
  <si>
    <t>- Некоторые ячейки должны всегда иметь положительное значение (например, производство, другие источники, импорт и все субэлементы процессов преобразования, собственное использование энергетической отросли, потери, отрасли промышленности, транспорт, другое и неэнергетическое использование)</t>
  </si>
  <si>
    <t>- Sub-totals will be highlighted if they are not equal to the sum of the sub-elements.</t>
  </si>
  <si>
    <t>- Промежуточные итоговые суммы будут подцвечиваться в случае несовпадения с суммой субэлементов.</t>
  </si>
  <si>
    <t>- Final consumption will check to see that sums are correct both from the top-down and the bottom-up:</t>
  </si>
  <si>
    <t>- Конечное потребление будет совершать проверку на предмет правильности всех сумм сверху вниз и снизу вверх:</t>
  </si>
  <si>
    <t>--Final consumption (top-down) = Domestic supply - Transformation processes - Energy industry own use - Losses + Transfers + Statistical difference</t>
  </si>
  <si>
    <t>--Общее конечное потребление (сверху вниз)</t>
  </si>
  <si>
    <t>--Final consumption (bottom-up) = Industry + Transport + Other + Non-energy use</t>
  </si>
  <si>
    <t>--Общее конечное потребление (снизу вверх)</t>
  </si>
  <si>
    <t>- For the conversion factors, make sure that there are no zeroes in the table to ensure that all flows are converted to energy units.</t>
  </si>
  <si>
    <t>- Что касается коэффициентов пересчета, для того, чтобы все потоки были переведены в единицы энергии, пожалуйста, убедитесь, что в таблице нет нолей.</t>
  </si>
  <si>
    <t>Help / Further Information:</t>
  </si>
  <si>
    <t>Помощь / Дополнительная информация:</t>
  </si>
  <si>
    <t xml:space="preserve">- Consult the IEA definitions worksheet to understand what is covered by individual products or flows.  Where applicable, row or column headings of the "data in physical units" and balances worksheets are linked directly to the appropriate definition. </t>
  </si>
  <si>
    <t xml:space="preserve">- Обратитесь к таблице определений МЭА, чтобы понять, что входит в те или иные виды продукции или потоки.  Где необходимо, заголовки строк и столбцов во вкладках «Data in physical units» и «Balances» привязаны непосредственно к соответствующему определению. </t>
  </si>
  <si>
    <t>- Please ensure macros are enabled.</t>
  </si>
  <si>
    <t>- Убедитесь, что включены макросы.</t>
  </si>
  <si>
    <t>-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t>
  </si>
  <si>
    <t>- Присущие определенным странам исключения, перечисленные во вкладке «Exceptions», где необходимо, автоматически копируются в дезагрегированный баланс. В этот рабочий лист нельзя вносить изменения, поскольку он приведен для информации. В случае изменения ячеек «Дезагрегированный баланс», цвет их шрифта изменяется на красный.</t>
  </si>
  <si>
    <t>- Most worksheets are protected to prevent involuntary changes. To unprotect them, right-click the desired worksheet and select "Unprotect sheet".</t>
  </si>
  <si>
    <t>- Большинство рабочих листов защищены от непреднамеренного внесения изменений. Чтобы снять защиту, кликните правой кнопкой мыши на нужном листе и выберете пункт «Снять защиту листа».</t>
  </si>
  <si>
    <t>-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t>
  </si>
  <si>
    <t>- МЭА использует модель для распределения части используемого топлива для доменных печей на процессы преобразования, а части – на потребление чугуна и стали. Эта модель не реализована в построителе балансов и, по этой причине, строки преобразований доменных печей и строки чугуна и стали могут отличаться от публикуемых нами данных.</t>
  </si>
  <si>
    <t>Compatible with International recommendations for energy statistics (UN, 2011)</t>
  </si>
  <si>
    <t>Совместимо с Международными рекомендациями по статистике энергетики (ООН, 2011)</t>
  </si>
  <si>
    <t>Hidden sheets only for administrator</t>
  </si>
  <si>
    <t>DPU formulas</t>
  </si>
  <si>
    <t>This sheet has links to relevant AQ tables. Modify if there are changes in the AQs. Macro copies the formulas so that they are correct in the 'Data in physical units'-sheet. Table formatting removed to make the file lighter.</t>
  </si>
  <si>
    <t>CF formulas</t>
  </si>
  <si>
    <t>This sheet has links to relevant AQ tables for calorific values. Modify if there are changes in the AQs. Macro copies the formulas so that they are correct in the 'Conversion factors'-sheet. Table formatting removed to make the file lighter.</t>
  </si>
  <si>
    <t>Miscellanoeus efficiencies</t>
  </si>
  <si>
    <t>Missing</t>
  </si>
  <si>
    <t>Charcoal, patent fuel, other transformation, CTL, GTL</t>
  </si>
  <si>
    <t>BAL_Reading_Exercise</t>
  </si>
  <si>
    <t>Hidden sheet ('xlVeryHidden') for training purposes</t>
  </si>
  <si>
    <t>BAL_Checking_Exercise</t>
  </si>
  <si>
    <t>IEA Definitions</t>
  </si>
  <si>
    <r>
      <rPr>
        <b/>
        <u/>
        <sz val="11"/>
        <color theme="0"/>
        <rFont val="Arial"/>
        <family val="2"/>
      </rPr>
      <t>Link to IRES:</t>
    </r>
    <r>
      <rPr>
        <b/>
        <i/>
        <u/>
        <sz val="11"/>
        <color theme="0"/>
        <rFont val="Arial"/>
        <family val="2"/>
      </rPr>
      <t xml:space="preserve"> https://unstats.un.org/unsd/energy/ires/</t>
    </r>
  </si>
  <si>
    <t>:</t>
  </si>
  <si>
    <r>
      <rPr>
        <b/>
        <u/>
        <sz val="11"/>
        <color indexed="12"/>
        <rFont val="Arial"/>
        <family val="2"/>
      </rPr>
      <t>Link to IRES:</t>
    </r>
    <r>
      <rPr>
        <b/>
        <i/>
        <u/>
        <sz val="11"/>
        <color indexed="12"/>
        <rFont val="Arial"/>
        <family val="2"/>
      </rPr>
      <t xml:space="preserve"> https://unstats.un.org/unsd/energy/ires/</t>
    </r>
  </si>
  <si>
    <t>Product language</t>
  </si>
  <si>
    <t>Product definition</t>
  </si>
  <si>
    <t>Product unit (for commodity balance)</t>
  </si>
  <si>
    <t>Text for various sheets</t>
  </si>
  <si>
    <t>Comments</t>
  </si>
  <si>
    <t>PRODUCT DEFINITIONS</t>
  </si>
  <si>
    <t>ОПРЕДЕЛЕНИЯ ПРОДУКТА</t>
  </si>
  <si>
    <t>产品定义</t>
  </si>
  <si>
    <t>Coal gases</t>
  </si>
  <si>
    <t>Угольные газы</t>
  </si>
  <si>
    <t>煤气（太焦耳 - 毛量）</t>
  </si>
  <si>
    <t>Text for 'Data in physical units'</t>
  </si>
  <si>
    <t>Coal, peat, oilshale and oil sands</t>
  </si>
  <si>
    <t>Уголь, tорф и Горючие сланцы и битуминозные пески</t>
  </si>
  <si>
    <t>煤、泥煤、油页岩和油砂</t>
  </si>
  <si>
    <t xml:space="preserve"> </t>
  </si>
  <si>
    <t>Данные в физических единицах</t>
  </si>
  <si>
    <t>物理单位数据</t>
  </si>
  <si>
    <t>ANTCOAL</t>
  </si>
  <si>
    <t>Anthracite</t>
  </si>
  <si>
    <t>Антрацит</t>
  </si>
  <si>
    <t>无烟煤</t>
  </si>
  <si>
    <t>High rank coal used for industrial and residential applications. It has generally less than 10% volatile matter and a high carbon content (about 90% fixed carbon). Its gross calorific value is equal to or greater than 24 000 kJ/kg on an ash-free but moist basis.</t>
  </si>
  <si>
    <t>уголь высшего качества, используемый для промышленного и бытового применения. Обычно имеет менее 10% летучих веществ и высокое содержание углерода (приблизительно 90% связанного углерода). Высшая теплотворная способность не менее 24 000 кДж/кг на беззольной, но влажной основе.</t>
  </si>
  <si>
    <t>无烟煤是一种用于工业和民用用途的高级煤。通常情况下，其挥发物含量低于10%，碳含量较高（固定碳含量约90%）。无烟煤的恒湿无灰基高位发热量大于或等于24000千焦/千克。</t>
  </si>
  <si>
    <t>kt</t>
  </si>
  <si>
    <t>тыс. тонн</t>
  </si>
  <si>
    <t>千吨</t>
  </si>
  <si>
    <t>Дезагрегированный баланс</t>
  </si>
  <si>
    <t>分类平衡表</t>
  </si>
  <si>
    <t>Text for 'Disaggregated balance'</t>
  </si>
  <si>
    <t>COKCOAL</t>
  </si>
  <si>
    <t>Coking coal</t>
  </si>
  <si>
    <t>Коксующийся уголь</t>
  </si>
  <si>
    <t>焦煤</t>
  </si>
  <si>
    <t>Bituminous coal with a quality that allows the production of a coke suitable to support a blast furnace charge. Its gross calorific value is equal to or greater than 24 000 kJ/kg on an ash-free but moist basis.</t>
  </si>
  <si>
    <t>битуминозный уголь, качество которого позволяет производить кокс, пригодный для поддержки загрузки доменной печи. Высшая теплотворная способность не менее 24 000 кДж/кг на беззольной, но влажной основе.</t>
  </si>
  <si>
    <t>焦煤是一种烟煤，用于生产适合支撑高炉炉料的焦炭。焦煤的恒湿无灰基高位发热量大于或等于24000千焦/千克。</t>
  </si>
  <si>
    <t>Total of all energy sources</t>
  </si>
  <si>
    <t>Сумма для вех источников энергии</t>
  </si>
  <si>
    <t>总计</t>
  </si>
  <si>
    <t>BITCOAL</t>
  </si>
  <si>
    <t>Other bituminous coal</t>
  </si>
  <si>
    <t>Прочий битуминозный уголь</t>
  </si>
  <si>
    <t>其它烟煤</t>
  </si>
  <si>
    <t>Coal mainly used for steam raising purposes and includes all bituminous coal that is not included under coking coal nor anthracite. It is characterized by higher volatile matter than anthracite (more than 10%) and lower carbon content (less than 90% fixed carbon). Its gross calorific value is equal to or greater than 24 000 kJ/kg on an ash-free but moist basis. If bituminous coal is used in coke ovens it should be reported as coking coal.</t>
  </si>
  <si>
    <t>уголь, используемый в основном для производства пара. Включает все виды битуминозного угля, не включенные в коксующийся уголь и антрацит. Характеризуется более высоким содержанием летучих веществ, чем антрацит (более 10%), и более низким содержанием углерода (менее 90% связанного углерода). Его высшая теплотворная способность не менее 24 000 кДж/кг на беззольной, но влажной основе. Если битуминозный уголь используется в коксовых печах, то его следует указать как коксующийся уголь.</t>
  </si>
  <si>
    <t>其它烟煤主要用于锅炉升火和空间采暖，包括未归入焦煤和无烟煤的所有其它烟煤，其具有挥发物含量高于无烟煤（10%以上）、碳含量较低（固定碳含量低于90%）的特征，恒湿无灰基高位发热量大于或等于24000千焦/千克。</t>
  </si>
  <si>
    <t>Efficiencies</t>
  </si>
  <si>
    <t>Показатели эффективности</t>
  </si>
  <si>
    <t xml:space="preserve">效率
</t>
  </si>
  <si>
    <t>SUBCOAL</t>
  </si>
  <si>
    <t>Sub-bituminous coal</t>
  </si>
  <si>
    <t>Полубитуминозный уголь</t>
  </si>
  <si>
    <t>次烟煤</t>
  </si>
  <si>
    <t>Non-agglomerating coal with a gross calorific value equal to or greater than 20 000 kJ/kg and less than 24 000 kJ/kg containing more than 31% volatile matter on a dry mineral matter free basis.</t>
  </si>
  <si>
    <t>Неагломерированный уголь с высшей теплотворной способностью, равной или превышающей 20 000 кДж/кг и менее 24 000 кДж/кг, содержащий более 31% летучих веществ на сухой безминеральной основе.</t>
  </si>
  <si>
    <t>次烟煤属于一种不粘结煤，干燥无矿物质基高位发热量在20 000千焦/千克和24 000千焦/千克之间，挥发物含量高于31%。</t>
  </si>
  <si>
    <t>Агрегированный баланс</t>
  </si>
  <si>
    <t>汇总平衡表</t>
  </si>
  <si>
    <t>Text for 'Aggregated balance'</t>
  </si>
  <si>
    <t>LIGNITE</t>
  </si>
  <si>
    <t>Lignite</t>
  </si>
  <si>
    <t>Лигнит</t>
  </si>
  <si>
    <t>褐煤</t>
  </si>
  <si>
    <t>Non-agglomerating coal with a gross calorific value less than 20 000 kJ/kg and greater than 31% volatile matter on a dry mineral matter free basis.</t>
  </si>
  <si>
    <t>Неагломерированный уголь с высшей теплотворной способностью менее 20 000 кДж/кг, с содержанием летучих веществ более 31% на сухой безминеральной основе.</t>
  </si>
  <si>
    <t>褐煤是一种不粘结煤，干燥无矿物质基高位发热量低于20 000千焦/千克，挥发物含量高于31%。</t>
  </si>
  <si>
    <t>Total</t>
  </si>
  <si>
    <t>Всего</t>
  </si>
  <si>
    <t>PATFUEL</t>
  </si>
  <si>
    <t>Patent fuel</t>
  </si>
  <si>
    <t>Каменноугольные брикеты</t>
  </si>
  <si>
    <t xml:space="preserve">专利燃料 </t>
  </si>
  <si>
    <t>A composition fuel manufactured from hard coal fines with the addition of a binding agent. The amount of patent fuel produced may, therefore, be slightly higher than the actual amount of coal consumed in the transformation process.</t>
  </si>
  <si>
    <t>Топливная смесь, изготовляемая из мелких частиц каменного угля, с добавкой связующего материала. Поэтому общее количество готовых каменноугольных брикетов может немного превышать количество угля, фактически потребленного в процессе преобразования.</t>
  </si>
  <si>
    <t>专利燃料是使用硬煤粉和粘合剂制造的一种合成燃料。因此，生产出来的专利燃料数量可能略高于转换过程中煤的实际消费量。专利燃料制造过程中专利燃料的消费量列入能源行业自用项目。</t>
  </si>
  <si>
    <t>Solar, Wind, Others</t>
  </si>
  <si>
    <t>Солнечная, ветровая, иное</t>
  </si>
  <si>
    <t>生物燃料和废弃物</t>
  </si>
  <si>
    <t>OVENCOKE</t>
  </si>
  <si>
    <t>Coke oven coke</t>
  </si>
  <si>
    <t>Кокс из коксовых печей</t>
  </si>
  <si>
    <t>焦炉焦炭</t>
  </si>
  <si>
    <t>The solid product obtained from carbonization of coal, principally coking coal, at high temperature, it is low in moisture and volatile matter. Coke oven coke is used mainly in the iron and steel industry acting as energy source and chemical agent. Coke breeze and foundry coke are included in this category. Semi-coke (a solid product obtained from carbonization of coal at low temperature) should be included in this category. Semi-coke is used as a domestic fuel or by the transformation plant itself. This heading also includes coke, coke breeze and semi-coke made from lignite/brown coal.</t>
  </si>
  <si>
    <t>Твердый продукт, получаемый при высокотемпературной карбонизации угля, в основном коксующегося угля, имеющий низкое содержание влаги и летучих веществ. Кокс из коксовых печей используется в основном в черной металлургии как источник энергии и химический реагент. В эту категорию входят также коксовая мелочь и литейный кокс. В эту категорию следует включить полукокс (твердый продукт, получаемый с помощью низкотемпературной карбонизации угля). Полукокс используется как бытовое топливо или непосредственно станцией преобразования. Эта категория включает также кокс, коксовую мелочь и полукокс, получаемые из лигнита/бурого угля.</t>
  </si>
  <si>
    <t>焦炉焦炭是将煤（主要是炼焦煤）高温碳化形成的一种固体产物，水分和挥发物含量低。焦炉焦炭主要用于钢铁业，作为能源和化学试剂。同时，焦炉焦炭还包括半焦炭（煤低温碳化形成的一种固体产物）、褐煤焦炭（褐煤形成的一种半焦炭）、焦炭屑和铸造用焦炭。能源行业自用标题项下包括炼焦厂自身的焦炉焦炭消费量。钢铁业消费的焦炉焦炭不包括转换成高炉煤气的焦炭。在计算钢铁业的焦炉焦炭消费总量时，应当加上转换成高炉煤气的焦炭数量（这些焦炭数量列入高炉项目）。</t>
  </si>
  <si>
    <t>Coal transformation</t>
  </si>
  <si>
    <t>Преобразование угля</t>
  </si>
  <si>
    <t>煤转换</t>
  </si>
  <si>
    <t>GASCOKE</t>
  </si>
  <si>
    <t>Gas coke</t>
  </si>
  <si>
    <t>Газовый кокс</t>
  </si>
  <si>
    <t>煤气焦炭</t>
  </si>
  <si>
    <t>By-product of hard coal used for production of town gas in gas works. Gas coke is used for heating purposes.</t>
  </si>
  <si>
    <t>Побочный продукт каменного угля, используемого для производства бытового газа на газовых заводах. Газовый кокс используется для отопления.</t>
  </si>
  <si>
    <t>煤气焦炭是硬煤的一种副产品，用于煤气厂生产民用煤气。煤气焦炭用于采暖。能源行业自用包括煤气厂的煤气焦炭消费量。</t>
  </si>
  <si>
    <t>Liquefaction plants</t>
  </si>
  <si>
    <t>Заводы по сжижению</t>
  </si>
  <si>
    <t xml:space="preserve">液化厂
</t>
  </si>
  <si>
    <t>COALTAR</t>
  </si>
  <si>
    <t>Coal tar</t>
  </si>
  <si>
    <t>Каменноугольная смола</t>
  </si>
  <si>
    <t>煤焦油</t>
  </si>
  <si>
    <t>A result of the destructive distillation of bituminous coal or of the low-temperature carbonisation of brown coal. Coal tar from bituminous coal is the liquid by-product of the distillation of coal to make coke in the coke oven process. Coal tar can be further distilled into different organic products (e.g. benzene, toluene, naphthalene), which normally would be reported as a feedstock to the petrochemical industry.</t>
  </si>
  <si>
    <t>Результат сухой перегонки битуминозного угля или низкотемпературной карбонизации бурого угля. Каменноугольная смола из битуминозного угля - это жидкий побочный продукт перегонки угля с целью получения кокса в коксовых печах. Каменноугольная смола может подвергаться дальнейшей перегонке для получения разных органических продуктов (например, бензола, толуола, нафталина), которые обычно указывают в отчетности как сырье для нефтехимической промышленности.</t>
  </si>
  <si>
    <t>煤焦油是烟煤干馏或褐煤低温碳化的产物。烟煤形成的煤焦油是在焦炉炼焦过程中，对烟煤进行蒸馏生成的液体副产品。煤焦油可进一步蒸馏提炼成不同的有机产品（例如：苯、甲苯、萘），一般情况下，这些有机产品可作为石油化工行业原料进行报送。</t>
  </si>
  <si>
    <t>Conversion factors</t>
  </si>
  <si>
    <t>Коэффициенты пересчета</t>
  </si>
  <si>
    <t>换算因子</t>
  </si>
  <si>
    <t>Text for 'Conversion factors'</t>
  </si>
  <si>
    <t>BKB</t>
  </si>
  <si>
    <t>BKB (Brown coal briquettes)</t>
  </si>
  <si>
    <t>Буроугольные брикеты (БУБ)</t>
  </si>
  <si>
    <t xml:space="preserve">褐煤型煤 </t>
  </si>
  <si>
    <t>BKB is a composition fuel manufactured from lignite or sub-bituminous coal, produced by briquetting under high pressure without the addition of a binding agent.</t>
  </si>
  <si>
    <t>Буроугольные брикеты – это топливная смесь, получаемая из лигнита или полубитуминозного угля посредством брикетирования под высоким давлением, без добавления связующего материала.</t>
  </si>
  <si>
    <t>褐煤型煤是使用褐煤，在添加或不添加粘合剂的情况下，通过高压压块制作而成的合成燃料。</t>
  </si>
  <si>
    <t>Net calorific values (kJ/kg)</t>
  </si>
  <si>
    <t>Значения низшей теплоты сгорания (кДж/кг)</t>
  </si>
  <si>
    <t>净热值（千焦/千克）</t>
  </si>
  <si>
    <t>GASWKSGS</t>
  </si>
  <si>
    <t>Gas works gas</t>
  </si>
  <si>
    <t>Заводской газ</t>
  </si>
  <si>
    <t xml:space="preserve">煤气厂煤气  </t>
  </si>
  <si>
    <t xml:space="preserve">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reported under the rows, From other sources. Under the transformation sector identify amounts of gas work gas transferred to blended natural gas which will be distributed and consumed through the natural gas grid. The quantity of fuel should be reported on a gross calorific value basis.
The production of other coal gases (i.e. coke oven gas, blast furnace gas and other recovered gases) should be reported in the columns concerning such gases, and not as production of gas works gas. The coal gases transferred to gas works plants should then be reported (in their own column) in the transformation sector in the gas works plants row. The total amount of gas works gas resulting from transfers of other coal gases should appear in the production line for gas works gas.
</t>
  </si>
  <si>
    <t xml:space="preserve">Эта категория включает все газы, вырабатываемые на коммунальных или частных предприятиях, основным видом деятельности которых является производство, транспортировка и распределение газа. В эту категорию входит газ, производимый путем карбонизации (в том числе газ, производимый в коксовых печах и передаваемый в заводской газ), путем полной газификации с обогащением нефтепродуктами (сжиженным нефтяным газом, топочным мазутом и др.) или без него, а также путем реформинга и простого смешивания газов и/или воздуха, указываемый в строках «Из прочих источников». В Секторе преобразования укажите объемы заводского газа, переданного для смешивания с природным газом, который будет распределяться и употребляться через сеть природного газа. Объем топлива следует указать на основе высшей теплотворной способности. 
Производство других газов из угля (коксового, доменного и других восстановленных газов) должно быть указано в колонках, относящихся к таким газам, а не как производство заводского газа. Газы из угля, переданные на газовые заводы, должны быть потом представлены (в своей колонке) в Cекторе преобразования в строке, относящейся к газовым заводам. Общий объем заводского газа, созданный в результате передачи других газов из угля, следует указать в строке производства заводского газа.  
</t>
  </si>
  <si>
    <t>煤气厂煤气包括以煤气制造、运输和配送为主营业务的公用或私营煤气厂生产的各种煤气。煤气厂煤气包括通过碳化生成的煤气（包括焦炉生产的并传输给煤气厂的煤气）、完全气化（无论是否添加石油产品）生成的煤气，及通过重整和简单混合煤气和/或空气生成的煤气 。</t>
  </si>
  <si>
    <t>TJ-gross</t>
  </si>
  <si>
    <t>ТДж - ВТС</t>
  </si>
  <si>
    <t>太焦耳 - 毛值</t>
  </si>
  <si>
    <t>Share of renewables in supply (%)</t>
  </si>
  <si>
    <t>Доля ВИЭ в предложении (%)</t>
  </si>
  <si>
    <t>[missing_Chinese]</t>
  </si>
  <si>
    <t>COKEOVGS</t>
  </si>
  <si>
    <t>Coke oven gas</t>
  </si>
  <si>
    <t>Коксовый газ</t>
  </si>
  <si>
    <t xml:space="preserve">焦炉煤气  </t>
  </si>
  <si>
    <t>Obtained as a by-product from the manufacture of coke oven coke for the production of iron and steel. The quantity of fuel should be reported on a gross calorific value basis.</t>
  </si>
  <si>
    <t>Образуется как побочный продукт производства кокса в коксовых печах для использования в производстве железа и стали. Объем топлива должен быть указан на основе высшей теплотворной способности.</t>
  </si>
  <si>
    <t>焦炉煤气是在炼制用于钢铁生产的焦炉焦炭过程中生成的副产品。</t>
  </si>
  <si>
    <t>BLFURGS</t>
  </si>
  <si>
    <t>Blast furnace gas</t>
  </si>
  <si>
    <t>Доменный газ</t>
  </si>
  <si>
    <t xml:space="preserve">高炉煤气  </t>
  </si>
  <si>
    <t>Produced during the combustion of coke in blast furnaces in the iron and steel industry. It is recovered and used as a fuel partly within the plant and partly in other steel industry processes or in power stations equipped to burn it. The quantity of recuperated fuel should be reported on a gross calorific value basis. In addition, off-gases from all iron-production reduction processes utilising air as the oxygen source (such as Direct reduced iron) should be reported here.</t>
  </si>
  <si>
    <t>Производится при сжигании кокса в доменных печах на предприятиях черной металлургии. Этот газ извлекается и используется в качестве топлива, частично на предприятии, частично в других процессах черной металлургии или на электростанциях, которые могут его сжигать. Объем рекуперируемого топлива следует указать на основе высшей теплотворной способности. К тому же, здесь следует указать отходящие газы всех восстановительных металлургических процессов, использующих воздух как источник кислорода (например, прямое восстановление железа).</t>
  </si>
  <si>
    <t>高炉煤气在钢铁业高炉焦炭的燃烧过程中产生。高炉煤气一部分在厂内回收并用作燃料，一部分在其他钢铁业工艺中或具备燃烧设备的发电站回收并用作燃料。</t>
  </si>
  <si>
    <t>OGASES</t>
  </si>
  <si>
    <t>Other recovered gases</t>
  </si>
  <si>
    <t>Прочие восстановленные газы</t>
  </si>
  <si>
    <t xml:space="preserve">其他回收煤气  </t>
  </si>
  <si>
    <t>By-product of the production of steel in an oxygen furnace, recovered on leaving the furnace. The gases are also known as converter gas, LD gas or BOS gas. The quantity of recuperated fuel should be reported on a gross calorific value basis.  Also covers non-specified manufactured gases not mentioned above, such as combustible gases of solid carbonaceous origin recovered from manufacturing and chemical processes not elsewhere defined.</t>
  </si>
  <si>
    <t>Побочный продукт производства стали в кислородно-конвертерной печи, который улавливается на выходе. Эти газы известны также как конвертерный газ, ЛД-газ или кислородно-конвертерный газ. Объем рекуперируемого топлива следует указать на основе высшей теплотворной способности. Эта подгруппа включает также неспецифические синтез-газы, не указанные выше, такие как горючие газы твердого углеродного происхождения, улавливаемые при производственных или химических процессах и не включенные в другие подгруппы.</t>
  </si>
  <si>
    <t>其他回收煤气是利用吹氧炉生产钢铁时生成的副产品，在出炉时回收。这些气体也被称作转炉煤气、LD煤气或BOS煤气。 回收燃料的数量应基于高位发热量进行报送。此外，其他回收煤气还应包括未在上文提及的未列明的人造煤气，例如：在生产和化学过程中回收的固体碳源易燃气体（未另行予以定义）。</t>
  </si>
  <si>
    <t>MANGAS</t>
  </si>
  <si>
    <t>Elec/heat output from non-spec. manufactured gases</t>
  </si>
  <si>
    <t>Производство электроэнергии/тепла из неуказанных конкретно произведенных газов</t>
  </si>
  <si>
    <t>未列明的人造煤气产生的电力/热力</t>
  </si>
  <si>
    <t>This item is only used if the detailed breakdown is not available. It includes coke oven gas, blast furnace gas and other recovered gases. Gas works gas is not included here.</t>
  </si>
  <si>
    <t>Этот пункт используется только в случае отсутствия подробной разбивки. Включает в себя коксовый газ, доменный газ и другие виды извлеченных газов, кроме газа, произведенного на газовых заводах.</t>
  </si>
  <si>
    <t>该项仅在具体明细信息无法获得的情况下使用。它包括焦炉煤气、高炉煤气和其他回收煤气，但不包括煤气厂煤气。</t>
  </si>
  <si>
    <t>PEAT</t>
  </si>
  <si>
    <t>Peat</t>
  </si>
  <si>
    <t>Торф</t>
  </si>
  <si>
    <t>泥煤</t>
  </si>
  <si>
    <t>A combustible soft, porous or compressed, fossil sedimentary deposit of plant origin with high water content (up to 90 percent in the raw state), easily cut, and of light to dark brown colour. Peat used for non-energy purposes should not included here. Milled peat is included here.</t>
  </si>
  <si>
    <t>Мягкое горючее, пористое или сжатое, ископаемое осадочное отложение растительного происхождения с высоким содержанием воды (до 90% в сыром состоянии), легко режется, от светло-коричневого до темно-коричневого цвета. Торф для неэнергетического использования указывать не следует. Фрезерный торф входит в эту подгруппу.</t>
  </si>
  <si>
    <t>泥煤是一种易燃的柔软、多孔或压缩的植物源化石沉积物，水分含量高（在原始状态下高达90%），容易切割，颜色从浅褐色到深褐色不等。此项不包括出于非能源用途使用的泥煤，但包括碎泥煤。</t>
  </si>
  <si>
    <t>PEATPROD</t>
  </si>
  <si>
    <t>Peat products</t>
  </si>
  <si>
    <t>Продукты переработки торфа</t>
  </si>
  <si>
    <t>泥煤产品</t>
  </si>
  <si>
    <t>Products such as peat briquettes derived directly or indirectly from sod peat and milled peat.</t>
  </si>
  <si>
    <t>Эта категория включает такие продукты, как торфяные брикеты, полученные прямо или косвенно из торфяного дерна или фрезерного торфа.</t>
  </si>
  <si>
    <t>泥煤产品包括直接或间接使用草泥煤和碎泥煤制成的泥煤砖等产品。</t>
  </si>
  <si>
    <t>OILSHALE</t>
  </si>
  <si>
    <t>Oil shale and oil sands</t>
  </si>
  <si>
    <t>Горючие сланцы и битуминозные пески</t>
  </si>
  <si>
    <t>油页岩和油砂</t>
  </si>
  <si>
    <t>Oil shale and oil sands are sedimentary rock which contains organic matter in the form of kerogen. Kerogen is a waxy hydrocarbon-rich material regarded as a precursor of petroleum. Oil shale may be burned directly or processed by heating to extract shale oil. Oil shale and tar sands used as inputs for other transformation processes are also included here (this includes the portion consumed in the transformation process). Shale oil and other products derived from liquefaction are included in from other sources under crude oil (other hydrocarbons).</t>
  </si>
  <si>
    <t>Горючие сланцы и битуминозные пески – это осадочная порода, которая состоит из органического вещества в форме керогена. Кероген – это парафинистый, богатый углеводородом материал, который рассматривается в качестве предшественника нефти. Горючие сланцы могут сжигаться непосредственно или проходить термическую обработку для извлечения сланцевого масла. Сланцевое масло и прочие продукты, извлеченные в процессе сжижения, следует указать в «Годовом вопроснике по нефти» в подгруппе «Прочие углеводороды».</t>
  </si>
  <si>
    <t>油页岩和油砂是含有油母页岩有机质的沉积岩。油母页岩是 一种光滑的、富含碳氢化合物的物质，被视作石油前体。油页岩可直接燃烧，或者通过加热分解提炼岩页油。此项还包括被用作其他转换过程输入原料的油页岩和焦油砂（包括在转换过程中消费的部分）。页岩油和因溶解生产的其他产品列入原油项下其他能源项目（其他碳氢化合物）。</t>
  </si>
  <si>
    <t>Crude, NGL, refinery feedstocks</t>
  </si>
  <si>
    <t>Нефть, ПГК и Сырьё для нефтепереработки</t>
  </si>
  <si>
    <t>原油、天然气凝析液、炼油厂原料</t>
  </si>
  <si>
    <t>CRUDEOIL</t>
  </si>
  <si>
    <t>Crude oil</t>
  </si>
  <si>
    <t>Сырая нефть</t>
  </si>
  <si>
    <t>原油</t>
  </si>
  <si>
    <t>Crude oil is a mineral oil of natural origin comprising a mixture of hydrocarbons and associated impurities, such as sulphur. It exists in the liquid phase under normal surface temperature and pressure and its physical characteristics (density, viscosity, etc.) are highly variable. This category includes field or lease condensate recovered from associated and non–associated gas where it is commingled with the commercial crude oil stream.</t>
  </si>
  <si>
    <t>Сырая нефть является минеральным топливом природного происхождения состоящим из углеводородов и связанных примесей, таких как сера. Сырая нефть при нормальной температуре и давлении существует в жидком виде и её физические свойства (плотность, вязкость и т.д.) сильно переменчивы. В эту категорию включена жидкость изъятая из газоконденсатного месторождения или промысловый конденсат изъятый из попутного или непопутного газа, там, где он смешанный с коммерческим потоком сырой нефти.</t>
  </si>
  <si>
    <t>原油是一种天然矿物质油，由碳氢化合物和伴生杂质（如硫磺）混合而成。原油在正常地表温度和压力下呈液体状态，其物理特征（密度、粘度等）有较大的可变性。该项包括从与商业原油流相混合的伴生和非伴生气体中回收的油田凝析油或矿场气凝析油（分离液）。</t>
  </si>
  <si>
    <t>NGL</t>
  </si>
  <si>
    <t>Natural gas liquids (NGL)</t>
  </si>
  <si>
    <t>Природный газоконденсат (ПГК)</t>
  </si>
  <si>
    <t>天然气凝析液</t>
  </si>
  <si>
    <t>NGL are liquid or liquefied hydrocarbons recovered from natural gas in separation facilities or gas processing plants. Natural gas liquids include ethane, propane, butane (normal and iso–), (iso) pentane and pentanes plus (sometimes referred to as natural gasoline or plant condensate).</t>
  </si>
  <si>
    <t>Природный газоконденсат это жидкие или сжиженные углеводороды, извлекаемые из природного газа в сепараторных установках или на газоперерабатывающих станциях. В состав  природного газоконденсата входят этан, пропан, бутан (нормальный и изобутан), (изо)пентан и плюс пентаны (пентаны и более тяжёлые углеводороды, которые иногда упоминаются как природный бензин или производственный конденсат).</t>
  </si>
  <si>
    <t>天然气凝析液是从分离设施或气体加工厂的天然气中回收的液体或液化碳氢化合物。天然气凝析液包括乙烷、丙烷、丁烷（正丁烷和异丁烷）、（异）戊烷和戊烷以上的烃（有时也被称作天然汽油或加工厂凝析油）。</t>
  </si>
  <si>
    <t>REFFEEDS</t>
  </si>
  <si>
    <t>Refinery feedstocks</t>
  </si>
  <si>
    <t>Сырьё для нефтепереработки</t>
  </si>
  <si>
    <t>炼油厂原料</t>
  </si>
  <si>
    <t>A refinery feedstock is a processed oil destined for further processing (e.g. straight run fuel oil or vacuum gas oil) excluding blending. With further processing, it will be transformed into one or more components and/or finished products. This definition also covers returns from the petrochemical industry to the refining industry (e.g. pyrolysis gasoline, C4 fractions, gasoil and fuel oil fractions).</t>
  </si>
  <si>
    <t>Сырьё для нефтепереработки это переработанная нефть, которая предназначается для дальнейшей обработки (например мазут первой перегонки или вакуумный газойль), исключая смешивание. В дальнейших этапах переработки, сырьё для нефтепереработки преобразуется в один или несколько компонентов и/или конечных продуктов. Данное определение охватывает также возвратные продукты из нефтехимической промышленности в нефтеперерабатывающую промышленность (например пиролизный бензин, фракции С4 и фракции газойля и мазута).</t>
  </si>
  <si>
    <t>炼油厂原料是一种加工油，在炼油工业用作调配以外的其他加工目的（例如：直馏燃料油或减压轻柴油）。经过进一步的加工，炼油厂原料将转化成一种或多种组分和/或成品。本定义还涵盖从石油化工行业返回至炼油行业的产品（例如：裂解汽油、碳四馏分、汽油和燃料油馏分）。</t>
  </si>
  <si>
    <t>ADDITIVE</t>
  </si>
  <si>
    <t>Additives/ blending components</t>
  </si>
  <si>
    <t>Присадки/оксигенаты</t>
  </si>
  <si>
    <t>添加剂/调合组分</t>
  </si>
  <si>
    <t xml:space="preserve">Additives are non-hydrocarbon compounds added to or blended with a product to modify fuel properties (octane, cetane, cold properties, etc.):
i. Oxygenates, such as alcohols (methanol, ethanol); ethers, such as MTBE (methyl tertiary butyl ether), ETBE (ethyl tertiary butyl ether), TAME (tertiary amyl methyl ether);
ii. Esters (e.g. rapeseed or dimethylester, etc.);
iii. Chemical compounds (such as TML, TEL and detergents).
The biofuel fractions of biogasoline, biodiesel and ethanol are not included here, but under liquid biofuels. This differs from the presentation of additives in the Oil Information publication.
</t>
  </si>
  <si>
    <t xml:space="preserve">Присадки это неуглеводородные соединения, которые добавляются или смешиваются с продуктами нефтепереработки для изменения свойств топлива (таких как октановое и цетановое число, устойчивость при низких температурах, и т.д.):
i. Оксигенаты, такие как алкоголи (метанол, этанол), эфиры (например МТБЭ (метил-трет-бутиловый эфир), ЭТБЭ (этил-трет-бутиловый эфир), ТАМЭ (третичный амил метиловый эфир);
ii. Сложные эфиры (например репсовое масло или диметиловый эфир и т.д.);
iii. Химические соединения (такие как тетраметилсвинец, тетраэтилсвинец и детергенты).
</t>
  </si>
  <si>
    <t>添加剂是加入某一产品或与其相调合以改进该产品的特性（例如，改进燃烧特性）的非碳氢化合物。该项包括醇类和乙醚（MTBE，即甲基叔丁基醚）和四乙基铅等化学合金。但是生物汽油、生物柴油和乙醇的生物燃料馏分不包含在内，而列入液体生物燃料。本定义有别于石油信息公告中有关添加剂的说明。</t>
  </si>
  <si>
    <t>NONCRUDE</t>
  </si>
  <si>
    <t>Other hydro-carbons</t>
  </si>
  <si>
    <t>Прочие углеводороды</t>
  </si>
  <si>
    <t>其它碳氢化合物</t>
  </si>
  <si>
    <t>This category includes synthetic crude oil from tar sands, shale oil, etc., liquids from coal liquefaction, (see the Annual coal questionnaire), output of liquids from natural gas conversion into gasoline (see the Annual natural gas questionnaire), hydrogen and emulsified oils (e.g. Orimulsion).</t>
  </si>
  <si>
    <t>Эта категория включает синтетическую сырую нефть получаемую из битуминозных песков, горючих сланцев и т.д., жидкие продукты получаемые при сжижении угля (см. Годовой вопросник по углю), жидкие продукты переработки  природного газа в бензин (см. Годовой вопросник по природному газу), водород и эмульсированные масла (например водно-битумная эмульсия – ориэмульсия).</t>
  </si>
  <si>
    <t>此类碳氢化合物包括从油砂、页岩油等中提炼的合成原油，煤液化生成的液体，以及在天然气转换成汽油、氢、乳化油（例如：沥青乳油）过程中产生的液体。</t>
  </si>
  <si>
    <t>Oil products</t>
  </si>
  <si>
    <t>Нефтепродукты</t>
  </si>
  <si>
    <t>石油产品</t>
  </si>
  <si>
    <t>REFINGAS</t>
  </si>
  <si>
    <t>Refinery gas</t>
  </si>
  <si>
    <t>Нефтезаводской газ</t>
  </si>
  <si>
    <t>炼厂气</t>
  </si>
  <si>
    <t>Refinery gas includes a mixture of non-condensed gases mainly consisting of hydrogen, methane, ethane and olefins obtained during distillation of crude oil or treatment of oil products (e.g. cracking) in refineries. It also includes gases which are returned from the petrochemical industry. Refinery gas production refers to gross production. Own consumption is shown separately under oil refineries in energy industry own use.</t>
  </si>
  <si>
    <t>Нефтезаводской газ включает смесь неконденсированных газов, состоящую главным образом из водорода, метана, этана, а также олефинов, полученных при перегонке сырой нефти или переработке нефтепродуктов (например при крекинге) на НПЗах. Эта категория включает также газы возвращённые из нефтехимической промышленности.</t>
  </si>
  <si>
    <t>炼厂气包括非冷凝性气体的混合物，非冷凝性气体主要包括炼油厂原油提炼或石油产品处理（例如：分裂）过程中获取的氢气、甲烷、乙烷和烯烃等。炼厂气还包括从石化行业返回的气体。炼厂气产量系指毛产量。自用消费量单独列入能源行业自用项下的炼油厂项目。</t>
  </si>
  <si>
    <t>ETHANE</t>
  </si>
  <si>
    <t>Ethane</t>
  </si>
  <si>
    <t>Этан</t>
  </si>
  <si>
    <t>乙烷</t>
  </si>
  <si>
    <t>A naturally gaseous straight–chain hydrocarbon, (C2H6) extracted from natural gas and refinery gas streams.</t>
  </si>
  <si>
    <t>Естественно газообразный неразветвленный углеводород (C2H6), извлекаемый из потоков природного и нефтезаводского газа.</t>
  </si>
  <si>
    <t>乙烷是一种自然状况下为气态的直链烷烃（C2H6），从天然气和炼厂气流中提炼而成。</t>
  </si>
  <si>
    <t>LPG</t>
  </si>
  <si>
    <t>Liquefied petroleum gases (LPG)</t>
  </si>
  <si>
    <t>Сжиженные нефтяные газы (СНГ)</t>
  </si>
  <si>
    <t>液化石油气（LPG）</t>
  </si>
  <si>
    <t>LPG are light paraffinic hydrocarbons derived from the refinery processes, crude oil stabilisation and natural gas processing plants. They consist mainly of propane (C3H8) and butane (C4H10) or a combination of the two. They could also include propylene, butylene, isobutene and isobutylene. LPG are normally liquefied under pressure for transportation and storage.</t>
  </si>
  <si>
    <t>СНГ это лёгкие парафиновые углеводороды, полученные в процессах перегонки, стабилизации сырой нефти и заводах по переработке природного газа. Они состоят в основном из пропана (C3H8) и бутана (C4H10) или их смеси, но могут также включать пропилен, бутилен, изобутан и изобутилен. Для транспортировки и хранения СНГ обычно подвергаются сжижению под давлением.</t>
  </si>
  <si>
    <t>液化石油气是在炼油过程、原油稳定处理厂和天然气加工厂形成的轻质石蜡族碳氢化合物，主要包括丙烷（C3H8）、丁烷（C4H10）或丙烷丁烷混合气体。液化石油气还包括丙烯、丁烯和异丁烯。运输和存储时，液化石油气通常进行加压液化。</t>
  </si>
  <si>
    <t>NONBIOGASO</t>
  </si>
  <si>
    <t>Motor gasoline excl. biofuels</t>
  </si>
  <si>
    <t>Моторный бензин</t>
  </si>
  <si>
    <t>车用汽油（生物燃料除外）</t>
  </si>
  <si>
    <t>Motor gasoline is light hydrocarbon oil for use in internal combustion engines such as motor vehicles, excluding aircraft. Motor gasoline is distilled between 35°C and 215°C and is used as a fuel for land based spark ignition engines. Motor gasoline may include additives, oxygenates and octane enhancers, including lead compounds such as TEL (tetraethyl lead) and TML (tetramethyl lead). Motor gasoline excluding biofuels does not include the liquid biofuels or ethanol blended with gasoline - see liquid biofuels. This differs from the presentation of motor gasoline in the Oil Information publication.</t>
  </si>
  <si>
    <t xml:space="preserve">Моторный бензин это смесь лёгких углеводородов с температурой перегонки в пределах от 35°C до 215°C. Мотобензин используется как топливо для наземных двигателей с искровым зажиганием. Он может содержать присадки, оксигенаты и октановые усилители, включая соединения свинца, такие как ТЭС (тетраэтилсвинец) и ТМС (тетраметилсвинец). 
Эта категория включает компоненты для смешивания с автомобильным бензином (за исключением Присадок/оксигенатов), например алкилаты, изомеризат, реформат, крекинг-бензин для использования как конечный автомобильный бензин. 
</t>
  </si>
  <si>
    <t>车用汽油是一种轻质石蜡族碳氢化合物，用于内燃机，如机动车，但不包括飞机。车用汽油的沸程为35°C至215°C，而且车用汽油用作陆基点燃式发动机的燃料。车用汽油中可包含添加剂、充氧剂和辛烷值提高剂，包括例如TEL（四乙基铅）和TML（四甲基铅）等铅化合物。车用汽油（生物燃料除外）不包括液体生物燃料或乙醇汽油 - 参见液体生物燃料。本定义有别于石油信息公告中有关车用汽油的说明。</t>
  </si>
  <si>
    <t>AVGAS</t>
  </si>
  <si>
    <t>Aviation gasoline</t>
  </si>
  <si>
    <t>Авиационный бензин</t>
  </si>
  <si>
    <t>航空汽油</t>
  </si>
  <si>
    <t>Aviation gasoline is motor spirit prepared especially for aviation piston engines, with an octane number suited to the engine, a freezing point of -60°C, and a distillation range usually within the limits of 30°C and 180°C.</t>
  </si>
  <si>
    <t>Это моторный бензин подготовлен специально для авиационных поршневых двигателей, с октановым числом подобранным для использования в двигателях этого типа, и имеющий точку замерзания –60°C.Температурный интервал перегонки находится обычно в пределах от 30°C до 180°C.</t>
  </si>
  <si>
    <t>航空汽油是专门为航空活塞发动机配制的发动机燃料，其辛烷值适用于该发动机，冰点为-60°C，沸程通常为30°C至180°C。</t>
  </si>
  <si>
    <t>JETGAS</t>
  </si>
  <si>
    <t>Gasoline type jet fuel</t>
  </si>
  <si>
    <t>Бензин для реактивных двигателей (нафта для реактивных двигателей или JP4)</t>
  </si>
  <si>
    <t>汽油型喷气燃料</t>
  </si>
  <si>
    <t>Gasoline type jet fuel includes all light hydrocarbon oils for use in aviation turbine power units, distilling between 100°C and 250°C. This fuel is obtained by blending kerosene and gasoline or naphtha in such a way that the aromatic content does not exceed 25% in volume, and the vapour pressure is between 13.7 kPa and 20.6 kPa. Additives can be included to improve fuel stability and combustibility.</t>
  </si>
  <si>
    <t>Эта категория включает все виды лёгкого углеводородного топлива, используемые в авиационных турбинных установках и имеющие температуру перегонки от 100°C до 250°C. Этот бензин производится с помощью смешивания керосина и бензина или нафты в такой пропорции, чтобы содержание ароматических соединений не превышало 25% по объёму, а давление насыщенных паров бензина находилось в пределах от 13.7кПа до 20.6кПa.</t>
  </si>
  <si>
    <t>汽油型喷气燃料包括用于航空涡轮动力机组的所有轻烃油，沸程为100°C至250°C。该燃料是由柴油和汽油或挥发油调合而成，其芳烃含量不超过25%，蒸汽压在13.7 千帕和20.6千帕之间。该燃料中可加入添加剂，以提高燃料的稳定性和易燃性。</t>
  </si>
  <si>
    <t>NONBIOJETK</t>
  </si>
  <si>
    <t>Kerosene type jet fuel excl. biofuels</t>
  </si>
  <si>
    <t>Керосин для реактивных двигателей</t>
  </si>
  <si>
    <t>煤油型喷气燃料（生物燃料除外）</t>
  </si>
  <si>
    <t>Kerosene type jet fuel is a medium distillate used for aviation turbine power units. It has the same distillation characteristics and flash point as kerosene (between 150°C and 300°C but not generally above 250°C). In addition, it has particular specifications (such as freezing point) which are established by the International Air Transport Association (IATA). It includes kerosene blending components. Kerosene type jet fuel excluding biofuels does not include the liquid biofuels blended with jet kerosene.</t>
  </si>
  <si>
    <t>Это продукт перегонки, используемый в авиационных турбинных установках. Он имеет такие же характеристики перегонки в диапазоне от 150°C до 300°C (обычно не выше 250°C) и точку возгорания, как и керосин. Кроме того, он имеет ряд особых свойств (таких как точка замерзания), утверждённых Международной ассоциацией воздушного транспорта (ИАТА).</t>
  </si>
  <si>
    <t>煤油型喷气燃料是一种用于航空涡轮动力机组的中间馏分油，具有与柴油相同的沸程特性和闪点（沸程为150°C至300°C，但一般不超过250°C）。此外，煤油型喷气燃料具有国际航空运输协会（IATA）规定的专门规格（例如冰点等）。煤油型喷气燃料包括煤油调合组分。煤油型喷气燃料（生物燃料除外）不包括与航空煤油调合的液体生物燃料。</t>
  </si>
  <si>
    <t>OTHKERO</t>
  </si>
  <si>
    <t>Other kerosene</t>
  </si>
  <si>
    <t>Прочие керосины</t>
  </si>
  <si>
    <t>其他煤油</t>
  </si>
  <si>
    <t>Kerosene (other than kerosene used for aircraft transport which is included with aviation fuels) comprises refined petroleum distillate intermediate in volatility between gasoline and gas/diesel oil. It is a medium oil distillate between 150°C and 300°C.</t>
  </si>
  <si>
    <t>Прочие керосины включают в себя очищенные продукты перегонки нефти и используются в различных секторах, кроме авиационного транспорта. Температура их перегонки заключается в пределах от 150°C до 300°C.</t>
  </si>
  <si>
    <t>煤油（航空运输所用的属于航空燃料的煤油除外）包括挥发度介于汽油和轻柴油/柴油之间的精制石油中间馏分油。其属于一种中间馏分油，沸程为 150°C至300°C。</t>
  </si>
  <si>
    <t>NONBIODIES</t>
  </si>
  <si>
    <t>Gas/diesel oil excluding biofuels</t>
  </si>
  <si>
    <t>Газойль/ дизельное топливо (дистиллятный мазут)</t>
  </si>
  <si>
    <t>轻柴油/柴油（生物燃料除外）</t>
  </si>
  <si>
    <t>Gas/diesel oil includes heavy gas oils. Gas oils are obtained from the lowest fraction from atmospheric distillation of crude oil, while heavy gas oils are obtained by vacuum redistillation of the residual from atmospheric distillation. Gas/diesel oil distils between 180°C and 380°C. Several grades are available depending on uses: diesel oil for diesel compression ignition (cars, trucks, marine, etc.), light heating oil for industrial and commercial uses, and other gas oil including heavy gas oils which distil between 380°C and 540°C and which are used as petrochemical feedstocks. Gas/diesel oil excluding biofuels does not include the liquid biofuels blended with gas/diesel oil – see liquid biofuels. This differs from the presentation of gas/diesel oil in the Oil Information publication.</t>
  </si>
  <si>
    <t>Газойль/дизельное топливо – это в основном средний дистиллят перегонки нефти при температурах от 180°C до 380°C. В зависимости от использования, существует  несколько его сортов:</t>
  </si>
  <si>
    <t>轻柴油/柴油（生物燃料除外）包括重轻柴油。轻柴油生成于原油常压蒸馏的最低馏分，而重轻柴油生成于对常压蒸馏的渣油进一步的真空蒸馏。轻柴油/柴油的沸程为180°C至380°C。根据不同的用途，轻柴油/柴油分为若干个级别：用于柴油压缩点火装置（汽车、卡车、船舶）的柴油、用于工业和商业用途的轻取暖用油，以及其他轻柴油（包括沸程为 380°C至540°C，并用作石化原料的重轻柴油）。轻柴油/柴油（生物燃料除外）不包括与轻柴油/柴油进行调合的液体生物燃料 – 参见液体生物燃料。本定义有别于石油信息公告中有关轻柴油/柴油的说明。</t>
  </si>
  <si>
    <t>RESFUEL</t>
  </si>
  <si>
    <t>Fuel oil</t>
  </si>
  <si>
    <t>Мазут</t>
  </si>
  <si>
    <t>燃料油</t>
  </si>
  <si>
    <t>Fuel oil defines oils that make up the distillation residue. It comprises all residual fuel oils, including those obtained by blending. Its kinematic viscosity is above 10 cSt at 80°C. The flash point is always above 50°C and the density is always higher than 0.90 kg/l.</t>
  </si>
  <si>
    <t>Эта категория включает все виды остаточных (тяжёлых) мазутов, в том числе полученных с помощью смешивания. Кинематическая вязкость выше 10 сСт при 80oC. Точка возгорания всегда выше 50oC, а плотность всегда превышает 0.90 кг/л</t>
  </si>
  <si>
    <t>燃料油是指原油经蒸馏后留下的残余物，涵盖所有残余燃料油，包括通过调合取得的燃料油。在温度为80°C的条件下，燃料油的动力粘度在10 厘斯以上。燃料油的闪点始终保持在50°C以上，且密度始终保持在0.90 千克/升以上。</t>
  </si>
  <si>
    <t>NAPHTHA</t>
  </si>
  <si>
    <t>Naphtha</t>
  </si>
  <si>
    <t>Нафта</t>
  </si>
  <si>
    <t>石脑油</t>
  </si>
  <si>
    <t>Naphtha is a feedstock destined either for the petrochemical industry (e.g. ethylene manufacture or aromatics production) or for gasoline production by reforming or isomerisation within the refinery. Naphtha comprises material that distils between 30°C and 210°C. Naphtha imported for blending is shown as an import of naphtha, and then shown in the transfers row as a negative entry for naphtha and a positive entry for the corresponding finished product (e.g. gasoline).</t>
  </si>
  <si>
    <t xml:space="preserve">Нафта это сырьё для нефтехимической промышленности (например производства этилена или ароматических углеводородов), а также для производства бензина с помощью реформинга или изомеризации внутри НПЗа. Нафта включает фракции с температурой перегонки в диапазоне от 30°C до 210 °C или в части этого диапазона.
Нафта импортируемая для смешивания должна быть указана как импорт нафты, а затем указана в графе «Межпродуктовая передача» с отрицательным знаком для Нафты и положительным знаком для соответствующего конечного продукта.
</t>
  </si>
  <si>
    <t>石脑油作为一种原料，可用于石油化工行业（例如乙烯或芳香剂生产），也可用于炼油厂通过重整或异构化进行生产汽油，石脑油组分的沸程为30°C至210°C。进口用于调合用途的石脑油列示为石脑油进口，并在转换产出量行中，在石脑油项下记为负值，在相应成品（如汽油）项下记为正值。</t>
  </si>
  <si>
    <t>WHITESP</t>
  </si>
  <si>
    <t>White spirit &amp; SBP</t>
  </si>
  <si>
    <t>Уайт-спирит  и бензин для промышленно-технических целей (SBP)</t>
  </si>
  <si>
    <t>工业用白油和溶剂油</t>
  </si>
  <si>
    <t>White spirit and SBP are refined distillate intermediates with a distillation in the naphtha/kerosene range.
i. White Spirit has a flash point above 30°C and a distillation range of 135°C to 200°C.
ii. Industrial Spirit (SBP) comprises light oils distilling between 30°C and 200°C, with a temperature difference between 5% volume and 90% volume distillation points, including losses, of not more than 60°C. In other words, SBP is a light oil of narrower cut than motor spirit. There are seven or eight grades of industrial spirit, depending on the position of the cut in the distillation range defined above.</t>
  </si>
  <si>
    <t xml:space="preserve">Уайт-спирит и бензин для промышленно-технических целей являются промежуточными продуктами перегонки с температурами перегонки в диапазоне перегонки нафты и керосина. Они подразделяются на:
i. Бензин для промышленно-технических целей (SBP): Лёгкие нефтепродукты  с температурой перегонки от 30°  до 200°C.  Различаем 7-8 сортов бензина для промышленно-технических целей, в зависимости от крайних температурных значений по шкале перегонки. Эти сорта определяются согласно разнице температур в пределах от 5% до 90% объёма дистилляционных пунктов (которая не больше, чем 60°C).
ii. Уайт-спирит: Бензин-растворитель с точкой возгорания свыше 30oC. Диапазон температур перегонки уайт-спирита заключается в пределах от 135 °C до 200°C.
</t>
  </si>
  <si>
    <t>工业用白油和溶剂油是沸程在石脑油/煤油区间内的精制中间馏分油。工业用白油的闪点在30°C以上，沸程为135°C至200°C。工业用溶剂油（SBP）包括沸程为30°C至200°C的轻质油，温度差异为5%-90%体积蒸馏点（包括损失，不高于60ºC）之间。换言之，工业用溶剂油是一种沸程比车用汽油更窄的轻质油。根据上述确定的沸程的不同切割位置，工业用溶剂油可分为七至八个级别。</t>
  </si>
  <si>
    <t>LUBRIC</t>
  </si>
  <si>
    <t>Lubricants</t>
  </si>
  <si>
    <t>Смазочные материалы</t>
  </si>
  <si>
    <t>润滑油</t>
  </si>
  <si>
    <t>Lubricants are hydrocarbons produced from distillate or residue; they are mainly used to reduce friction between bearing surfaces. This category includes all finished grades of lubricating oil, from spindle oil to cylinder oil, and those used in greases, including motor oils and all grades of lubricating oil base stocks.</t>
  </si>
  <si>
    <t>Смазочные материалы это углеводороды, получаемые из побочных продуктов перегонки нефти. Они в основном используются для уменьшения трения между соприкасающимися поверхностями. Эта категория включает все готовые сорта смазочных масел от веретённого до цилиндрового масла, а также масла, используемые в консистентных смазках, включая моторные масла и все сорта основных компонентов смазочных масел.</t>
  </si>
  <si>
    <t>润滑油是利用蒸馏物或残余物生成的碳氢化合物，主要用于减少支撑面的摩擦。该类别包括锭子油、汽缸油等所有成品级别的润滑油，用作润滑油脂的所有润滑油（包括机油），以及所有级别的润滑油基础油。</t>
  </si>
  <si>
    <t>BITUMEN</t>
  </si>
  <si>
    <t>Bitumen</t>
  </si>
  <si>
    <t>Битум</t>
  </si>
  <si>
    <t>沥青</t>
  </si>
  <si>
    <t>Bitumen is a solid, semi-solid or viscous hydrocarbon with a colloidal structure that is brown to black in colour. It is obtained by vacuum distillation of oil residues from atmospheric distillation of crude oil. Bitumen is often referred to as asphalt and is primarily used for surfacing of roads and for roofing material. This category includes fluidised and cut back bitumen.</t>
  </si>
  <si>
    <t>Битум является твёрдым, полутвёрдым или вязким углеводородным веществом, имеющим коллоидную структуру, тёмно-коричневого или чёрного цвета, образующимся как остаток при перегонке сырой нефти путём вакуумной перегонки нефтяных остатков при атмосферном давлении. Битум часто называют асфальтом и используют, в основном, в строительстве дорог и в качестве кровельного материала. Эта категория включает псевдоожиженный и жидкий битум.</t>
  </si>
  <si>
    <t>沥青是一种呈褐色至黑色胶状结构的固体、半固体或粘性碳氢化合物。它是利用原油常压蒸馏后产生的渣油，进行进一步真空蒸馏后取得的。 沥青通常被称作柏油，主要用作路面和屋顶铺设材料。沥青包括流化沥青和稀释沥青。</t>
  </si>
  <si>
    <t>PARWAX</t>
  </si>
  <si>
    <t>Paraffin waxes</t>
  </si>
  <si>
    <t>Твёрдые парафины</t>
  </si>
  <si>
    <t>固体石蜡</t>
  </si>
  <si>
    <t>Paraffin waxes are saturated aliphatic hydrocarbons. These waxes are residues extracted when dewaxing lubricant oils, and they have a crystalline structure which is more or less fine according to the grade. Their main characteristics are that they are colourless, odourless and translucent, with a melting point above 45°C.</t>
  </si>
  <si>
    <t>Твёрдые парафины это насыщённые алифатические углеводороды. Парафины являются остатками, извлечёнными при депарафинизации смазочных материалов. Они имеют кристаллическую структуру, более или менее тонкую в зависимости от сорта. Парафины представляют собой полупрозрачные вещества без цвета и запаха, с температурой плавления выше 45oC.</t>
  </si>
  <si>
    <t>固体石蜡为饱和脂肪烃，是在润滑油脱蜡过程中提炼出的残余物，呈晶体结构，根据不同的等级，晶体结构的粗细程度也不同。固体石蜡的主要特征是无色、无味、半透明，熔点在45°C以上。</t>
  </si>
  <si>
    <t>PETCOKE</t>
  </si>
  <si>
    <t>Petroleum coke</t>
  </si>
  <si>
    <t>Нефтяной кокс</t>
  </si>
  <si>
    <t>石油焦</t>
  </si>
  <si>
    <t>Petroleum coke is defined as a black solid by-product, obtained mainly by cracking and carbonising of petroleum derived feedstocks, vacuum bottoms, tar and pitches in processes such as delayed coking or fluid coking. It consists mainly of carbon (90 to 95%) and has a low ash content. It is used as a feedstock in coke ovens for the steel industry, for heating purposes, for electrode manufacture and for production of chemicals. The two most important qualities are "green coke" and "calcined coke". This category also includes "catalyst coke" deposited on the catalyst during refining processes: this coke is not recoverable and is usually burned as refinery fuel.</t>
  </si>
  <si>
    <t>Нефтяной кокс это чёрный, твёрдый побочный продукт, полученный главным образом при крекинге и карбонизации производных нефтянного сырья, гудрона, смолы и пеков в таких процессах, как замедлённое коксование и коксование в псевдоожиженном слое. Этот кокс состоит в основном из угля (от 90% до 95%) и имеет низкую зольность. Нефтяной кокс используется как сырьё в коксующих печах для сталелитейной промышленности, для обогревания, при производстве электродов и химических веществ. Двумя наиболее важными сортами являются неготовый кокс (недопал) и кальцинированный кокс. Эта категория включает также «каталический кокс», отлагающийся на катализаторах при перегонке нефтепродуктов; этот кокс не возмещается и обычно сжигается в качестве топлива при перегонке нефти.</t>
  </si>
  <si>
    <t>石油焦是指在延迟焦化或液体焦化等过程中主要通过对石油衍生原料、真空残渣油、焦油和沥青进行裂解和碳化而生成的黑色固体副产品。石油焦的主要成分为碳（含量为90至95%），此外还含有少量的灰份。石油焦在炼钢业、采暖、电极制造和化工品生产过程中用作焦炉原料。石油焦两个最重要的特质是“生焦”和“煅烧石油焦”。该类别还包括炼油过程中放置在催化剂上的“催化焦”，“催化焦”不可回收，通常用作炼厂燃料进行燃烧。</t>
  </si>
  <si>
    <t>ONONSPEC</t>
  </si>
  <si>
    <t>Non-specified oil products</t>
  </si>
  <si>
    <t>Прочие нефтепродукты</t>
  </si>
  <si>
    <t>未列明的石油产品</t>
  </si>
  <si>
    <t>Other oil products not classified above (e.g. tar, sulphur and grease) are included here. This category also includes aromatics (e.g. BTX or benzene, toluene and xylene) and olefins (e.g. propylene) produced within refineries.</t>
  </si>
  <si>
    <t>Все прочие продукты, неупомянутые выше, например: смола и сера. Эта категория включает также ароматические углеводороды (например: БТК или бензол, толуол и ксилол) и олефины (например: пропилен), производимые на НПЗах.</t>
  </si>
  <si>
    <t>本定义涵盖了未被纳入上述类别的其他石油产品（例如：焦油、硫磺和油脂）。该类别还包括在炼油厂内生产的芳香烃产品（例如BTX，又称苯-甲苯-二甲苯混合物）和烯烃产品（例如：丙烯）。</t>
  </si>
  <si>
    <t>Natural gas</t>
  </si>
  <si>
    <t>Природный газ</t>
  </si>
  <si>
    <t>天然气</t>
  </si>
  <si>
    <t>NATGAS</t>
  </si>
  <si>
    <t>Natural gas comprises gases, occurring in underground deposits, whether liquefied or gaseous, consisting mainly of methane.  It includes both "non-associated" gas originating from fields producing hydrocarbons only in gaseous form, and "associated" gas produced in association with crude oil as well as methane recovered from coal mines (colliery gas) or from coal seams (coal seam gas). Production represents dry marketable production within national boundaries, including offshore production and is measured after purification and extraction of NGL and sulphur. In other words, quantities of gas that are re-injected, vented or flared are excluded. It includes gas consumed by gas processing plants and gas transported by pipeline. 
Biogases produced by anaerobic digestion of biomass (e.g. municipal or sewage gas) should be reported in the Renewables annual questionnaire, while gas works gas production should be reported in the Coal annual questionnaire. Transfers of such production to the natural gas network will be reported as “Receipts from other sources”.</t>
  </si>
  <si>
    <t>В состав природного газа входят газы, которые встречаются в подземных месторождениях в сжиженном или газообразном виде, состоящие в основном из метана. Природный газ состоит как из «непопутного» газа, который добывается из месторождений, дающих углеводороды только в газообразном виде, так и «попутного» газа, добыча которого связана с сырой нефтью. Природный газ – это также метан из угольных шахт (шахтный газ) или угольных пластов (газ угольных пластов). Биогазы, полученные в процессе анаэробного сбраживания биомассы (например, газ из городских отходов или из осадка сточных вод), следует указывать в «Годовом вопроснике по возобновляемым источникам энергии», в то время как производство заводского газа – в «Годовом вопроснике по углю». Поставки такой продукции в сеть природного газа следует указать как «Поступления из других источников».</t>
  </si>
  <si>
    <t>天然气包括地下矿床中生成的、以甲烷作为主要成分的液态或气态气体。它包括从仅生产气态烃的油气田获取的“非伴生”气体，原油开采过程中产生的“伴生”气体，以及从煤矿中回收的甲烷（煤矿瓦斯）或从煤层中回收的甲烷（煤层瓦斯）。天然气的产量为国内（包括境外生产）可销售的干气产量，在提纯和提炼天然气凝析液及硫磺后进行计算。该项包括气体加工厂消费的天然气和通过管道运输的天然气，但不包括重新注入、放空或作为火炬气燃烧的天然气数量 。注：自2011年版本起，煤气厂煤气列入煤项目。2011年之前，煤气厂煤气列入天然气项目。</t>
  </si>
  <si>
    <t>Biofuels and waste</t>
  </si>
  <si>
    <t>Возобновляемые источники энергии и отходы</t>
  </si>
  <si>
    <t>INDWASTE</t>
  </si>
  <si>
    <t>Industrial waste</t>
  </si>
  <si>
    <t>Промышленные отходы (невозобновляемые)</t>
  </si>
  <si>
    <t>工业废弃物</t>
  </si>
  <si>
    <t>Industrial waste of non-renewable origin consists of solid and liquid products (e.g. tyres) combusted directly, usually in specialised plants, to produce heat and/or power. The quantity of fuel used should be reported on a net calorific value basis. Renewable industrial waste should be reported in the Solid biofuels, Biogases and/or Liquid biofuels categories.</t>
  </si>
  <si>
    <t>Укажите отходы промышленного невозобновляемого происхождения (твердые или жидкие), сжигаемые непосредственно для производства электричества и/или тепла. Объем использованного топлива следует указывать на основе низшей теплотворной способности. Возобновляемые промышленные отходы должны быть указаны в категориях «Твердая биомасса», «Биогазы» и/или «Жидкое биотопливо».</t>
  </si>
  <si>
    <t>不可再生的工业废弃物包括为生产热力和/或电力而通常在专业工厂内直接燃烧的固体和液体产品（例如，轮胎）。可再生的工业废弃物未包括在内，而列入固体生物燃料、生物质气或液体生物燃料。</t>
  </si>
  <si>
    <t>TJ-net</t>
  </si>
  <si>
    <t>ТДж - HТС</t>
  </si>
  <si>
    <t>太焦耳 - 净值</t>
  </si>
  <si>
    <t>MUNWASTER</t>
  </si>
  <si>
    <t>Municipal waste (renewable)</t>
  </si>
  <si>
    <t>Коммунальные отходы (Возобновляемые)</t>
  </si>
  <si>
    <t xml:space="preserve">城市废弃物（可再生）  </t>
  </si>
  <si>
    <t>Municipal waste consists of that portion of waste produced by households, industry, hospitals and the tertiary sector which is biological material collected by local authorities and incinerated at specific installations. The quantity of fuel used should be reported on a net calorific value basis.</t>
  </si>
  <si>
    <t>Укажите ту часть отходов, образовавшихся в домашних хозяйствах, промышленности, медицинских учреждениях и третичном секторе, которая является биологическим материалом, собранным местными муниципальными органами и сожженным в специальных установках. Объем топлива следует указать на основе низшей теплотворной способности.</t>
  </si>
  <si>
    <t>城市废弃物由为生产热力和/或电力而直接燃料的产品组成，包括及家庭、工厂、医院和第三产业生成的，由当地主管部门收集并在特定设施内焚烧的废弃物。城市废弃物分为可再生和不可再生两种。</t>
  </si>
  <si>
    <t>MUNWASTEN</t>
  </si>
  <si>
    <t>Municipal waste (non-renewable)</t>
  </si>
  <si>
    <t>Коммунальные отходы (Невозобновляемые)</t>
  </si>
  <si>
    <t xml:space="preserve">城市废弃物（不可再生）   </t>
  </si>
  <si>
    <t>Municipal waste consists of that portion of waste produced by households, industry, hospitals and the tertiary sector which is non-biological material collected by local authorities and incinerated at specific installations. The quantity of fuel used should be reported on a net calorific value basis.</t>
  </si>
  <si>
    <t>Укажите ту часть отходов, образовавшихся в домашних хозяйствах, промышленности, медицинских учреждениях и третичном секторе, которая является небиологическим материалом, собранным местными муниципальными властями и сожженным в специальных установках. Объем топлива следует указать на основе низшей теплотворной способности.</t>
  </si>
  <si>
    <t>PRIMSBIO</t>
  </si>
  <si>
    <t>Primary solid biofuels</t>
  </si>
  <si>
    <t>Твердые виды биотоплива</t>
  </si>
  <si>
    <t>初级固体生物燃料</t>
  </si>
  <si>
    <t>Primary solid biofuels is defined as any plant matter used directly as fuel or converted into other forms before combustion. This covers a multitude of woody materials generated by industrial process or provided directly by forestry and agriculture (firewood, wood chips,  bark, sawdust, shavings, chips, sulphite lyes also known as black liquor, animal materials/wastes and other solid biofuels). Note that for biofuels, only the amounts of biomass specifically used for energy purposes (a small part of the total) are included in the energy statistics. Therefore, the non-energy use of biomass is not taken into consideration and the quantities are null by definition.</t>
  </si>
  <si>
    <t>Включает органическое неископаемое сырье биологического происхождения, которое можно использовать в виде топлива для производства тепла или электричества.</t>
  </si>
  <si>
    <t>初级固体生物燃料是指直接用作燃料或在转换成其他形式燃料后进行燃烧的任何植物物质。它包括通过工业加工生成的或林业和农业直接提供的大量木质材料（木柴、木片、树皮、锯屑、木屑、碎木片、亚硫酸盐碱液（也称为黑液）、动物材料/粪便和其他固体生物燃料）。请注意，只有明确用于能源用途的生物质数量（仅占总量的一小部分）才纳入生物燃料的能源统计。因此，用于非能源使用的生物质未予以考虑，而且用于非能源使用的生物质数量按照定义为零。</t>
  </si>
  <si>
    <t>BIOGASES</t>
  </si>
  <si>
    <t>Biogases</t>
  </si>
  <si>
    <t>Биогазы</t>
  </si>
  <si>
    <t>生物质气</t>
  </si>
  <si>
    <t>Biogases are gases arising from the anaerobic fermentation of biomass and the gasification of solid biomass (including biomass in wastes). The biogases from anaerobic fermentation are composed principally of methane and carbon dioxide and comprise landfill gas, sewage sludge gas and other biogases from anaerobic fermentation. Biogases can also be produced from thermal processes (by gasification or pyrolysis of biomass) and are mixtures containing hydrogen and carbon monoxide (usually known as syngas) along with other components. These gases may be further processed to modify their composition and can be further processed to produce substitute natural gas. Biogases are used mainly as a fuel but can be used as a chemical feedstock.</t>
  </si>
  <si>
    <t>Газы, состоящие в основном из метана и двуокиси углерода, производимые путем анаэробной ферментации биомассы или термических процессов.</t>
  </si>
  <si>
    <t>生物质气是生物质厌氧发酵和固体生物质气化（包括废弃物中的生物质）生成的气体。厌氧发酵生成的生物质气主要由甲烷和二氧化碳构成，包括填埋气、污水污泥气和厌氧发酵产生的其他生物质气。生物质气还可通过热处理（生物质气化或热解）生成，是氢气和一氧化碳以及其他成分的混合物（又称作合成气）。这些气体可经过进一步加工，改变其成分；也可进一步加工，生产天然气替代品。生物质气主要用作燃料，但也可用作化学原料。</t>
  </si>
  <si>
    <t>BIOGASOL</t>
  </si>
  <si>
    <t>Biogasoline</t>
  </si>
  <si>
    <t>Биобензин</t>
  </si>
  <si>
    <t>生物汽油</t>
  </si>
  <si>
    <t>Biogasoline includes bioethanol (ethanol produced from biomass and/or the biodegradable fraction of waste), biomethanol (methanol produced from biomass and/or the biodegradable fraction of waste), bioETBE (ethyl-tertio-butyl-ether produced on the basis of bioethanol; the percentage by volume of bioETBE that is calculated as biofuel is 47%) and bioMTBE (methyl-tertio-butyl-ether produced on the basis of biomethanol: the percentage by volume of bioMTBE that is calculated as biofuel is 36%). Biogasoline includes the amounts that are blended into the gasoline - it does not include the total volume of gasoline into which the biogasoline is blended.</t>
  </si>
  <si>
    <t>эта категория включает биоэтанол (этанол полученный из биомассы и/или  биоразлагаемой фракции отходов), биометанол (метанол полученный из биомассы и/или биоразлагаемой фракции отходов), биоЭТБЭ (этил-трет-бутиловый эфир, произведенный на основе биоэтанола: с процентным соотношением объема биоЭТБЭ, рассчитанного как биотопливо, равным 47%) и биоМТБЭ (метил-трет-бутиловый эфир, произведенный на основе биометанола: с процентным соотношением объема биоМТБЭ, рассчитанного как биотопливо, равным 36%).</t>
  </si>
  <si>
    <t>生物汽油包括生物乙醇（利用生物质和/或废物中可降解的部分生成的乙醇）、生物甲醇（利用生物质和/或废物中可降解的部分生成的甲醇）、生物ETBE（基于生物乙醇生成的乙基叔丁基醚；作为生物燃料计算的生物ETBE占比为37%）和生物MTBE（基于生物甲醇生成的甲基叔丁基醚；作为生物燃料计算的生物MTBE的占比为22%）。生物汽油包括掺入汽油中的生物汽油数量，但不包括掺有生物汽油的汽油总量。</t>
  </si>
  <si>
    <t>BIOJETKERO</t>
  </si>
  <si>
    <t>Bio jet kerosene</t>
  </si>
  <si>
    <t>Биокeросин для реактивных двигателей</t>
  </si>
  <si>
    <t>生物航空煤油</t>
  </si>
  <si>
    <t>Liquid biofuels derived from biomass and blended with or replacing jet kerosene.</t>
  </si>
  <si>
    <t>жидкое биотопливо, извлеченные из биомассы и смешанное с керосином для реактивных двигателей, либо заменяющее его.</t>
  </si>
  <si>
    <t>由生物质生成的液体生物燃料，用作调合或替代航空煤油。</t>
  </si>
  <si>
    <t>BIODIESEL</t>
  </si>
  <si>
    <t>Biodiesels</t>
  </si>
  <si>
    <t>Биодизель</t>
  </si>
  <si>
    <t>生物柴油</t>
  </si>
  <si>
    <t>Biodiesels includes biodiesel (a methyl-ester produced from vegetable or animal oil, of diesel quality), biodimethylether (dimethylether produced from biomass), Fischer-Tropsch (Fischer-Tropsch produced from biomass), cold pressed bio-oil (oil produced from oil seed through mechanical processing only) and all other liquid biofuels which are added to, blended with or used straight as transport diesel or in electricity and heat generation. Biodiesels includes the amounts that are blended into the diesel - it does not include the total volume of diesel into which the biodiesel is blended.</t>
  </si>
  <si>
    <t>эта категория включает биодизель (метиловый эфир, произведенный из растительного или животного масла, дизельного качества), биодиметиловый эфир (диметиловый эфир, произведенный из биомассы), Процесс Фишера-Тропша (его использование для биомассы), биомасло холодного отжима (масло, произведенное из семян путем только механической обработки).</t>
  </si>
  <si>
    <t>生物柴油包括生物柴油（利用植物或动物油生成的、具有柴油品质的甲酯），生物二甲醚（利用生物质生成的二甲醚），费托（利用生物质生成的费托），冷榨生物油（仅包括使用油籽通过机械加工生成的油），以及掺入运输用柴油，或与之进行调配，或直接用作运输柴油或用于发电或发热的所有其他液体生物油。生物柴油包括掺入柴油中的生物柴油数量，但不包括掺有生物柴油的柴油总量。</t>
  </si>
  <si>
    <t>OBIOLIQ</t>
  </si>
  <si>
    <t>Other liquid biofuels</t>
  </si>
  <si>
    <t>Прочие виды жидкого биотоплива</t>
  </si>
  <si>
    <t>其他液体生物燃料</t>
  </si>
  <si>
    <t>Other liquid biofuels includes liquid biofuels, used directly as fuel, not included in the definitions of biogasoline, biodiesel or bio jet kerosene and liquid biofuels consumption that cannot be reported under the right category because of missing information.</t>
  </si>
  <si>
    <t>эта категория включает жидкие виды биотоплива, используемые непосредственно в качестве топлива, которое не попадает под определение биобензина, биодизеля или биокеросина для реактивных двигателей, и потребление жидкого биотоплива, которое невозможно указать в правильной категории из-за нехватки информации.</t>
  </si>
  <si>
    <t>其他液体生物燃料包括生物汽油或生物柴油项下未报送的直接用作燃料的的液体生物燃料。</t>
  </si>
  <si>
    <t>RENEWNS</t>
  </si>
  <si>
    <t>Non-specified primary biofuels/ waste</t>
  </si>
  <si>
    <t>Неуказанные конкретно виды первичного биотоплива / отходов</t>
  </si>
  <si>
    <t>未列明的初级生物燃料/废弃物</t>
  </si>
  <si>
    <t>This item is used when the detailed breakdown for primary biofuels and waste is not available.</t>
  </si>
  <si>
    <t>Этот пункт используется в случае отсутствия подробной разбивки для видов первичного биотоплива и отходов.</t>
  </si>
  <si>
    <t>该项在有关初级生物燃料和废弃物的具体明细信息无法获得的情况下使用。</t>
  </si>
  <si>
    <t>CHARCOAL</t>
  </si>
  <si>
    <t>Charcoal</t>
  </si>
  <si>
    <t>Древесный уголь</t>
  </si>
  <si>
    <t>木碳</t>
  </si>
  <si>
    <t>It covers the solid residue of the destructive distillation and pyrolysis of wood and other vegetal material.</t>
  </si>
  <si>
    <t>охватывает твердые отходы сухой перегонки и пиролиза древесины и прочих растительных материалов.</t>
  </si>
  <si>
    <t>木炭包括木头和其他植物材料经干馏和高温分解后的固体残留物。</t>
  </si>
  <si>
    <t>Электричество и тепло</t>
  </si>
  <si>
    <t>电力和热力</t>
  </si>
  <si>
    <t>NUCLEAR</t>
  </si>
  <si>
    <t>Nuclear</t>
  </si>
  <si>
    <t>Атомная энергия</t>
  </si>
  <si>
    <t>核能</t>
  </si>
  <si>
    <t>Energy released by nuclear fission or nuclear fusion.</t>
  </si>
  <si>
    <t>Энергия, выработанная в результате ядерного распада или ядерного синтеза.</t>
  </si>
  <si>
    <t>通过核裂变和核聚变释放的能量。</t>
  </si>
  <si>
    <t>GWh</t>
  </si>
  <si>
    <t>ГВт.ч</t>
  </si>
  <si>
    <t>吉瓦时</t>
  </si>
  <si>
    <t>HYDRO</t>
  </si>
  <si>
    <t>Hydro</t>
  </si>
  <si>
    <t>Гидроэнергия</t>
  </si>
  <si>
    <t xml:space="preserve">水能  </t>
  </si>
  <si>
    <t>Potential and kinetic energy of water converted into electricity in hydroelectric plants. Pumped storage from mixed and pure pumped storage plants should be included.</t>
  </si>
  <si>
    <t>Потенциальная и кинетическая энергия воды, преобразованная в электричество на гидроэлектростанциях. Гидроаккумулирующие электростанции смешанного и чистого типа следует включить в эту подгруппу.</t>
  </si>
  <si>
    <t>水能是指在水电站转换成电力的水体潜能和动能。</t>
  </si>
  <si>
    <t>GEOTHERM</t>
  </si>
  <si>
    <t>Geothermal</t>
  </si>
  <si>
    <t>Геотермальная энергия</t>
  </si>
  <si>
    <t>地热能</t>
  </si>
  <si>
    <t xml:space="preserve">Energy available as heat emitted from within the earth’s crust, usually in the form of hot water or steam. It is exploited at suitable sites:
-for electricity generation using dry steam or high enthalpy brine after flashing
-directly as heat for district heating, agriculture, etc.
</t>
  </si>
  <si>
    <t xml:space="preserve">Энергия, доступная в виде тепла, выделенного из земной коры, как правило, в виде горячей воды или пара. Эта энергия эксплуатируется в подходящих для этого местах: 
i. для выработки электричества путем использования сухого пара или высокоэнтальпийного рассола после вскипания;
ii. непосредственно как источник тепла для централизованного теплоснабжения, в сельском хозяйстве и т.д. 
</t>
  </si>
  <si>
    <t>地热能是从地壳中释放出的热力，通常形式为热水或蒸汽。地热能在不同的场所具有不同的用途：
• 使用干蒸汽或高焓盐水闪蒸发电
• 直接用作集中供热、农业等。</t>
  </si>
  <si>
    <t>TJ</t>
  </si>
  <si>
    <t>ТДж</t>
  </si>
  <si>
    <t>太焦耳</t>
  </si>
  <si>
    <t>SOLARPV</t>
  </si>
  <si>
    <t>Solar photovoltaic</t>
  </si>
  <si>
    <t>Фотоэлементы</t>
  </si>
  <si>
    <t>太阳能光伏能</t>
  </si>
  <si>
    <t>Converts sunlight into electricity by the use of solar cells usually made of semi-conducting material which exposed to light will generate electricity.</t>
  </si>
  <si>
    <t>преобразуют солнечный свет в электричество с помощью солнечных панелей, изготовленных обычно из полупроводникового материала, который при воздействии света вырабатывает электричество.</t>
  </si>
  <si>
    <t>光伏电池产生的电力。</t>
  </si>
  <si>
    <t>SOLARTH</t>
  </si>
  <si>
    <t>Solar thermal</t>
  </si>
  <si>
    <t>Солнечная тепловая станция</t>
  </si>
  <si>
    <t>太阳能热能</t>
  </si>
  <si>
    <t>Solar thermal can consist of 
-solar thermal-electric plants;
-equipment for the production of heat for sale (hot water or steam)
Passive solar energy for the direct heating, cooling and lighting of dwellings or other buildings is not included.</t>
  </si>
  <si>
    <t xml:space="preserve">может состоять из: 
i. солнечных теплоэлектростанций; 
ii. оборудования для производства тепла на продажу (горячей воды или пара). 
</t>
  </si>
  <si>
    <t>太阳能是指通过以下方式用于生产热水和发电的太阳辐射：
• 采用以热虹吸类型为主的平板式太阳能集热器，提供家用热水或对游泳池进行季节性加热
• 太阳能热电厂
该项不包括用于住宅或其他楼宇直接供热、制冷和照明的被动式太阳能。</t>
  </si>
  <si>
    <t>TIDE</t>
  </si>
  <si>
    <t>Tide/ wave/ ocean</t>
  </si>
  <si>
    <t>Энергия приливов /волн /океанских течений</t>
  </si>
  <si>
    <t>潮汐/波浪/海洋能</t>
  </si>
  <si>
    <t>Tide, wave and ocean represents the mechanical energy derived from tidal movement, wave motion or ocean current and exploited for electricity generation.</t>
  </si>
  <si>
    <t>Механическая энергия, получаемая от приливов, движения волн или океанических течений, используемая для выработки электричества.</t>
  </si>
  <si>
    <t>潮汐、波浪和海洋能是指潮汐运动、波浪运动或海洋流产生的用于发电的能源。</t>
  </si>
  <si>
    <t>WIND</t>
  </si>
  <si>
    <t>Wind</t>
  </si>
  <si>
    <t>Ветровая энергия</t>
  </si>
  <si>
    <t>风能</t>
  </si>
  <si>
    <t>Wind energy represents the kinetic energy of wind exploited for electricity generation in wind turbines.</t>
  </si>
  <si>
    <t>Кинетическая энергия ветра, используемая для выработки электричества в ветровых турбинах.</t>
  </si>
  <si>
    <t>风能是指通过风力涡轮机用于发电的风动能。</t>
  </si>
  <si>
    <t>HEATPUMP</t>
  </si>
  <si>
    <t>Heat pumps</t>
  </si>
  <si>
    <t>Теплонасосы</t>
  </si>
  <si>
    <t>热泵</t>
  </si>
  <si>
    <t>Heat pumps should include the inputs and outputs to heat pumps corresponding to the amount of heat that is sold to third parties.</t>
  </si>
  <si>
    <t>Укажите производство тепла теплонасосами только в тех случаях, когда тепло было продано третьим лицам (т.е. когда производство осуществляется в Секторе преобразования).</t>
  </si>
  <si>
    <t>热泵应包括与出售给第三方的热量相对应的热泵输入和输出热量。</t>
  </si>
  <si>
    <t>BOILER</t>
  </si>
  <si>
    <t>Electric boilers</t>
  </si>
  <si>
    <t>Электрические котлы</t>
  </si>
  <si>
    <t>电热锅炉</t>
  </si>
  <si>
    <t>Electric boilers should include the inputs and outputs to electric boilers corresponding to the amount of heat that is sold to third parties.</t>
  </si>
  <si>
    <t>Укажите производство тепла электрическими котлами, когда тепло было продано третьим лицам. Укажите электричество, потребленное такими котлами, в Таблице 3.</t>
  </si>
  <si>
    <t>电热锅炉应包括与出售给第三方的热量相对应的电热锅炉输入和输出热量。</t>
  </si>
  <si>
    <t>CHEMHEAT</t>
  </si>
  <si>
    <t>Heat from chemical sources</t>
  </si>
  <si>
    <t>Тепло, выделяемое химическими процессами</t>
  </si>
  <si>
    <t>化学热力</t>
  </si>
  <si>
    <t>Report only the heat originating from processes without input energy, such as a chemical reaction (e.g. the treatment of zinc oxide ore with hydrochloric acid). Note that waste heat originating from energy driven processes is not considered as a primary energy source. Therefore, it should be reported as heat produced from the corresponding fuel.</t>
  </si>
  <si>
    <t>Укажите только тепло, выделяемое химическими процессами без расхода энергии, как например химическая реакция (отработка руды окиси цинка хлористоводородной кислотой). Следует учесть, что отходящее тепло энергетических процессов, не рассматривается как первичный источник энергии.  Следовательно, оно должно быть учтено как тепло, выделяемое соответствующим топливом.</t>
  </si>
  <si>
    <t>化学热力是指通过化学反应（如氧化锌矿石与盐酸的反应）等未输入能源的过程产生的热力。请注意，能源驱动过程中产生的废热不被视为初级能源，而列入相应燃料产生的热力。</t>
  </si>
  <si>
    <t>OTHER</t>
  </si>
  <si>
    <t>Other sources</t>
  </si>
  <si>
    <t>Прочие источники</t>
  </si>
  <si>
    <t>其他能源</t>
  </si>
  <si>
    <t>Report electricity production from sources other than those listed, e.g. from fuel cells.</t>
  </si>
  <si>
    <t>Укажите производство электричества из источников, не упомянутых выше, например из топливных элементов. Опишите, пожалуйста, детально эти источники на «Странице для заметок».</t>
  </si>
  <si>
    <t>其他能源包括未被列入其他项目的产量，例如燃料电池。</t>
  </si>
  <si>
    <t>ELECTR</t>
  </si>
  <si>
    <t>Electricity</t>
  </si>
  <si>
    <t>Электричество</t>
  </si>
  <si>
    <t>电力</t>
  </si>
  <si>
    <t>Gross electricity production is measured at the terminals of all alternator sets in a station; it therefore includes the energy taken by station auxiliaries and losses in transformers that are considered integral parts of the station. The difference between gross and net production is generally estimated as 7% for conventional thermal stations, 1% for hydro stations, and 6% for nuclear, geothermal and solar stations. Production in hydro stations includes production from pumped storage plants.</t>
  </si>
  <si>
    <t>Валовое производство электричества – это сумма электрической энергии, произведенной всеми видами соответствующих генерирующих установок (включая гидроаккумулирующие), измеряемая на выходных клеммах основных генераторов.</t>
  </si>
  <si>
    <t>电力毛产量以发电站所有交流发电机组终端计量的数据为准；因此，电力毛产量包括电站辅助设备使用的能源，以及视为发电站必要组成部分的变压器损耗的能源。电力毛产量和电力净产量之间的差异，常规热电站一般为7%，水电站为1%，核电站、地热电站和太阳能电站为6%。水电站的电力产量包括抽水蓄能电厂的电力产量。</t>
  </si>
  <si>
    <t>HEAT</t>
  </si>
  <si>
    <t>Heat</t>
  </si>
  <si>
    <t>Тепло</t>
  </si>
  <si>
    <t>热力</t>
  </si>
  <si>
    <t>Heat production includes all heat produced by main activity producer CHP and heat plants, as well as heat sold by autoproducer CHP and heat plants to third parties. Fuels used to produce quantities of heat for sale are included in the transformation processes under the rows CHP plants and Heat plants. The use of fuels for heat which is not sold is included under the sectors in which the fuel use occurs.</t>
  </si>
  <si>
    <t>Валовое производство тепла – это общий объем тепла, произведенного установками, включающий тепло, использованное вспомогательным оборудованием установок, которое использует горячую жидкость (отопление помещения, нагрев жидкого топлива и т.д.); потери при обмене теплом между установкой и сетью, а также тепло химических процессов, использованное в виде первичной энергии.</t>
  </si>
  <si>
    <t>热力产量包括公用电联产厂和公用热力厂生产的全部热力，以及自用热电联产厂和自用热力厂向第三方出售的热力。生产进行出售的热力所使用的燃料列入热电联产厂和热力厂行下的转换过程项目。生产不进行出售的热力所使用的燃料，列入使用该燃料的相关部门项下。</t>
  </si>
  <si>
    <t>HEATNS</t>
  </si>
  <si>
    <t>Heat output from non-specified combustible fuels</t>
  </si>
  <si>
    <t>Производство тепла из неуказанных конкретно видов горючего топлива</t>
  </si>
  <si>
    <t>未列明的易燃燃料产生的热力</t>
  </si>
  <si>
    <t>This item is only used if the detailed breakdown is not available.</t>
  </si>
  <si>
    <t>Этот пункт используется только в случае отсутствия подробной разбивки.</t>
  </si>
  <si>
    <t>该项仅在具体明细信息无法获得的情况下使用。</t>
  </si>
  <si>
    <t>Flow Language</t>
  </si>
  <si>
    <t>Definition</t>
  </si>
  <si>
    <t>FLOW DEFINITIONS</t>
  </si>
  <si>
    <t>ОПРЕДЕЛЕНИЯ ПОТОКА</t>
  </si>
  <si>
    <t>流量定义</t>
  </si>
  <si>
    <t>Supply</t>
  </si>
  <si>
    <t>Поставка</t>
  </si>
  <si>
    <t>供应</t>
  </si>
  <si>
    <t>INDPROD</t>
  </si>
  <si>
    <t>Production</t>
  </si>
  <si>
    <t>Производство</t>
  </si>
  <si>
    <t>产量</t>
  </si>
  <si>
    <t>In the balances, production refers to the quantities of fuels extracted or produced, calculated after any operation for removal of inert matter or impurities (e.g. sulphur from natural gas).
In the energy statistics, production of secondary products is also included. Production of secondary oil products represents the gross refinery output.  Secondary coal products and gases represent the output from coke ovens, gas works, blast furnaces and other transformation processes.</t>
  </si>
  <si>
    <t>[missing_Russian]</t>
  </si>
  <si>
    <t>在平衡表中，产量系指提炼、生产或计算的经去除非活性物质或杂质（例如从天然气中去除硫）后的燃料数量。在能源统计中，次级产品的产量也包含在内。石油次级产品的产量为炼油毛产量。煤次级产品及煤气的产量为焦炉、煤气厂、高炉和其他转换过程的产量。</t>
  </si>
  <si>
    <t>From other sources</t>
  </si>
  <si>
    <t>Из других источников</t>
  </si>
  <si>
    <t>All inputs of origin other than primary energy sources explicitly recognised in the tables are listed under inputs from other sources, e.g. under crude oil:  inputs of origin other than crude oil and NGL such as hydrogen, synthetic crude oil (including mineral oil extracted from bituminous minerals such as shales, bituminous sand, etc.); under additives:  benzol, alcohol and methanol produced from natural gas; under refinery feedstocks:  backflows from the petrochemical industry used as refinery feedstocks;  under hard coal:  recovered slurries, middlings, recuperated coal dust and other low-grade coal products that cannot be classified according to type of coal from which they are obtained; under gas works gas:  natural gas, refinery gas, and LPG, that are treated or mixed in gas works (i.e. gas works gas produced from sources other than coal).</t>
  </si>
  <si>
    <t>表格中明确认可的初级能源以外的所有原始能源输入量均列入其他能源输入量项下，例如：在原油项下：原油和天然气凝析液以外的氢、合成原油（包括从页岩、沥青砂等沥青矿物中开采的矿物油）等原始能源输入量；在添加剂项下：由天然气生成的苯、乙醇、甲醇；在炼油厂原料项下：从石化行业回流的用作炼油厂原料的产品；在硬煤项下：回收的泥煤浆、中煤、回收的煤粉尘，以及无法根据所属煤的种类进行归类的其他低级煤产品；在煤气厂煤气项下：在煤气厂进行处理或混合的天然气、炼厂气和液化石油气（即，煤以外的其他能源生成的煤气厂煤气）。</t>
  </si>
  <si>
    <t>OSCOAL</t>
  </si>
  <si>
    <t xml:space="preserve">From other sources - coal                    </t>
  </si>
  <si>
    <t xml:space="preserve">Из других источников – уголь                    </t>
  </si>
  <si>
    <t>OSNATGAS</t>
  </si>
  <si>
    <t xml:space="preserve">From other sources - natural gas             </t>
  </si>
  <si>
    <t xml:space="preserve">Из других источников – природный газ             </t>
  </si>
  <si>
    <t>OSOIL</t>
  </si>
  <si>
    <t xml:space="preserve">From other sources - oil products            </t>
  </si>
  <si>
    <t xml:space="preserve">Из других источников – нефтепродукты            </t>
  </si>
  <si>
    <t>OSRENEW</t>
  </si>
  <si>
    <t xml:space="preserve">From other sources - renewables              </t>
  </si>
  <si>
    <t xml:space="preserve">Из других источников – ВИЭ              </t>
  </si>
  <si>
    <t>OSNONSPEC</t>
  </si>
  <si>
    <t xml:space="preserve">From other sources - non-specified           </t>
  </si>
  <si>
    <t xml:space="preserve">Из других источников – не указано           </t>
  </si>
  <si>
    <t>IMPORTS</t>
  </si>
  <si>
    <t>Imports</t>
  </si>
  <si>
    <t>Импорт</t>
  </si>
  <si>
    <t>进口量</t>
  </si>
  <si>
    <t>Comprise amounts having crossed the national territorial boundaries of the country whether or not customs clearance has taken place. For coal: Imports comprise the amount of fuels obtained from other countries, whether or not there is an economic or customs union between the relevant countries. Coal in transit should not be included. For oil and natural gas: Quantities of crude oil and oil products imported under processing agreements (i.e. refining on account) are included. Quantities of oil in transit are excluded. Crude oil, NGL and natural gas are reported as coming from the country of origin; refinery feedstocks and oil products are reported as coming from the country of last consignment.  For electricity: Amounts are considered as imported when they have crossed the national territorial boundaries of the country. If electricity is “wheeled” or transited through a country, the amount is shown as both an import and an export.</t>
  </si>
  <si>
    <t>包括已跨过相关国家国境的产品数量，无论是否完成清关。对于煤而言：进口量包括从其他国家取得的燃料数量，无论相关国家之间是否有经济或关税联盟关系；运输途中的煤不包括在内。对于石油和天然气而言：进口量包括根据加工协议（即先精炼后付款）进口的原油和石油产品；运输途中的石油数量不包括在内。原油、天然气凝析液和天然气应按照其原产国进行报告；炼油厂原料和石油产品应按照最后装运国进行报告。对于电力而言：已跨过相关国家国境的电量视为进口量。“横穿”或途径某一国家边境的电量同时列示为进口量和出口量。</t>
  </si>
  <si>
    <t>EXPORTS</t>
  </si>
  <si>
    <t>Exports</t>
  </si>
  <si>
    <t>Экспорт</t>
  </si>
  <si>
    <t>出口量</t>
  </si>
  <si>
    <t>Comprise amounts having crossed the national territorial boundaries of the country whether or not customs clearance has taken place.
● For coal: Exports comprise the amount of fuels supplied to other countries, whether or not there is an economic or customs union between the relevant countries. Coal in transit should not be included.
● For oil and natural gas: Quantities of crude oil and oil products exported under processing agreements (i.e. refining on account) are included. Re-exports of oil imported for processing within bonded areas are shown as an export of product from the processing country to the final destination.
● For electricity: Amounts are considered as exported when they have crossed the national territorial boundaries of the country. If electricity is “wheeled” or transited through a country, the amount is shown as both an import and an export.</t>
  </si>
  <si>
    <t>包括已跨过相关国家国境的产品数量，无论是否完成清关。对于煤而言：出口量包括向其他国家供应的燃料数量，无论相关国家之间是否有经济或关税联盟关系；运输途中的煤不应包括在内。对于石油和天然气而言：出口量包括根据加工协议（即先精炼后付款）出口的原油和石油产品；保税区进口加工的石油的再出口量，列示为从加工国向最终目的国的产品出口量。对于电力而言：已跨过相关国家国境的电量视为出口量。“横穿”或途径某一国家边境的电量同时列示为进口量和出口量。</t>
  </si>
  <si>
    <t>MARBUNK</t>
  </si>
  <si>
    <t>International marine bunkers</t>
  </si>
  <si>
    <t>международный бункер водных перевозок</t>
  </si>
  <si>
    <t>国际海运船舶燃料</t>
  </si>
  <si>
    <t>Report the quantities of oil delivered to ships of all flags that are engaged in international navigation. The international navigation may take place at sea, on inland lakes and waterways, and in coastal waters. Exclude consumption by ships engaged in domestic navigation (see domestic navigation). The domestic/international split should be determined on the basis of port of departure and port of arrival, and not by the flag or nationality of the ship. Exclude consumption by fishing vessels (see Fishing  – Other sectors) and consumption by military forces (see  Not elsewhere specified – Other sectors).</t>
  </si>
  <si>
    <t>Укажите объём нефти поставленный на судна всех флагов участвующие в международном судоходстве. Международное судоходство  может иметь место  в море, на озёрах и речных путях, а также на прибрежных  водах. Исключите потребление судов, которые участвуют в судоходстве внутри страны (см. местное судоходство). Разделение международное\местное судоходство производится ссылаясь на информацию о порту отправления и порту прибытия, а не на флаг под которым плавает данное судно или его страну происхождения. Исключите потребление рыболовными суднами (см. рыболовство – прочие секторы) и потребление военно-морскими силами (см. неуказанные в другом месте – прочие секторы).</t>
  </si>
  <si>
    <t>包括向从事国际航运的悬挂任何国旗的船舶供应的燃料数量。国际航运可包括海洋、内陆湖泊和水道及沿海运输。从事国内航运的船舶所消费的燃料量不包括在内。国内/国际航运的区分依据是发运港和目的港，而非船舶悬挂的国旗或船籍。渔船和军队消费的燃料量也不包括在内。参见国内航运、渔业和其他未列明的产业。</t>
  </si>
  <si>
    <t>AVBUNK</t>
  </si>
  <si>
    <t>International aviation bunkers</t>
  </si>
  <si>
    <t>международный бункер авиационных перевозок</t>
  </si>
  <si>
    <t>国际航空燃料</t>
  </si>
  <si>
    <t>Includes deliveries of aviation fuels to aircraft for international aviation. Fuels used by airlines for their road vehicles are excluded. The domestic/international split should be determined on the basis of departure and landing locations and not by the nationality of the airline. For many countries this incorrectly excludes fuel used by domestically owned carriers for their international departures;</t>
  </si>
  <si>
    <t>Укажите объёмы авиационных топлив поставленных для воздушных судов в рамках международной авиационной бункеровки (‘известной также как Международная Авиационная Бункеровка’). Разделение международная\местная авиация должно производиться ссылаясь на информацию о месте отправки и посадки, а не на основе страны происхождения авиакомпании. Исключите топлива использованные авиакомпаниями для дорожного транспорта (см. Прочие, неуказанные в другом месте  – Транспортный сектор) и военное использование авиационных топлив (см. Прочие, неуказанные в другом месте  - Прочие секторы).</t>
  </si>
  <si>
    <t>包括向进行国际航空飞行的飞机供应的航空燃料数量，但不包括航空公司陆地车辆使用的燃料。国内/国际航空飞行的区分依据是出发地和抵达地，而非航空公司的国籍。许多国家未将国内航空公司在国际飞行中使用的燃料纳入在内，这一做法是不正确的。</t>
  </si>
  <si>
    <t>STOCKCHA</t>
  </si>
  <si>
    <t>Stock changes</t>
  </si>
  <si>
    <t>Изменение остатков</t>
  </si>
  <si>
    <t>库存变化</t>
  </si>
  <si>
    <t>Reflects the difference between opening stock levels on the first day of the year and closing levels on the last day of the year of stocks on national territory held by producers, importers, energy transformation industries and large consumers. A stock build is shown as a negative number, and a stock draw as a positive number.</t>
  </si>
  <si>
    <t>Изменения запасов должны отражать разницу между уровнем запасов в начале периода и в конце периода для запасов находящихся на национальной территории. Накопление запасов  имеет отрицательный знак, а расходование запасов - положительный. (Следует заметить, что  изменение запасов, которое указывается в ежемесячном вопроснике по нефти (ЕВН), является разницей между конечным и начальным уровнем запасов.)</t>
  </si>
  <si>
    <t>对于生厂商、进口商、能源转换行业和大型消费单位持有的境内库存而言，库存变化是指在某年度第一天的期初库存量与该年度最后一天的期末库存水平之间的差额。库存增加记为负值，库存减少记为正值。</t>
  </si>
  <si>
    <t>Domestic supply</t>
  </si>
  <si>
    <t>Внутреннее снабжение</t>
  </si>
  <si>
    <t>国内供应量</t>
  </si>
  <si>
    <t>Domestic supply is defined as production + inputs from other sources + imports - exports - international marine bunkers - international aviation bunkers ± stock changes.</t>
  </si>
  <si>
    <t>国内供应量的计算公式为：产量 + 其他能源输入量 + 进口量 - 出口量 – 国际海运船舶燃料 – 国际航空燃料 ± 库存变化。</t>
  </si>
  <si>
    <t>DOMSUP</t>
  </si>
  <si>
    <t>Total primary energy supply (TPES)</t>
  </si>
  <si>
    <t>ОБЩЕЕ ПРЕДЛОЖЕНИЕ ПЕРВИЧНОЙ ЭНЕРГИИ (ОППЭ)</t>
  </si>
  <si>
    <t>初级能源供应总量</t>
  </si>
  <si>
    <t>Total primary energy supply (TPES) is made up of production + imports - exports - international marine bunkers - international aviation bunkers ± stock changes.</t>
  </si>
  <si>
    <t>初级能源供应总量（TPES）的计算公式为：产量 + 进口量 - 出口量 – 国际海运船舶燃料 – 国际航空燃料 ± 库存变化。</t>
  </si>
  <si>
    <t>TRANSFER</t>
  </si>
  <si>
    <t>Transfers</t>
  </si>
  <si>
    <t>Передачи</t>
  </si>
  <si>
    <t>转换产出量</t>
  </si>
  <si>
    <t>Transfers comprise interproduct transfers, products transferred and recycled products. Interproduct transfers result from reclassification of products either because their specification has changed or because they are blended into another product, e.g. kerosene may be reclassified as gasoil after blending with the latter in order to meet its winter diesel specification.  The net balance of interproduct transfers is zero. Products transferred is intended for oil products imported for further processing in refineries.  For example, fuel oil imported for upgrading in a refinery is transferred to the feedstocks category. Recycled products are finished products which pass a second time through the marketing network, after having been once delivered to final consumers (e.g. used lubricants which are reprocessed).</t>
  </si>
  <si>
    <t>转换产出量包括产品间转换、转换产品和再生产品。产品间转换是因产品的规格发生变化或者掺入其他产品而重新分类；例如，煤油经与轻柴油调合后符合冬用柴油的规格的，可被重新归类为轻柴油。产品间转换的净差额为零。转换产品旨在使进口石油产品在炼油厂进行进一步的加工；例如，为了在炼油厂进行升级而进口的燃料油，被转换至原料类别。再生产品是指在首次交付给最终消费者使用后，通过营销网络再次交付给最终消费者使用的成品（例如，经重新处理的废润滑剂）。</t>
  </si>
  <si>
    <t>Статистическое расхождение</t>
  </si>
  <si>
    <t>统计差异</t>
  </si>
  <si>
    <t>Statistical difference is defined as deliveries to final consumption + use for transformation processes and consumption by energy industry own use + losses – domestic supply – transfers.  Statistical differences arise because the data for the individual components of supply are often derived from different data sources by the national administration.  Furthermore, the inclusion of changes in some large consumers' stocks in the supply part of the balance introduces distortions which also contribute to the statistical differences.</t>
  </si>
  <si>
    <t>Это разница между общим потреблением (расчетным) и общим потреблением (наблюдаемым).</t>
  </si>
  <si>
    <t>统计差异的计算公式为：终端消费的输送量 + 转换过程的使用量和能源行业自用消费量 + 损耗量 – 国内供应量 – 转换产出量。统计差异产生的原因在于供应量各组成部分的数据通常是由各国管理部门通过不同数据渠道获得。此外，大型消费单位的库存变化列入平衡表中的供应部分引起的数据失真，也会导致统计差异。</t>
  </si>
  <si>
    <t>Transformation processes</t>
  </si>
  <si>
    <t>Сектор преобразования - всего</t>
  </si>
  <si>
    <t>转换过程</t>
  </si>
  <si>
    <t>TOTTRANF</t>
  </si>
  <si>
    <t>Transformation processes comprises the conversion of primary forms of energy to secondary and further transformation (e.g. coking coal to coke, crude oil to oil products, and fuel oil to electricity).</t>
  </si>
  <si>
    <t xml:space="preserve">Укажите объемы топлива, использованного для первичного или вторичного преобразования энергии (например, угля в электричество) или для преобразования полученных энергетических продуктов (например, коксующегося угля в кокс). Сектор преобразования разделен на следующие подсекторы: </t>
  </si>
  <si>
    <t>转换过程包括将初级能源转换成次级能源，以及其他进一步的转换（例如：焦煤到焦炭转换，原油到石油产品的转换，以及燃料油到电力的转换）。</t>
  </si>
  <si>
    <t>MAINELEC</t>
  </si>
  <si>
    <t>Main activity electricity plants</t>
  </si>
  <si>
    <t>Электростанции производителей энергии (основной вид деятельности)</t>
  </si>
  <si>
    <t>公用发电厂</t>
  </si>
  <si>
    <t>Refers to plants which are designed to produce electricity only. If one or more units of the plant is a CHP unit (and the inputs and outputs can not be distinguished on a unit basis) then the whole plant is designated as a CHP plant. Main activity producers generate electricity for sale to third parties, as their primary activity. They may be privately or publicly owned. Note that the sale need not take place through the public grid.</t>
  </si>
  <si>
    <t>Укажите объем топлива, потребленного для производства электричества. Топливо, потребленное электростанциями, имеющими хотя бы один блок ТЭЦ, следует указать в категории «ТЭЦ – производители по основному виду деятельности».</t>
  </si>
  <si>
    <t>是指仅进行电力生产的工厂。如果发电厂的一个或数个机组为热电联产机组（且机组的输入和输出电量无法逐个进行区分），则整个发电厂被称为热电联产厂。公用发电厂的主营业务是生产电力向第三方出售。公用发电厂可以为私营公司，也可以为公众公司。请注意，电力出售并非必须通过公共电网进行。</t>
  </si>
  <si>
    <t>AUTOELEC</t>
  </si>
  <si>
    <t>Autoproducer electricity plants</t>
  </si>
  <si>
    <t>Электростанции предприятий, производящих энергию для собственных нужд</t>
  </si>
  <si>
    <t>自用发电厂</t>
  </si>
  <si>
    <t>Refers to plants which are designed to produce electricity only. If one or more units of the plant is a CHP unit (and the inputs and outputs can not be distinguished on a unit basis) then the whole plant is designated as a CHP plant. Autoproducer undertakings generate electricity wholly or partly for their own use as an activity which supports their primary activity. They may be privately or publicly owned.</t>
  </si>
  <si>
    <t>Укажите объем топлива, потребленного для производства электричества. Топливо, потребленное станциями, имеющими хотя бы один блок ТЭЦ, следует указать в подгруппе «ТЭЦ – производители для собственных нужд».</t>
  </si>
  <si>
    <t>是指仅进行电力生产的工厂。如果发电厂的一个或数个机组为热电联产机组（且机组的输入和输出电量无法逐个进行区分），则整个发电厂被称为热电联产厂。作为其主营业务的一项辅助业务，自用发电厂将生产的电力全部或部分用于其自身使用。自用发电厂可以为私营公司，也可以为公众公司。</t>
  </si>
  <si>
    <t>MAINCHP</t>
  </si>
  <si>
    <t>Main activity producer CHP plants</t>
  </si>
  <si>
    <t>ТЭЦ производителей энергии (основной вид деятельности)</t>
  </si>
  <si>
    <t>公用热电联产厂</t>
  </si>
  <si>
    <t>Refers to plants which are designed to produce both heat and electricity (sometimes referred to as co-generation power stations). If possible, fuel inputs and electricity/‌heat outputs are on a unit basis rather than on a plant basis. However, if data are not available on a unit basis, the convention for defining a CHP plant noted above should be adopted. Main activity producers generate electricity and/or heat for sale to third parties, as their primary activity. They may be privately or publicly owned. Note that the sale need not take place through the public grid.</t>
  </si>
  <si>
    <t>Укажите объем топлива, потребленного для производства электричества и тепла.</t>
  </si>
  <si>
    <t>是指同时生产热力和电力的工厂（有时也称作热电站）。在可能的情况下，燃料输入量和电力/热力输出量按机组而非工厂进行计算。但是如果无法获得基于机组的数据，则采用上文所述的确定热电联产厂的惯例。公用热电联产厂的主营业务是生产电力和/或热力向第三方出售。公用热电联产厂可以为私营公司，也可以为公众公司。请注意，电力/热力出售并非必须通过公共电网/公共管网进行。</t>
  </si>
  <si>
    <t>AUTOCHP</t>
  </si>
  <si>
    <t>Autoproducer CHP plants</t>
  </si>
  <si>
    <t>ТЭЦ предприятий, производящих энергию для собственных нужд</t>
  </si>
  <si>
    <t>自用热电联产厂</t>
  </si>
  <si>
    <t>Refers to plants which are designed to produce both heat and electricity (sometimes referred to as co-generation power stations). If possible, fuel inputs and electricity/heat outputs are on a unit basis rather than on a plant basis. However, if data are not available on a unit basis, the convention for defining a CHP plant noted above should be adopted. Note that for autoproducer CHP plants, all fuel inputs to electricity production are taken into account, while only the part of fuel inputs to heat sold is shown. Fuel inputs for the production of heat consumed within the autoproducer's establishment are not included here but are included with figures for the final consumption of fuels in the appropriate consuming sector. Autoproducer undertakings generate electricity and/or heat, wholly or partly for their own use as an activity which supports their primary activity. They may be privately or publicly owned.</t>
  </si>
  <si>
    <t>Укажите объем топлива, соответствующий объему произведенного электричества и проданного тепла.</t>
  </si>
  <si>
    <t>指同时生产热和电的工厂（有时也称作热电站）。在可能的情况下，燃料输入量和电力/热力输出量按机组而非工厂进行计算。但是如果无法获得基于机组的数据，则采用上文所述的确定热电联产厂的惯例。请注意，对于自用热电联产厂，虽然用于电力生产的燃料输入量全部纳入考虑，但只有用于生产所出售热力的燃料输入量才予以列示。自用热电联产厂为生产在其设施内消费的热力所用的燃料输入量不包括本项内，而列入相应消费部门的燃料终端消费量数据。作为其主营业务的一项辅助业务，自用热电联产厂将生产的电力和/或热力全部或部分用于其自身使用。自用热电联产厂可以为私营公司，也可以为公众公司。</t>
  </si>
  <si>
    <t>MAINHEAT</t>
  </si>
  <si>
    <t>Main activity producer heat plants</t>
  </si>
  <si>
    <t>Теплоцентрали производителей энергии (основной вид деятельности)</t>
  </si>
  <si>
    <t>公用热力厂</t>
  </si>
  <si>
    <t>Refers to plants (including heat pumps and electric boilers) designed to produce heat only and who sell heat to a third party (e.g. residential, commercial or industrial consumers) under the provisions of a contract. Main activity producers generate heat for sale to third parties, as their primary activity. They may be privately or publicly owned. Note that the sale need not take place through the public grid.</t>
  </si>
  <si>
    <t>Укажите объем топлива, потребленного для производства тепла.</t>
  </si>
  <si>
    <t>指仅生产热力，并按照合同的规定将热力出售给第三方（例如：住宅、商业或工业消费者）的工厂（包括热泵和电热锅炉）。公用热力厂的主营业务是生产热力向第三方出售。公用热力厂可以为私营公司，也可以为公众公司。请注意，热力出售并非必须通过公共管网进行。</t>
  </si>
  <si>
    <t>AUTOHEAT</t>
  </si>
  <si>
    <t>Autoproducer heat plants</t>
  </si>
  <si>
    <t>Теплоцентрали предприятий, производящих энергию для собственных нужд</t>
  </si>
  <si>
    <t>自用热力厂</t>
  </si>
  <si>
    <t>Refers to plants (including heat pumps and electric boilers) designed to produce heat only and who sell heat to a third party (e.g. residential, commercial or industrial consumers) under the provisions of a contract. Autoproducer undertakings generate heat, wholly or partly for their own use as an activity which supports their primary activity. They may be privately or publicly owned.</t>
  </si>
  <si>
    <t>Укажите объем топлива, соответствующий объему проданного тепла.</t>
  </si>
  <si>
    <t>是指仅生产热力，并按照合同的规定将热力出售给第三方（例如：住宅、商业或工业消费者）的工厂（包括热泵和电热锅炉）。作为其主营业务的一项辅助业务，自用热力厂将生产的热力全部或部分用于其自身使用。自用热力厂可以为私营公司，也可以为公众公司。</t>
  </si>
  <si>
    <t>THEAT</t>
  </si>
  <si>
    <t>Потребление в теплонасосах</t>
  </si>
  <si>
    <t>Includes heat produced by heat pumps in the transformation sector. Heat pumps that are operated within the residential sector where the heat is not sold are not considered a transformation process and are not included here – the electricity consumption would appear as residential use.</t>
  </si>
  <si>
    <t>包括转换部门热泵生产的热力。在居民生活部门，生产不出售热力的热泵，不属于转换过程，也不包含在此项内 -电力消费量列示为居民生活使用量。</t>
  </si>
  <si>
    <t>TBOILER</t>
  </si>
  <si>
    <t>Потребление в электрокотлах</t>
  </si>
  <si>
    <t>Includes electric boilers used to produce heat.</t>
  </si>
  <si>
    <t xml:space="preserve">Укажите производство тепла электрическими котлами, когда тепло было продано третьим лицам. </t>
  </si>
  <si>
    <t>包括用于生产热力的电热锅炉。</t>
  </si>
  <si>
    <t>TELE</t>
  </si>
  <si>
    <t>Chemical heat for electricity production</t>
  </si>
  <si>
    <t>Теплота из химических процессов</t>
  </si>
  <si>
    <t>用于电力生产的化学热力</t>
  </si>
  <si>
    <t>包括用于发电的化学过程产生的热力。</t>
  </si>
  <si>
    <t>TPATFUEL</t>
  </si>
  <si>
    <t>Patent fuel plants</t>
  </si>
  <si>
    <t>Агломерационные установки</t>
  </si>
  <si>
    <t>专利燃料厂</t>
  </si>
  <si>
    <t>Includes the manufacture of patent fuels.</t>
  </si>
  <si>
    <t>Укажите объем каменного угля, использованного для производства каменноугольных брикетов.</t>
  </si>
  <si>
    <t>包括专利燃料的生产。</t>
  </si>
  <si>
    <t>TCOKEOVS</t>
  </si>
  <si>
    <t>Coke ovens</t>
  </si>
  <si>
    <t>Коксовые печи</t>
  </si>
  <si>
    <t>焦炉</t>
  </si>
  <si>
    <t>Includes the manufacture of coke and coke oven gas.</t>
  </si>
  <si>
    <t>Укажите объем коксующегося угля, угольной мелочи и лигнита или полубитуминозного угля, используемого в коксовых печах. Угольные продукты, используемые для отопления и работы устройств в эту категорию включать не следует, но указать как потребление в Секторе энергетики.</t>
  </si>
  <si>
    <t>包括焦炭和焦炉煤气的生产。</t>
  </si>
  <si>
    <t>TGASWKS</t>
  </si>
  <si>
    <t>Gas works</t>
  </si>
  <si>
    <t>Газовые заводы</t>
  </si>
  <si>
    <t>煤气厂</t>
  </si>
  <si>
    <t>Includes the manufacture of town gas.</t>
  </si>
  <si>
    <t xml:space="preserve">Укажите объем угля, угольных продуктов, коксового газа и заменителя природного газа, используемого для производства газа на газовом заводе и на станциях газификации угля. Продукты, используемые для отопления и работы устройств в эту категорию включать не следует, но указать как потребление в Секторе энергетики. </t>
  </si>
  <si>
    <t>包括民用煤气的生产。</t>
  </si>
  <si>
    <t>TBLASTFUR</t>
  </si>
  <si>
    <t>Blast furnaces</t>
  </si>
  <si>
    <t>Доменные печи</t>
  </si>
  <si>
    <t>高炉</t>
  </si>
  <si>
    <t>Includes the production of recovered gases (e.g. blast furnace gas and oxygen steel furnace gas). The production of pig-iron from iron ore in blast furnaces uses fuels for supporting the blast furnace charge and providing heat and carbon for the reduction of the iron ore. Accounting for the calorific content of the fuels entering the process is a complex matter as transformation (into blast furnace gas) and consumption (heat of combustion) occur simultaneously. Some carbon is also retained in the pigiron; almost all of this reappears later in the oxygen steel furnace gas (or converter gas) when the pig-iron is converted to steel. In the 1992/1993 annual questionnaires, Member Countries were asked for the first time to report in transformation processes the quantities of all fuels (e.g. pulverised coal injection [PCI] coal, coke oven coke, natural gas and oil) entering blast furnaces and the quantity of blast furnace gas and oxygen steel furnace gas produced. The Secretariat then needed to split these inputs into the transformation and consumption components. The transformation component is shown in the row blast furnaces in the column appropriate for the fuel, and the consumption component is shown in the row iron and steel, in the column appropriate for the fuel. The Secretariat decided to assume a transformation efficiency such that the carbon input into the blast furnaces should equal the carbon output. This is roughly equivalent to assuming an energy transformation efficiency of 40%.</t>
  </si>
  <si>
    <t>Укажите фактические объемы коксующегося угля и/или битуминозного угля (в основном обозначаемого как пульверизованное пылеугольное топливо – ППТ) и кокса, преобразованного в доменных печах. Объемы, использованные для отопления и работы доменных печей (например, доменный газ) в эту категорию включать не следует, но указать как потребление в Секторе энергетики.</t>
  </si>
  <si>
    <t>包括回收煤气的生产（例如高炉煤气和吹氧炼钢炉气）。使用铁矿石通过高炉生产生铁时，采用燃料支撑高炉炉料，并提供铁矿石还原所需的热力和炭。计算此过程中所用燃料的热焓是非常复杂的，因为转换（高炉煤气转换）和消耗（燃烧热）同时发生。某些碳还留存在生铁中。随后在生铁转换成钢时，吹氧炼钢炉气（或转化炉气）几乎会再次发生所有这些现象。在1992/1993年度的调查问卷中，成员国首次被要求报送转换过程中高炉使用的全部燃料数量（例如：喷煤[PCI]、煤、焦炉焦炭、天然气和石油），以及所产生的高炉煤气和吹氧炼钢炉气数量。秘书处然后需将这些输入量分成转换和消费两部分。转换部分列示在相应燃料列的高炉行；消费部分则列示在相应燃料列的钢铁行。秘书处决定采用一项转换效率，以便高炉炭输入量等于炭输出量，根据粗略计算，该能源转换效率为40%。</t>
  </si>
  <si>
    <t>TPETCHEM</t>
  </si>
  <si>
    <t>Petrochemical plants</t>
  </si>
  <si>
    <t>Нефтехимические заводы</t>
  </si>
  <si>
    <t>石化厂</t>
  </si>
  <si>
    <t>Covers backflows returned from the petrochemical industry. Note that backflows from oil products that are used for non-energy purposes (i.e. white spirit and lubricants) are not included here, but in non-energy use.</t>
  </si>
  <si>
    <t>包括从石化行业返回的回流产品。请注意，用于非能源使用的石油产品回流（例如工业用白油和润滑油）不包含在内，而列入非能源使用项下。</t>
  </si>
  <si>
    <t>TBKB</t>
  </si>
  <si>
    <t>BKB / peat briquette plants</t>
  </si>
  <si>
    <t>Установки по производству брикетов</t>
  </si>
  <si>
    <t>褐煤型煤/泥煤砖厂</t>
  </si>
  <si>
    <t>Includes the use of fuels for the manufacture of BKB and peat briquettes.</t>
  </si>
  <si>
    <t>Укажите объем лигнита или полубитуминозного угля, используемого для производства буроугольных брикетов (БУБ), объем торфа для производства торфяных брикетов (ТБ) и прочих продуктов переработки торфа.</t>
  </si>
  <si>
    <t>包括为生产褐煤型煤和泥煤砖而使用的燃料。</t>
  </si>
  <si>
    <t>TREFINER</t>
  </si>
  <si>
    <t>Oil refineries</t>
  </si>
  <si>
    <t>Нефтеперерабатывающие заводы</t>
  </si>
  <si>
    <t>炼油厂</t>
  </si>
  <si>
    <t>Includes the manufacture of finished oil products.</t>
  </si>
  <si>
    <t>Загрузка нефтеперерабатывающих заводов определяется как общий объём нефти поступившей в нефтеперерабатывающий процесс.</t>
  </si>
  <si>
    <t>包括成品石油产品的生产。</t>
  </si>
  <si>
    <t>TCOALLIQ</t>
  </si>
  <si>
    <t>Coal liquefaction plants</t>
  </si>
  <si>
    <t>Сжижение угля</t>
  </si>
  <si>
    <t>煤液化厂</t>
  </si>
  <si>
    <t>Includes coal, oil and tar sands used to produce synthetic oil.</t>
  </si>
  <si>
    <t>Укажите объемы угля, горючих сланцев и битуминозных песков, используемых для производства синтетической нефти. Сланцевое масло и прочие продукты, полученные в процессе сжижения следует указывать в «Годовом вопроснике по нефти».</t>
  </si>
  <si>
    <t>包括用于生产合成油的煤、石油和焦油砂。</t>
  </si>
  <si>
    <t>TGTL</t>
  </si>
  <si>
    <t>Gas-to-liquids (GTL) plants</t>
  </si>
  <si>
    <t>Газ-в-жидкость</t>
  </si>
  <si>
    <t xml:space="preserve">气转液厂                 </t>
  </si>
  <si>
    <t>Includes natural gas used as feedstock for the conversion to liquids, e.g. the quantities of fuel entering the methanol product process for transformation into methanol.</t>
  </si>
  <si>
    <t xml:space="preserve">Укажите объем природного газа, использованного в качестве сырья, для преобразования в жидкость, например объем топлива, поступающего в процессе производства метанола для преобразования в метанол. </t>
  </si>
  <si>
    <t>包括在液化过程中作为原料使用的天然气，例如在甲醇产品转换过程中使用的燃料数量。</t>
  </si>
  <si>
    <t>TBLENDGAS</t>
  </si>
  <si>
    <t>For blended natural gas</t>
  </si>
  <si>
    <t>Для смешанного природного газа</t>
  </si>
  <si>
    <t>天然气调合:</t>
  </si>
  <si>
    <t>Includes other gases that are blended with natural gas.</t>
  </si>
  <si>
    <t>Укажите объемы, смешанных с природным газом.</t>
  </si>
  <si>
    <t>包括与天然气进行调合的其他气体。</t>
  </si>
  <si>
    <t>TCHARCOAL</t>
  </si>
  <si>
    <t>Charcoal production plants</t>
  </si>
  <si>
    <t>Устан. по произв. древесного угля</t>
  </si>
  <si>
    <t>木炭生产厂</t>
  </si>
  <si>
    <t>Includes the transformation of solid biofuels into charcoal.</t>
  </si>
  <si>
    <t>Укажите объемы древесины, использованной для производства древесного угля.</t>
  </si>
  <si>
    <t>包括转换成木炭的固体生物燃料。</t>
  </si>
  <si>
    <t>TNONSPEC</t>
  </si>
  <si>
    <t>Non-specified (transformation)</t>
  </si>
  <si>
    <t>Прочее поставки</t>
  </si>
  <si>
    <t>未列明的产业（转换）</t>
  </si>
  <si>
    <t>Includes other non-specified transformation.</t>
  </si>
  <si>
    <t>Данные следует указывать здесь только в крайнем случае.</t>
  </si>
  <si>
    <t>包括其他未列明的转换。</t>
  </si>
  <si>
    <t>Energy industry own use and losses</t>
  </si>
  <si>
    <t>Собственное использование сектором энергетики и потери</t>
  </si>
  <si>
    <t>能源行业自用和损耗</t>
  </si>
  <si>
    <t>TOTENGY</t>
  </si>
  <si>
    <t>Energy industry own use</t>
  </si>
  <si>
    <t>Собственное использование сектором энергетики</t>
  </si>
  <si>
    <t>能源行业自用</t>
  </si>
  <si>
    <t>Energy industry own use covers the amount of fuels used by the energy producing industries (e.g. for heating, lighting and operation of all equipment used in the extraction process, for traction and for distribution). It includes energy consumed by energy industries for heating, pumping, traction and lighting purposes [ISIC Rev. 4 Divisions 05, 06, 19 and 35, Group 091 and Classes 0892 and 0721].</t>
  </si>
  <si>
    <t>Укажите топливо, потребляемое Сектором энергетики для добычи полезных ископаемых (разработки угольных месторождений, добычи нефти и газа) или работы установок, обеспечивающих процессы преобразования. Например, топливо, используемое для отопления, освещения или работы насосов, или компрессоров, или потребленное для энергетических целей в печах.
Сектор энергетики охватывает в классификаторе ISIC  разделы 05, 06, 19, 35, группу 091, классы 0892 и 0721 (в классификаторе NACE : разделы 05, 06, 19 и 35, группу 09.1, классы 08.92 и 07.21).</t>
  </si>
  <si>
    <t>能源行业自用包括能源生产行业（例如：为了加热、照明、开采过程中所用各项设备的运作、及牵引、配送之目的）使用的燃料数量，还包括能源行业为加热、抽水、牵引和照明之目的消费的能源【《国际标准行业分类》修订本第4版第05、06、19和35部分，第091组和第0892 和0721类】。</t>
  </si>
  <si>
    <t>EMINES</t>
  </si>
  <si>
    <t>Coal mines</t>
  </si>
  <si>
    <t>Угольные шахты</t>
  </si>
  <si>
    <t>煤矿</t>
  </si>
  <si>
    <t>Represents the energy which is used directly within the coal industry for hard coal and lignite mining. It excludes coal burned in pithead power stations (included under electricity plants in the transformation sector) and free allocations to miners and their families (considered as part of household consumption and therefore included under residential).</t>
  </si>
  <si>
    <t>Укажите топливо, потребленное в качестве энергии для поддержки добычи и подготовки угля в угольной промышленности. Уголь, сожженный в шахтных электростанциях, следует указывать в Секторе преобразования.</t>
  </si>
  <si>
    <t>指在煤行业内直接用于开采硬煤和褐煤的能源，不包括在坑口电站燃烧的煤（此类煤列入转换部门发电厂项下）及无偿分配给矿工及其家属的煤（此类煤视为家庭消费的一部分，因此列入居民生活项下）。</t>
  </si>
  <si>
    <t>EOILGASEX</t>
  </si>
  <si>
    <t>Oil and gas extraction</t>
  </si>
  <si>
    <t>Добыча нефти и газа</t>
  </si>
  <si>
    <t>石油和天然气开采</t>
  </si>
  <si>
    <t>Represents the energy which is used for oil and gas extraction. Flared gas is not included.</t>
  </si>
  <si>
    <t>Укажите объем природного газа, потребленного в качестве топлива при добыче нефти и газа, и на заводах по переработке природного газа. Потери в трубопроводах следует указывать в категории «Потери при распределении».</t>
  </si>
  <si>
    <t>指开采石油和天然气所用的能源，不包括火炬气。</t>
  </si>
  <si>
    <t>EPATFUEL</t>
  </si>
  <si>
    <t>Represents the energy used in patent fuel plants.</t>
  </si>
  <si>
    <t>Укажите топливо, потребленное в виде энергии на заводах по производству каменноугольных брикетов.</t>
  </si>
  <si>
    <t>指专利燃料厂使用的能源。</t>
  </si>
  <si>
    <t>ECOKEOVS</t>
  </si>
  <si>
    <t>Represents the energy used in coke ovens.</t>
  </si>
  <si>
    <t>Укажите топливо, потребленное в качестве энергии в доменных печах.</t>
  </si>
  <si>
    <t>指焦炉使用的能源。</t>
  </si>
  <si>
    <t>EGASWKS</t>
  </si>
  <si>
    <t>Газовые эаводы</t>
  </si>
  <si>
    <t>Represents the energy which is used in gas works.</t>
  </si>
  <si>
    <t>Укажите топливо, потребленное в качестве энергии на газовых заводах и станциях газификации угля.</t>
  </si>
  <si>
    <t>指煤气厂使用的能源</t>
  </si>
  <si>
    <t>EBIOGAS</t>
  </si>
  <si>
    <t>Gasification plants for biogases</t>
  </si>
  <si>
    <t>Газификационные установки (биогаз)</t>
  </si>
  <si>
    <t>生物质气化厂</t>
  </si>
  <si>
    <t>Represents own consumption of biogas necessary to support temperatures needed for anaerobic fermentation.</t>
  </si>
  <si>
    <t>Укажите объем возобновляемых источников энергии и отходов, потребленных в виде энергии, необходимой для поддержки температуры в процессе анаэробной ферментации.</t>
  </si>
  <si>
    <t>指支持厌氧发酵所需的温度所必需的生物气自用消费量。</t>
  </si>
  <si>
    <t>EBLASTFUR</t>
  </si>
  <si>
    <t>Represents the energy which is used in blast furnaces.</t>
  </si>
  <si>
    <t>Укажите топливо, потребленное в качестве энергии на коксовых заводах.</t>
  </si>
  <si>
    <t>指高炉使用的能源。</t>
  </si>
  <si>
    <t>EBKB</t>
  </si>
  <si>
    <t>褐煤型煤/ 泥煤砖厂</t>
  </si>
  <si>
    <t>Represents the energy used in BKB and peat briquette plants.</t>
  </si>
  <si>
    <t>Укажите топливо, потребленное в качестве энергии на заводах по производству БУБ/ТБ.</t>
  </si>
  <si>
    <t>指褐煤型煤厂和泥煤砖厂使用的能源。</t>
  </si>
  <si>
    <t>EREFINER</t>
  </si>
  <si>
    <t>Нефтеперераб. заводы</t>
  </si>
  <si>
    <t>Represents the energy used in oil refineries.</t>
  </si>
  <si>
    <t>Укажите топливо, потребленное в качестве энергии на нефтеперерабатывающих заводах.</t>
  </si>
  <si>
    <t>指炼油厂使用的能源。</t>
  </si>
  <si>
    <t>ECOALLIQ</t>
  </si>
  <si>
    <t>Заводы сжижения угля</t>
  </si>
  <si>
    <t>煤气化厂</t>
  </si>
  <si>
    <t>Represents the energy used in coal liquefaction plants.</t>
  </si>
  <si>
    <t>Укажите топливо, потребленное в качестве энергии на станциях по сжижению угля.</t>
  </si>
  <si>
    <t>指煤气化厂使用的能源。</t>
  </si>
  <si>
    <t>ELNG</t>
  </si>
  <si>
    <t>Liquefaction (LNG) / regasification plants</t>
  </si>
  <si>
    <t>Сжижение (СПГ) / установки регазификации</t>
  </si>
  <si>
    <t>液化（液化天然气）/ 再气化厂</t>
  </si>
  <si>
    <t>Represents the energy used in LNG and regasification plants.</t>
  </si>
  <si>
    <t>Укажите объем природного газа, потребленного в качестве топлива на заводах по сжижению и регазификации газа.</t>
  </si>
  <si>
    <t>指液化天然气厂和再气化厂使用的能源。</t>
  </si>
  <si>
    <t>EGTL</t>
  </si>
  <si>
    <t xml:space="preserve">气转液厂    </t>
  </si>
  <si>
    <t>Represents the energy used in gas-to-liquids plants.</t>
  </si>
  <si>
    <t>Укажите объем природного газа, потребленного в качестве топлива на заводах, преобразующих газ в жидкость.</t>
  </si>
  <si>
    <t>指气转液厂使用的能源。</t>
  </si>
  <si>
    <t>EPOWERPLT</t>
  </si>
  <si>
    <t>Own use in electricity, CHP and heat plants</t>
  </si>
  <si>
    <t>Электростанции, ТЭЦ и теплоцентрали</t>
  </si>
  <si>
    <t>发电厂、热电联产厂和热力厂自用</t>
  </si>
  <si>
    <t>Represents the energy used in main activity producer electricity, CHP and heat plants.</t>
  </si>
  <si>
    <t>Укажите топливо, потребленное в качестве энергии на электростанциях, ТЭЦ и котельных.</t>
  </si>
  <si>
    <t>指公用发电厂、热电联产厂和热力厂使用的能源。</t>
  </si>
  <si>
    <t>EPUMPST</t>
  </si>
  <si>
    <t>Used for pumped storage</t>
  </si>
  <si>
    <t>Электричество для гидроаккумулирования</t>
  </si>
  <si>
    <t xml:space="preserve">抽水蓄能使用        </t>
  </si>
  <si>
    <t>Represents electricity consumed in hydro-electric plants for pumped storage.</t>
  </si>
  <si>
    <t xml:space="preserve">Укажите электричество, потребленное во время работы гидроэлектростанций в насосном режиме. </t>
  </si>
  <si>
    <t>指水电站为抽水蓄能消费的电力。</t>
  </si>
  <si>
    <t>ENUC</t>
  </si>
  <si>
    <t>Nuclear industry</t>
  </si>
  <si>
    <t>Атомная промышленность</t>
  </si>
  <si>
    <t>核工业</t>
  </si>
  <si>
    <t>Represents the energy used in the nuclear industry.</t>
  </si>
  <si>
    <t>Укажите электричество и купленное тепло, потребленное атомными электростанциями.</t>
  </si>
  <si>
    <t>指核工业使用的能源。</t>
  </si>
  <si>
    <t>ECHARCOAL</t>
  </si>
  <si>
    <t>Represents the energy used in charcoal production plants.</t>
  </si>
  <si>
    <t>Укажите объем возобновляемых источников энергии и отходов, потребленных в качестве энергии на станциях по производству древесного угля.</t>
  </si>
  <si>
    <t>指木炭生产厂使用的能源。</t>
  </si>
  <si>
    <t>ENONSPEC</t>
  </si>
  <si>
    <t>Non-specified (Energy)</t>
  </si>
  <si>
    <t>Не указанные в других графах</t>
  </si>
  <si>
    <t>未列明的产业（能源）</t>
  </si>
  <si>
    <t>Represents use in non-specified energy industries.</t>
  </si>
  <si>
    <t>В этой категории укажите топливо, потребленное в качестве энергии для прочих целей, не указанных выше.</t>
  </si>
  <si>
    <t>指未列明的能源行业使用的能源。</t>
  </si>
  <si>
    <t>DISTLOSS</t>
  </si>
  <si>
    <t>Losses</t>
  </si>
  <si>
    <t>Потери</t>
  </si>
  <si>
    <t>损耗</t>
  </si>
  <si>
    <t>Losses in energy distribution, transmission and transport.</t>
  </si>
  <si>
    <t>Укажите все потери в результате транспортировки и распределения, а также сжигания синтез-газов в факелах.</t>
  </si>
  <si>
    <t>能源配送、传送和运输过程中的损耗。</t>
  </si>
  <si>
    <t>Final consumption</t>
  </si>
  <si>
    <t>Общее потребление</t>
  </si>
  <si>
    <t>FINCONS</t>
  </si>
  <si>
    <t>终端消费量</t>
  </si>
  <si>
    <t>Equal to the sum of the consumption in the end-use sectors. Energy used for transformation processes and for own use of the energy producing industries is excluded. Final consumption reflects for the most part deliveries to consumers (see note on stock changes). Backflows from the petrochemical industry are not included in final consumption (see from other sources under supply and petrochemical plants in transformation processes).</t>
  </si>
  <si>
    <t>TOTIND</t>
  </si>
  <si>
    <t>Industry</t>
  </si>
  <si>
    <t>Сектор промышленности</t>
  </si>
  <si>
    <t>工业部门</t>
  </si>
  <si>
    <t>Report the fuel, electricity or purchased heat consumption by the industrial undertaking in support of its primary activities in the appropriate sub-sectors:
Report quantities of fuels consumed in heat or CHP plants for the production of heat used by the plant itself. Quantities of fuels consumed for the production of heat that is sold, and for the production of electricity should be reported under the appropriate Transformation sector.</t>
  </si>
  <si>
    <t xml:space="preserve">Укажите потребление топлива/ электричества и купленного тепла промышленными предприятиями для поддержки основного вида деятельности.
Укажите объемы топлива, потребленного котельными и ТЭЦ для производства тепла для собственных нужд. Объемы топлива, использованного для производства тепла на продажу и для производства электричества следует указать в соответствующем подразделе Сектора преобразования. </t>
  </si>
  <si>
    <t>工业部门消费量的明细如下（工业部门运输使用的能源不包括在内，而是在交通运输部门项下报送）：</t>
  </si>
  <si>
    <t>IRONSTL</t>
  </si>
  <si>
    <t>Iron and steel</t>
  </si>
  <si>
    <t>Черная металлургия</t>
  </si>
  <si>
    <t>钢铁</t>
  </si>
  <si>
    <t>[ISIC Rev. 4 Group 241 + Class 2431 (NACE Groups 24.1, 24.2, 24.3, Classes 24.51 and 24.52)]. To avoid double counting, energy used in blast furnaces should be reported in the Energy sector.</t>
  </si>
  <si>
    <t>ISIC: группа 241 и Класс 2431 (NACE: группы 24.1, 24.2, 24.3; классы 24.51 и 24.52). Во избежание двойного учета, энергия, использованное в доменных печах, следует указывать в Секторе энергетики.</t>
  </si>
  <si>
    <t>【《国际标准行业分类》修订本第4版第241组和第2431类】</t>
  </si>
  <si>
    <t>CHEMICAL</t>
  </si>
  <si>
    <t>Chemical and petrochemical</t>
  </si>
  <si>
    <t>Химическая (в т.ч. нефтехимическая) промышленность</t>
  </si>
  <si>
    <t>化学和石油化工</t>
  </si>
  <si>
    <t>[ISIC Rev. 4 Divisions 20 and 21] Excluding petrochemical feedstocks.</t>
  </si>
  <si>
    <t>ISIC и NACE: разделы 20 и 21.</t>
  </si>
  <si>
    <t>【《国际标准行业分类》修订本第4版第20和21部分】不包括石化原料。</t>
  </si>
  <si>
    <t>NONFERR</t>
  </si>
  <si>
    <t>Non-ferrous metals</t>
  </si>
  <si>
    <t>Цветная металлургия</t>
  </si>
  <si>
    <t>有色金属</t>
  </si>
  <si>
    <t>ISIC Group 242 + Class 2432 (NACE Group 24.4, Classes 24.53 and 24.54).</t>
  </si>
  <si>
    <t>ISIC: группа 242 и класс 2432 (NACE: группа 24.4 и классы 24.53, 24.54).</t>
  </si>
  <si>
    <t>【《国际标准行业分类》修订本第4版第242组和第2432类】基础行业。</t>
  </si>
  <si>
    <t>NONMET</t>
  </si>
  <si>
    <t>Non-metallic minerals</t>
  </si>
  <si>
    <t>Неметаллические минеральные продукты</t>
  </si>
  <si>
    <t>非金属矿物</t>
  </si>
  <si>
    <t>[ISIC Rev. 4 and NACE Division 23.] Report glass, ceramic, cement, and other building materials industries.</t>
  </si>
  <si>
    <t>ISIC: раздел 23 (NACE: раздел 23). Укажите отрасли стекла, керамики, цемента и прочих строительных материалов.</t>
  </si>
  <si>
    <t>【《国际标准行业分类》修订本第4版第23部分】如玻璃、陶瓷、水泥等。</t>
  </si>
  <si>
    <t>TRANSEQ</t>
  </si>
  <si>
    <t>Transport equipment</t>
  </si>
  <si>
    <t>Транспортное оборудование</t>
  </si>
  <si>
    <t>交通运输设备</t>
  </si>
  <si>
    <t>[ISIC Rev. 4 and NACE Divisions 29 and 30.]</t>
  </si>
  <si>
    <t xml:space="preserve">ISIC и NACE: разделы 29 и 30. </t>
  </si>
  <si>
    <t>【《国际标准行业分类》修订本第4版第29和30部分】</t>
  </si>
  <si>
    <t>MACHINE</t>
  </si>
  <si>
    <t>Machinery</t>
  </si>
  <si>
    <t>Машиностроение</t>
  </si>
  <si>
    <t>机器设备</t>
  </si>
  <si>
    <t>[ISIC Rev. 4 and NACE Divisions 25, 26, 27 and 28.] Report fabricated metal products, machinery and equipment other than transport equipment.</t>
  </si>
  <si>
    <t>ISIC и NACE – разделы 25, 26, 27, и 28. Укажите изготовленные металлические продукты, машины и оборудование, кроме транспортного оборудования.</t>
  </si>
  <si>
    <t>【《国际标准行业分类》修订本第4版第25至28部分】装配式金属产品、机器及交通运输设备以外的设备。</t>
  </si>
  <si>
    <t>MINING</t>
  </si>
  <si>
    <t>Mining and quarrying</t>
  </si>
  <si>
    <t>Горнодобыв. промышленность и разраб. карьеров</t>
  </si>
  <si>
    <t>采矿和采石</t>
  </si>
  <si>
    <t>[ISIC Rev. 4 Divisions 07 and 08 + Group 099 (NACE Divisions 07 and 08 + Group 09.9)]</t>
  </si>
  <si>
    <t>ISIC: разделы 07, 08 и группа 099 (NACE: разделы 07, 08 и группа 09.9).</t>
  </si>
  <si>
    <t>【《国际标准行业分类》修订本第4版第07和08部分和第099组】采矿（不包括燃料）和采石。</t>
  </si>
  <si>
    <t>FOODPRO</t>
  </si>
  <si>
    <t>Food, beverages and tobacco</t>
  </si>
  <si>
    <t>Пищевая промышленность, производство напитков и табачных изделий</t>
  </si>
  <si>
    <t>食品和烟草</t>
  </si>
  <si>
    <t>[ISIC Rev. 4 and NACE Divisions 10, 11 and 12.]</t>
  </si>
  <si>
    <t xml:space="preserve">ISIC и NACE: разделы 10, 11 и 12. </t>
  </si>
  <si>
    <t>【《国际标准行业分类》修订本第4版第10至12部分】</t>
  </si>
  <si>
    <t>PAPERPRO</t>
  </si>
  <si>
    <t>Paper, pulp and print</t>
  </si>
  <si>
    <t>Целлюлозно-бумажная и полиграфическая промышленность</t>
  </si>
  <si>
    <t>纸、纸浆和印刷</t>
  </si>
  <si>
    <t>[ISIC Rev. 4 and NACE Divisions 17 and 18.] Includes reproduction of recorded media.</t>
  </si>
  <si>
    <t xml:space="preserve">ISIC и NACE: разделы 17 и 18. Эта категория включает также тиражирование записанных носителей информации. </t>
  </si>
  <si>
    <t>【《国际标准行业分类》修订本第4版第17和18部分】</t>
  </si>
  <si>
    <t>WOODPRO</t>
  </si>
  <si>
    <t>Wood and wood products</t>
  </si>
  <si>
    <t>Производство древесины и деревянных изделий</t>
  </si>
  <si>
    <t>木材和木材制品</t>
  </si>
  <si>
    <t>[ISIC Rev. 4 and NACE Division 16] Wood and wood products other than pulp and paper.</t>
  </si>
  <si>
    <t>ISIC и NACE: раздел 16.</t>
  </si>
  <si>
    <t>【《国际标准行业分类》修订本第4版第16部分】纸和纸浆以外的木材和木材制品</t>
  </si>
  <si>
    <t>CONSTRUC</t>
  </si>
  <si>
    <t>Construction</t>
  </si>
  <si>
    <t>Строительство</t>
  </si>
  <si>
    <t>建筑</t>
  </si>
  <si>
    <t>[ISIC Rev. 4 and NACE Division 41, 42 and 43]</t>
  </si>
  <si>
    <t>ISIC и NACE: разделы 41, 42 и 43.</t>
  </si>
  <si>
    <t>【《国际标准行业分类》修订本第4版第41至43部分】</t>
  </si>
  <si>
    <t>TEXTILES</t>
  </si>
  <si>
    <t>Textiles and leather</t>
  </si>
  <si>
    <t>Текстильная и кожевенная промышленность</t>
  </si>
  <si>
    <t>纺织品和皮革</t>
  </si>
  <si>
    <t>[ISIC and NACE Divisions 13, 14 and 15.]</t>
  </si>
  <si>
    <t>ISIC и NACE: разделы 13, 14 и 15.</t>
  </si>
  <si>
    <t>【《国际标准行业分类》修订本第4版第13至15部分】</t>
  </si>
  <si>
    <t>INONSPEC</t>
  </si>
  <si>
    <t>Non-specified (Industry)</t>
  </si>
  <si>
    <t>Др. отрасли промышленности</t>
  </si>
  <si>
    <t>未列明的产业</t>
  </si>
  <si>
    <t>[ISIC and NACE Divisions 22, 31 and 32.] If your country's industrial classification consumption of fuels/electricity does not correspond to the above ISIC or NACE codes, please estimate the breakdown by industry and include in Not elsewhere specified (Industry) only consumption in sectors which is not covered above.</t>
  </si>
  <si>
    <t xml:space="preserve">ISIC и NACE: разделы 22, 31 и 32. Если промышленный классификатор потребления топлива / электричества в вашей стране не соответствует упомянутым выше кодам ISIC и NACE, то оцените, пожалуйста, разбивку по отраслям промышленности и включите в «Не указанные в других подгруппах» только потребление в секторах, не упомянутых выше. </t>
  </si>
  <si>
    <t>【《国际标准行业分类》修订本第4版第22、31和32部分】上文未包括的任何制造业。注：大多数国家难以提供所有燃料的工业明细信息，在这种情况下，可使用未列明的产业这一行。因此，应慎重使用区域合计工业消费量。</t>
  </si>
  <si>
    <t>TOTTRANS</t>
  </si>
  <si>
    <t>Transport</t>
  </si>
  <si>
    <t>Сектор транспорта</t>
  </si>
  <si>
    <t>交通运输部门</t>
  </si>
  <si>
    <t>[ISIC Rev. 4 and NACE categories: Divisions 49, 50 and 51.] Report fuels / electricity used for all transport activity irrespective of the economic sector, in which the activity occurs (except military fuel use, see Not elsewhere specified - Other). Electricity and purchased heat used for heating and lighting at railway and bus stations and airports should be reported in Commercial and public services.  The transport sector is divided into the following sub-sectors:</t>
  </si>
  <si>
    <t>ISIC и NACE: разделы 49, 50 и 51. Укажите потребленное энергия,  всеми видами транспортной деятельности, независимо от экономического сектора, в котором деятельность осуществляется (за исключением военного спользования, см. «Не указанные в других подгруппах» (Прочее)». Электричество и купленное тепло, используемое для отопления и освещения железнодорожных и автобусных станций и аэропортов следует указывать в Секторе коммерческих и общественных услуг. Укажите потребление в следующих категориях классификаторов:</t>
  </si>
  <si>
    <t>交通运输部门能源消费量涵盖所有（使用机动发动机）的交通运输活动，无论其有助于哪一经济部门【《国际标准行业分类》修订本第4版第49至51部分】。交通运输部门能源消费量的明细如下：</t>
  </si>
  <si>
    <t>ROAD</t>
  </si>
  <si>
    <t>Domestic aviation</t>
  </si>
  <si>
    <t>Внутренний воздушный транспорт</t>
  </si>
  <si>
    <t>国内航空</t>
  </si>
  <si>
    <t>Report quantities of aviation fuels delivered to aircraft for Domestic aviation – commercial, private, agricultural, etc. Include fuel used for purposes other than flying, e.g. bench testing of engines. The domestic/international split should be determined on the basis of departure and landing locations and not by the nationality of the airline. Note that this may include journeys of considerable length between two airports in a country (e.g. San Francisco to Honolulu). Exclude fuels used by airlines for their road vehicles (see Not elsewhere specified – Transport sector) and military use of aviation fuels (see Not elsewhere specified – Other sectors).
 For many countries this incorrectly includes fuel used by domestically owned carriers for outbound international traffic.</t>
  </si>
  <si>
    <t>Укажите объёмы авиационных топлив поставленных для воздушных судов в рамках внутренней авиации – коммерческой, частной, сельскохозяйственной и т.д. Включите топливо используемое для неавиационных целей - например стендового испытания двигателей. Разделение международная\местная авиация должно производиться ссылаясь на информацию о месте отправки и посадки, а не на основе страны происхождения авиакомпании. Заметьте, что эта категория может включать длинные путешествия между двумя аэропортами одной страны (например с Сан-Франциско в Гонолулу). Исключите топливо используемое авиакомпаниями для дорожного транспорта (см. Прочие, неуказанные в другом месте – Транспортный сектор) и военное использование авиационных топлив (см. Прочие, неуказанные в другом месте - Прочие секторы).</t>
  </si>
  <si>
    <t>包括向进行国内（商业、私人、农业等）航空飞行的飞机输送的航空燃料数量，包括为飞行以外的其他目的使用的燃料数量，例如发动机台架试验，但不包括航空公司陆地运输使用的燃料。国内/国际航空飞行的区分依据是出发地和抵达地，而非航空公司的国籍。请注意：该项可包括在某一国家境内两个机场之间的长距离行程（例如从旧金山到檀香山）。许多国家将国内航空公司在出境国际飞行中使用的燃料列入此项，这一做法是不正确的。</t>
  </si>
  <si>
    <t>DOMESAIR</t>
  </si>
  <si>
    <t>Road</t>
  </si>
  <si>
    <t>Автоперевозки</t>
  </si>
  <si>
    <t>公路</t>
  </si>
  <si>
    <t>Report oil for use in road vehicles. Include fuel used by agricultural vehicles on highways and lubricants for use in road vehicles. Exclude motor gasoline and diesel used in stationary engines (see Not elsewhere specified – Other sectors), diesel oil for non–highway use in tractors (see Agriculture/forestry – Other sectors), military use (see Not elsewhere specified – Other sectors) and gasoil used in engines at construction sites (see Construction – Industry sector).</t>
  </si>
  <si>
    <t>Укажите нефть используемую для дорожно-транспортных средств. Включите топливо используемое  сельскохозяйственными машинами на шоссе и смазочные материалы для дорожно-транспортных средств. Исключите моторный бензин и дизель использованные в стационарных двигателях (см. Прочие, неуказанные в другом месте - Прочие секторы), дизельное топливо для внедорожного использования в тракторах (см. Сельское/лесное хозяйство - Прочие секторы), военное использование (см. Прочие, неуказанные в другом месте - Прочие секторы) и газойль  использованный в двигателях на стройплощадках (см. Строительство – Промышленный сектор).</t>
  </si>
  <si>
    <t>包括公路车辆以及农业和工业公路使用的燃料，不包括军队消费的燃料、固定式发动机使用的车用汽油和非公路用拖拉机使用的柴油。</t>
  </si>
  <si>
    <t>RAIL</t>
  </si>
  <si>
    <t>Rail</t>
  </si>
  <si>
    <t>Железные дороги</t>
  </si>
  <si>
    <t>铁路</t>
  </si>
  <si>
    <t>Includes quantities used in rail traffic, including industrial railways. It includes oil used in rail transport as part of urban or suburban transport systems.</t>
  </si>
  <si>
    <t xml:space="preserve">Укажите нефть используемую в железнодорожных перевозках, включая промышленные железные дороги. Эта категория включает потребление нефти в железнодорожном транспорте как части городских или пригородных транспортных систем.  </t>
  </si>
  <si>
    <t>包括铁路运输（含工业铁路运输）使用的燃料数量。</t>
  </si>
  <si>
    <t>PIPELINE</t>
  </si>
  <si>
    <t>Pipeline transport</t>
  </si>
  <si>
    <t>Транспортировк а по трубопроводам</t>
  </si>
  <si>
    <t>管道运输</t>
  </si>
  <si>
    <t>Report oil used as energy in the support and operation of pipelines transporting gases, liquids, slurries and other commodities, including the energy used for pump stations and maintenance of the pipeline. Oil used as energy for the pipeline distribution of natural or manufactured gas, hot water or steam (ISIC Rev. 4 Division 35) from the distributor to final users is excluded and should be reported in the Energy sector, while the oil used for the final distribution of water (ISIC 36) to household, industrial, commercial and other users should be included in the Commercial/public sector. Losses occurring during this transport between distributor and final users should be reported as Distribution losses.</t>
  </si>
  <si>
    <t>Укажите нефть использованную в виде энергии для поддержки и работы трубопроводов транспортирующих газы, жидкости, суспензии и прочие товары, включая энергию используемую для насосных станций и ухода за трубопроводом. Нефть, использованную в виде энергии для распределения по трубопроводу природного или синтезного газа, горячей воды или пара  (ISIC 35) от поставщика до конечного потребителя следует исключить и указать в Секторе энергетики, в то время как нефть использованная для конечного распределения воды (ISIC 36) домашним хозяйствам, промышленным, коммерческим и прочим потребителям должна учитываться в категории Коммерческий\общественный сектор. Потери при транспортировке между поставщиком и конечными потребителями должны указываться как потери при распределении.</t>
  </si>
  <si>
    <t>包括为支持和运作气体、液体、泥浆和其他货物的运输管道而使用的能源，包括为泵站和管道维护而使用的能源。配送商为向最终用户管道配送天然气或人造煤气、热水、蒸汽（《国际标准行业分类》修订本第4版第35部分）二使用的能源不包括在内，而应在能源行业自用项下报送。但是为向家庭、工业、商业和其他用户最终配送水（《国际标准行业分类》修订本第4版第36部分）而使用的能源应列在商业/公共服务项下。配送商和最终用户之间的运输过程中发生的损耗应作为损耗进行报送。</t>
  </si>
  <si>
    <t>DOMESNAV</t>
  </si>
  <si>
    <t>Domestic navigation</t>
  </si>
  <si>
    <t>Внутренний водный транспорт</t>
  </si>
  <si>
    <t>国内航运</t>
  </si>
  <si>
    <t>Report fuels delivered to vessels of all flags not engaged in international navigation (see international marine bunkers). The domestic/international split should be determined on the basis of port of departure and port of arrival and not by the flag or nationality of the ship. Note that this may include journeys of considerable length between two ports in a country (e.g. San Francisco to Honolulu).</t>
  </si>
  <si>
    <t>Укажите топлива поставленные для судов плавающих под всеми флагами не участвующими в международном судоходстве (см. Международная морская бункеровка). Раздел международное\местное судоходство производится ссылаясь на информацию о порту отправления и порту прибытия, а не на флаг под которым плавает данное судно или его страну происхождения. Заметьте, что эта категория может включать длинные путешествия между двумя портами одной страны (например с Сан-Франциско в Гонолулу).</t>
  </si>
  <si>
    <t>包括向并非从事国际航运（见国际海运船舶燃料）的悬挂任何国旗的船舶输送的燃料数量。国内/国际航运的区分依据是发运港和目的港，而非船舶悬挂的国旗或船籍。请注意：该项可以包括某一国家境内两个港口之间的长距离航程（例如从旧金山到檀香山）。海洋、沿海和内陆渔业使用的燃料和军队消费的燃料不包括在内。</t>
  </si>
  <si>
    <t>TRNONSPE</t>
  </si>
  <si>
    <t>Non-specified (transport)</t>
  </si>
  <si>
    <t>Неспецифицированный транспорт</t>
  </si>
  <si>
    <t>未列明的产业（交通运输）</t>
  </si>
  <si>
    <t>Report fuels used for transport activities not included elsewhere. Include fuels used by airlines for their road vehicles. Note: International marine bunkers and International aviation bunkers are shown in supply and are not included in the transport sector as part of final consumption.</t>
  </si>
  <si>
    <t>Укажите использование топлив для транспортных деятельностей, не включённых в вышеупомянутые категории. Включите здесь топливо используемое авиакомпаниями для дорожных средств.</t>
  </si>
  <si>
    <t>包括未另行列明的所有交通运输。请注意：国际海运船舶燃料和国际航空燃料列示于供应项下，而不作为终端消费量的组成部分纳入交通运输部门。</t>
  </si>
  <si>
    <t>TOTOTHER</t>
  </si>
  <si>
    <t>Other</t>
  </si>
  <si>
    <t>Другие</t>
  </si>
  <si>
    <t>其他部门</t>
  </si>
  <si>
    <t>Includes residential, commercial/public services, agriculture/‌forestry, fishing and non-specified (other).</t>
  </si>
  <si>
    <t>Укажите жилищный сектор, коммерческие предприятия и государственные учреждения, сельское хозяйство, рыболовство и неспецифицированные другие секторы.</t>
  </si>
  <si>
    <t>包括居民生活、商业/公共服务、农业/林业、渔业和未列明的产业（其他）。</t>
  </si>
  <si>
    <t>RESIDENT</t>
  </si>
  <si>
    <t>Residential</t>
  </si>
  <si>
    <t>Жилищный сектор</t>
  </si>
  <si>
    <t>居民生活</t>
  </si>
  <si>
    <t xml:space="preserve">Report fuels/electricity consumed by all households including "households with employed persons" (ISIC and NACE Divisions 97 and 98). </t>
  </si>
  <si>
    <t>Укажите топлива потреблённые всеми видами домашних хозяйств, включая "домашние хозяйства с  домработниками" (ISIC и NACE Разделы 97 и 98).</t>
  </si>
  <si>
    <t>包括家庭消费量，但用于交通运输的燃料除外。该项包括在居民生活消费总量中占比不大的有雇佣人员的家庭消费量[《国际标准行业分类》修订本第4版第97部分]。</t>
  </si>
  <si>
    <t>COMMPUB</t>
  </si>
  <si>
    <t>Commercial and public services</t>
  </si>
  <si>
    <t>Коммерческие предприятия и государственные учреждения</t>
  </si>
  <si>
    <t>商业和公共服务</t>
  </si>
  <si>
    <t>[ISIC Rev. 4 Divisions and NACE Divisions 33, 36, 37, 38, 39, 45, 46, 47, 52, 53, 55, 56, 58, 59, 60, 61, 62, 63, 64, 65, 66, 68, 69, 70, 71, 72, 73, 74, 75, 77, 78, 79, 80, 81, 82, 84 (exclude Class 8422), 85, 86, 87, 88, 90, 91, 92, 93, 94, 95, 96 and 99.]
Consumption by businesses and offices in the public and private sectors. Note that consumption at railway, bus stations, shipping piers and airports should be reported in this category and not shown in the Transport sector.</t>
  </si>
  <si>
    <t>[ISIC Разделы и NACE Разделы 33, 36, 37, 38, 39, 45, 46, 47, 52, 53, 55, 56, 58, 59, 60, 61, 62, 63, 64, 65, 66, 68, 69, 70, 71, 72, 73, 74, 75, 77, 78, 79, 80, 81, 82, 84 (без Класса 8422), 85, 86, 87, 88, 90, 91, 92, 93, 94, 95, 96 и 99.]
потребление бизнесами и офисами в общественном и частном секторе. Заметьте, что использование потреблениена железной дороге, автобусных станциях, речных причалах и в аэропортах следует указать в этой категории, а не в Секторе транспорта.</t>
  </si>
  <si>
    <t>【《国际标准行业分类》修订本第4版第33、36-39、45-47、52、53、55-56、58-66、68-75、77-82、84（不包括第8422类）、85-88、90-96和99部分】</t>
  </si>
  <si>
    <t>AGRICULT</t>
  </si>
  <si>
    <t>Agriculture/forestry</t>
  </si>
  <si>
    <t>Сельское хозяйство</t>
  </si>
  <si>
    <t>农业/林业</t>
  </si>
  <si>
    <t>[ISIC Rev. 4 and NACE Divisions 01 and 02].
Includes deliveries to users classified as agriculture, hunting and forestry by the ISIC, and therefore includes energy consumed by such users whether for traction (excluding agricultural highway use), power or heating (agricultural and domestic).</t>
  </si>
  <si>
    <t xml:space="preserve">[ISIC Разделы 01 и 02 (NACE Разделы 01 и 02).]
Укажите потребление пользователями классифицированными как сельское хозяйство, охота и лесное хозяйство. </t>
  </si>
  <si>
    <t>包括向《国际标准行业分类》项下列为农业、狩猎、林业用户输送的能源，因此，该项包括该等用户为牵引（农业公路使用除外）、电力或取暖而消费的能源【《国际标准行业分类》修订本第4版第01和02部分】。</t>
  </si>
  <si>
    <t>FISHING</t>
  </si>
  <si>
    <t>Fishing</t>
  </si>
  <si>
    <t>Рыболовство</t>
  </si>
  <si>
    <t>渔业</t>
  </si>
  <si>
    <t>Report fuels used for inland, coastal and deep–sea fishing. Fishing should cover fuels delivered to ships of all flags that have refuelled in the country (include international fishing). Also include energy used in the fishing industry as specified in ISIC Division 03 and NACE Division 03. Prior to 2007 edition, fishing was included with agriculture/forestry and this may continue to be the case for some countries.</t>
  </si>
  <si>
    <t>Укажите топлива используемые для речного, прибрежного и глубоко-морского рыболовства. Рыболовство должно включать топлива, поставленные на судна всех флагов, которые дозаправлялись в стране (включая международную рыбную ловлю). Включите также энергию использованную в рыболовной промышленности, как это указано в ISIC Разделе 03 и NACE Разделе 03.</t>
  </si>
  <si>
    <t>包括内陆、沿海和深海渔业使用的燃料。此项包括向在国境内添加燃料的、悬挂任何国旗的渔船（含国际捕鱼船）输送的燃料，以及渔业使用的能源【《国际标准行业分类》修订本第4版第03部分】。在2007年版本之前，渔业列入农业/林业项下，某些国家可能仍继续沿用这一做法。</t>
  </si>
  <si>
    <t>Non-specified (other)</t>
  </si>
  <si>
    <t>Неспецифицированные другие секторы</t>
  </si>
  <si>
    <t>未列明的产业（其他）</t>
  </si>
  <si>
    <t>Report activities not included elsewhere. This category includes military fuel use for all mobile and stationary consumption (e.g. ships, aircraft, road and energy used in living quarters), regardless of whether the fuel delivered is for the military of that country or for the military of another country.</t>
  </si>
  <si>
    <t>Укажите деятельности неуказанные в других категориях. Эта категория включает военное использование топлива как для мобильных, так и стационарных нужд (например: корабли, воздушные судна, дорожный транспорт и энергия используемая в жилых кварталах), независимо от того, была ли поставка осуществлена для военных целей отчитывающейся страны или для военных целей другой страны.</t>
  </si>
  <si>
    <t>包括未另行列明的所有燃料使用量，以及未提供单独数据的上述类别的消费量。此项包括用于所有机动和固定消费的军用燃料使用量（例如：船舶、飞机、道路和生活区域使用的能源），无论该燃料是输送给本国军队，还是输送给他国军队。</t>
  </si>
  <si>
    <t>NONENUSE</t>
  </si>
  <si>
    <t>Non-energy use</t>
  </si>
  <si>
    <t>Неэнергетическое использование</t>
  </si>
  <si>
    <t>非能源使用</t>
  </si>
  <si>
    <t>Non-energy use covers those fuels that are used as raw materials in the different sectors and are not consumed as a fuel or transformed into another fuel. Non-energy use is shown separately in final consumption under the heading non-energy use.</t>
  </si>
  <si>
    <t>Укажите энергетические продукты, использованные в виде сырья в разных секторах; т.е. не потреблённые в качестве топлива и не преобразованные в другое топливо. Укажите неэнергетическое потребление по секторам:</t>
  </si>
  <si>
    <t>非能源使用包括不同部门作为原材料使用的，且不作为燃料消费的或未转换为其他燃料的燃料。非能源使用在终端消费量中单独列示，列在非能源使用标题项下。</t>
  </si>
  <si>
    <t>NEINTREN</t>
  </si>
  <si>
    <t>Non-energy use industry/transformation/energy</t>
  </si>
  <si>
    <t>в промышленности/преобраз.-переработке/топл. энергетике</t>
  </si>
  <si>
    <t>工业/转换/能源部门非能源使用</t>
  </si>
  <si>
    <t>Non-energy in industry, transformation processes and energy industry own use.</t>
  </si>
  <si>
    <t>неэнергетическое  использование всех подсекторов промышленности, преобразования и энергетики. Например, укажите в этой категории использование угля для производства метанола или аммиака.</t>
  </si>
  <si>
    <t>工业、转换过程和能源行业自用项下的非能源使用量。</t>
  </si>
  <si>
    <t>NETRANS</t>
  </si>
  <si>
    <t>Non-energy use in transport</t>
  </si>
  <si>
    <t>в транспорте</t>
  </si>
  <si>
    <t xml:space="preserve">交通运输部门非能源用途            </t>
  </si>
  <si>
    <t>Non-energy use in transport.</t>
  </si>
  <si>
    <t xml:space="preserve">неэнергетическое использование во всех подсекторах транспортного сектора. </t>
  </si>
  <si>
    <t>交通运输部门项下的非能源使用量。</t>
  </si>
  <si>
    <t>NEOTHER</t>
  </si>
  <si>
    <t>Non-energy use in other</t>
  </si>
  <si>
    <t>в других секторах</t>
  </si>
  <si>
    <t xml:space="preserve">其他部门的非能源用途             </t>
  </si>
  <si>
    <t>Non-energy use in Commercial and public services, Residential, Agriculture and Not elsewhere specified - Other sectors.</t>
  </si>
  <si>
    <t>неэнергетическое использование в Секторе коммерческих и общественных услуг, Жилищном секторе, Сельском хозяйстве и в «Не включенные в другие подгруппы (Прочие секторы)».</t>
  </si>
  <si>
    <t>“其他部门”项下的非能源使用量。</t>
  </si>
  <si>
    <t>NECHEM</t>
  </si>
  <si>
    <t>Memo: Non-energy use chemical/petrochemical</t>
  </si>
  <si>
    <t>в т.ч. химикаты / нефтехимия</t>
  </si>
  <si>
    <t xml:space="preserve">备忘项化学/石化产业非能源使用 </t>
  </si>
  <si>
    <t>Report quantities used in the petrochemical industry for the purpose of producing ethylene, propylene, butylene, synthesis gas, aromatics, butadiene and other hydrocarbon–based raw materials in processes such as steam cracking, aromatics plants and steam reforming [part of ISIC Rev. 4 Group 201]. Exclude amounts of oil used for fuel purposes.</t>
  </si>
  <si>
    <t>Укажите объёмы которые используются в нефтехимической промышленности для производства этилена, пропилена, бутилена, синтезного газа, ароматических соединений,  бутадиена и прочего сырья базирующего на углеводородах в таких процессах, как паровой крекинг, установки по производству ароматических соединений и паровой реформинг. Исключите объёмы нефти использованные для топливных целей.</t>
  </si>
  <si>
    <t>化学/石化行业包括生产乙烯、丙烯、丁烯、合成气、芳香烃、丁二烯和其他烃基原材料的裂解和重整过程，例如蒸汽裂解、芳香烃厂和蒸汽重整【《国际标准行业分类》修订本第4版第201组的部分】。注：该流量在以往版本中被称作“其中：化工原料”。</t>
  </si>
  <si>
    <t>Electricity and heat output</t>
  </si>
  <si>
    <t>Производство электроэнерги и тепла</t>
  </si>
  <si>
    <t>电力和热力产量</t>
  </si>
  <si>
    <t>ELOUTPUT</t>
  </si>
  <si>
    <t>Electricity output in GWh</t>
  </si>
  <si>
    <t>Производство электроэнергии ● ГВт-ч</t>
  </si>
  <si>
    <t>电力产量（单位：吉瓦时）</t>
  </si>
  <si>
    <t>Shows the total number of GWh generated by power plants separated into electricity plants and CHP plants.</t>
  </si>
  <si>
    <t>это сумма электрической энергии, произведенной всеми видами соответствующих генерирующих установок (включая гидроаккумулирующие), измеряемая на выходных клеммах основных генераторов.</t>
  </si>
  <si>
    <t>发电厂生产的电力总量（单位：吉瓦时），分别按照发电厂和热电联产厂列示。</t>
  </si>
  <si>
    <t>ELMAINE</t>
  </si>
  <si>
    <t>Elec output-main activity producer ele plants</t>
  </si>
  <si>
    <t>电力产量-公用发电厂</t>
  </si>
  <si>
    <t>ELAUTOE</t>
  </si>
  <si>
    <t>Elec output-autoproducer electricity plants</t>
  </si>
  <si>
    <t>电力产量-自用发电厂</t>
  </si>
  <si>
    <t>ELMAINC</t>
  </si>
  <si>
    <t>Elec output-main activity producer CHP plants</t>
  </si>
  <si>
    <t>电力产量-公用热电联产厂</t>
  </si>
  <si>
    <t>ELAUTOC</t>
  </si>
  <si>
    <t>Elec output-autoproducer CHP plants</t>
  </si>
  <si>
    <t>电力产量-自用热电联产厂</t>
  </si>
  <si>
    <t>HEMAINC</t>
  </si>
  <si>
    <t>Heat output-main activity producer CHP plants</t>
  </si>
  <si>
    <t>热力产量-公用热电联产厂</t>
  </si>
  <si>
    <t>HEAUTOC</t>
  </si>
  <si>
    <t>Heat output-autoproducer CHP plants</t>
  </si>
  <si>
    <t>热力产量-自用热电联产厂</t>
  </si>
  <si>
    <t>HEMAINH</t>
  </si>
  <si>
    <t>Heat output-main activity producer heat plant</t>
  </si>
  <si>
    <t>热力产量-公用热力厂</t>
  </si>
  <si>
    <t>HEAUTOH</t>
  </si>
  <si>
    <t>Heat output-autoproducer heat plants</t>
  </si>
  <si>
    <t>热力产量-自用热力厂</t>
  </si>
  <si>
    <t>HEATOUT</t>
  </si>
  <si>
    <t>Heat output in TJ</t>
  </si>
  <si>
    <t>Производство тепла ● ТДж</t>
  </si>
  <si>
    <t>热力产量（单位：太焦耳）</t>
  </si>
  <si>
    <t>Shows the total amount of TJ generated by power plants separated into CHP plants and heat plants.</t>
  </si>
  <si>
    <t>это общий объем тепла, произведенного установками, включающий тепло, использованное вспомогательным оборудованием установок, которое использует горячую жидкость (отопление помещения, нагрев жидкого топлива и т.д.); потери при обмене теплом между установкой и сетью, а также тепло химических процессов, использованное в виде первичной энергии.</t>
  </si>
  <si>
    <t>热力厂生产的热力总量（单位：太焦耳），分别按照热电联产厂和热力厂列示。</t>
  </si>
  <si>
    <t>MHYDPUMP</t>
  </si>
  <si>
    <t>Memo: Main activity producer - pumped hydro</t>
  </si>
  <si>
    <t>Примечание: Производитель по основному виду деятельности – ГАЭС</t>
  </si>
  <si>
    <t>备忘项：公用发电厂 - 抽水蓄能电站</t>
  </si>
  <si>
    <t>AHYDPUMP</t>
  </si>
  <si>
    <t>Memo: Autoproducer - pumped hydro</t>
  </si>
  <si>
    <t>Примечание: Производитель для своих нужд – ГАЭС</t>
  </si>
  <si>
    <t xml:space="preserve">备忘录：自用发电厂 - 抽水蓄能电站        </t>
  </si>
  <si>
    <t>VENTED</t>
  </si>
  <si>
    <t>Memo: gas vented</t>
  </si>
  <si>
    <t>Примечание: выпускаемый газ</t>
  </si>
  <si>
    <t>备忘录：放空气</t>
  </si>
  <si>
    <t>FLARED</t>
  </si>
  <si>
    <t>Memo: gas flared</t>
  </si>
  <si>
    <t>Примечание: сжигаемый газ</t>
  </si>
  <si>
    <t>备忘录：火炬气</t>
  </si>
  <si>
    <t>Exceptions</t>
  </si>
  <si>
    <t>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t>
  </si>
  <si>
    <t>Exception</t>
  </si>
  <si>
    <t>Country</t>
  </si>
  <si>
    <t>Product</t>
  </si>
  <si>
    <t>Cell</t>
  </si>
  <si>
    <t>Default</t>
  </si>
  <si>
    <t>New</t>
  </si>
  <si>
    <t>GERMANY, GREECE, TURKEY</t>
  </si>
  <si>
    <t>LIGNITE, TBKB</t>
  </si>
  <si>
    <t>$I$29</t>
  </si>
  <si>
    <t>=-VLOOKUP($B29,RawData,I$4,FALSE)*VLOOKUP(I$3,ConversionFactors,$D29,FALSE)/MJ_per_toe</t>
  </si>
  <si>
    <t>=-VLOOKUP($B29,RawData,I$4,FALSE)*VLOOKUP(I$3,ConversionFactors,MATCH("NIND",CFHeadings,0),FALSE)/MJ_per_toe</t>
  </si>
  <si>
    <t>LIGNITE, EBKB</t>
  </si>
  <si>
    <t>$I$44</t>
  </si>
  <si>
    <t>=-VLOOKUP($B44,RawData,I$4,FALSE)*VLOOKUP(I$3,ConversionFactors,$D44,FALSE)/MJ_per_toe</t>
  </si>
  <si>
    <t>=-VLOOKUP($B44,RawData,I$4,FALSE)*VLOOKUP(I$3,ConversionFactors,MATCH("NIND",CFHeadings,0),FALSE)/MJ_per_toe</t>
  </si>
  <si>
    <t>IRELAND</t>
  </si>
  <si>
    <t>PEAT, TBKB</t>
  </si>
  <si>
    <t>$T$29</t>
  </si>
  <si>
    <t>=-VLOOKUP($B29,RawData,T$4,FALSE)*VLOOKUP(T$3,ConversionFactors,$D29,FALSE)/MJ_per_toe</t>
  </si>
  <si>
    <t>=-VLOOKUP($B29,RawData,T$4,FALSE)*VLOOKUP(T$3,ConversionFactors,MATCH("NIND",CFHeadings,0),FALSE)/MJ_per_toe</t>
  </si>
  <si>
    <t>PEAT, EBKB</t>
  </si>
  <si>
    <t>$T$44</t>
  </si>
  <si>
    <t>=-VLOOKUP($B44,RawData,T$4,FALSE)*VLOOKUP(T$3,ConversionFactors,$D44,FALSE)/MJ_per_toe</t>
  </si>
  <si>
    <t>=-VLOOKUP($B44,RawData,T$4,FALSE)*VLOOKUP(T$3,ConversionFactors,MATCH("NIND",CFHeadings,0),FALSE)/MJ_per_toe</t>
  </si>
  <si>
    <t>UNITED KINGDOM</t>
  </si>
  <si>
    <t>COKEOVGS, TCOKEOVS</t>
  </si>
  <si>
    <t>$P$25</t>
  </si>
  <si>
    <t>=(SUM(VLOOKUP($B5,RawData,P$4,FALSE),VLOOKUP("OSNATGAS",RawData,P$4,FALSE),VLOOKUP("OSOIL",RawData,P$4,FALSE),VLOOKUP("OSRENEW",RawData,P$4,FALSE),VLOOKUP("OSNONSPEC",RawData,P$4,FALSE),-VLOOKUP($B25,RawData,P$4,FALSE))*VLOOKUP(P$3,ConversionFactors,2,FALSE))*TJ_to_ktoe</t>
  </si>
  <si>
    <t>=(SUM(VLOOKUP($B5,RawData,P$4,FALSE),VLOOKUP("OSOIL",RawData,P$4,FALSE),VLOOKUP("OSRENEW",RawData,P$4,FALSE),-VLOOKUP($B25,RawData,P$4,FALSE))*VLOOKUP(P$3,ConversionFactors,2,FALSE))*TJ_to_ktoe</t>
  </si>
  <si>
    <t>COKEOVGS, TNONSPEC</t>
  </si>
  <si>
    <t>$P$35</t>
  </si>
  <si>
    <t>=(-VLOOKUP($B35,RawData,P$4,FALSE)*VLOOKUP(P$3,ConversionFactors,2,FALSE))*TJ_to_ktoe</t>
  </si>
  <si>
    <t>=(SUM(VLOOKUP("OSNATGAS",RawData,P$4,FALSE),VLOOKUP("OSNONSPEC",RawData,P$4,FALSE),-VLOOKUP($B35,RawData,P$4,FALSE))*VLOOKUP(P$3,ConversionFactors,2,FALSE))*TJ_to_ktoe</t>
  </si>
  <si>
    <t xml:space="preserve">PEOPLE'S REPUBLIC OF CHINA           </t>
  </si>
  <si>
    <t>COKCOAL, TGASWKS</t>
  </si>
  <si>
    <t>$F$26</t>
  </si>
  <si>
    <t>=-VLOOKUP($B26,RawData,F$4,FALSE)*VLOOKUP(F$3,ConversionFactors,$D26,FALSE)/MJ_per_toe</t>
  </si>
  <si>
    <t>=-VLOOKUP($B26,RawData,F$4,FALSE)*VLOOKUP(F$3,ConversionFactors,MATCH("NBLAST",CFHeadings,0),FALSE)/MJ_per_toe</t>
  </si>
  <si>
    <t>BITCOAL, TGASWKS</t>
  </si>
  <si>
    <t>$G$26</t>
  </si>
  <si>
    <t>=-VLOOKUP($B26,RawData,G$4,FALSE)*VLOOKUP(G$3,ConversionFactors,$D26,FALSE)/MJ_per_toe</t>
  </si>
  <si>
    <t>=-VLOOKUP($B26,RawData,G$4,FALSE)*VLOOKUP(G$3,ConversionFactors,MATCH("NBLAST",CFHeadings,0),FALSE)/MJ_per_toe</t>
  </si>
  <si>
    <t>OVENCOKE, TGASWKS</t>
  </si>
  <si>
    <t>$K$26</t>
  </si>
  <si>
    <t>=-VLOOKUP($B26,RawData,K$4,FALSE)*VLOOKUP(K$3,ConversionFactors,$D26,FALSE)/MJ_per_toe</t>
  </si>
  <si>
    <t>=-VLOOKUP($B26,RawData,K$4,FALSE)*VLOOKUP(K$3,ConversionFactors,MATCH("NBLAST",CFHeadings,0),FALSE)/MJ_per_toe</t>
  </si>
  <si>
    <t>COKCOAL, EGASWKS</t>
  </si>
  <si>
    <t>$F$41</t>
  </si>
  <si>
    <t>=-VLOOKUP($B41,RawData,F$4,FALSE)*VLOOKUP(F$3,ConversionFactors,$D41,FALSE)/MJ_per_toe</t>
  </si>
  <si>
    <t>=-VLOOKUP($B41,RawData,F$4,FALSE)*VLOOKUP(F$3,ConversionFactors,MATCH("NBLAST",CFHeadings,0),FALSE)/MJ_per_toe</t>
  </si>
  <si>
    <t>BITCOAL, EGASWKS</t>
  </si>
  <si>
    <t>$G$41</t>
  </si>
  <si>
    <t>=-VLOOKUP($B41,RawData,G$4,FALSE)*VLOOKUP(G$3,ConversionFactors,$D41,FALSE)/MJ_per_toe</t>
  </si>
  <si>
    <t>=-VLOOKUP($B41,RawData,G$4,FALSE)*VLOOKUP(G$3,ConversionFactors,MATCH("NBLAST",CFHeadings,0),FALSE)/MJ_per_toe</t>
  </si>
  <si>
    <t>OVENCOKE, EGASWKS</t>
  </si>
  <si>
    <t>$K$41</t>
  </si>
  <si>
    <t>=-VLOOKUP($B41,RawData,K$4,FALSE)*VLOOKUP(K$3,ConversionFactors,$D41,FALSE)/MJ_per_toe</t>
  </si>
  <si>
    <t>=-VLOOKUP($B41,RawData,K$4,FALSE)*VLOOKUP(K$3,ConversionFactors,MATCH("NBLAST",CFHeadings,0),FALSE)/MJ_per_toe</t>
  </si>
  <si>
    <t>SOUTH AFRICA</t>
  </si>
  <si>
    <t>BITCOAL, TCOALLIQ</t>
  </si>
  <si>
    <t>$G$31</t>
  </si>
  <si>
    <t>=-VLOOKUP($B31,RawData,G$4,FALSE)*VLOOKUP(G$3,ConversionFactors,$D31,FALSE)/MJ_per_toe</t>
  </si>
  <si>
    <t>=-VLOOKUP($B31,RawData,G$4,FALSE)*0.4968</t>
  </si>
  <si>
    <t>BITCOAL, ECOALLIQ</t>
  </si>
  <si>
    <t>$G$46</t>
  </si>
  <si>
    <t>=-VLOOKUP($B46,RawData,G$4,FALSE)*VLOOKUP(G$3,ConversionFactors,$D46,FALSE)/MJ_per_toe</t>
  </si>
  <si>
    <t>=-VLOOKUP($B46,RawData,G$4,FALSE)*0.4968</t>
  </si>
  <si>
    <t>GERMANY</t>
  </si>
  <si>
    <t>NONCRUDE, TCOALLIQ</t>
  </si>
  <si>
    <t>$AA$31</t>
  </si>
  <si>
    <t>=(VLOOKUP("OSCOAL",RawData,AA$4,FALSE)-VLOOKUP($B31,RawData,AA$4,FALSE))*VLOOKUP(AA$3,ConversionFactors,2,FALSE)/MJ_per_toe</t>
  </si>
  <si>
    <t>=-VLOOKUP($B31,RawData,AA$4,FALSE)*VLOOKUP(AA$3,ConversionFactors,2,FALSE)/MJ_per_toe</t>
  </si>
  <si>
    <t>NONCRUDE, TCOKEOVS</t>
  </si>
  <si>
    <t>$AA$25</t>
  </si>
  <si>
    <t>=-VLOOKUP($B25,RawData,AA$4,FALSE)*VLOOKUP(AA$3,ConversionFactors,2,FALSE)/MJ_per_toe</t>
  </si>
  <si>
    <t>=(VLOOKUP("OSCOAL",RawData,AA$4,FALSE)-VLOOKUP($B25,RawData,AA$4,FALSE))*VLOOKUP(AA$3,ConversionFactors,2,FALSE)/MJ_per_toe</t>
  </si>
  <si>
    <t>AUSTRALIA, CANADA, FINLAND, HUNGARY, IRELAND, MEXICO, POLAND, PORTUGAL, SLOVAK REPUBLIC, TURKEY, UNITED STATES, BRAZIL, BULGARIA, CROATIA, ROMANIA, SERBIA</t>
  </si>
  <si>
    <t>NONCRUDE, TGTL</t>
  </si>
  <si>
    <t>$AA$32</t>
  </si>
  <si>
    <t>=(VLOOKUP("OSNATGAS",RawData,AA$4,FALSE)-VLOOKUP($B32,RawData,AA$4,FALSE))*VLOOKUP(AA$3,ConversionFactors,2,FALSE)/MJ_per_toe</t>
  </si>
  <si>
    <t>=-VLOOKUP($B32,RawData,AA$4,FALSE)*VLOOKUP(AA$3,ConversionFactors,2,FALSE)/MJ_per_toe</t>
  </si>
  <si>
    <t>NONCRUDE, TNONSPEC</t>
  </si>
  <si>
    <t>$AA$35</t>
  </si>
  <si>
    <t>=(VLOOKUP("OSNONSPEC",RawData,AA$4,FALSE)-VLOOKUP($B35,RawData,AA$4,FALSE))*VLOOKUP(AA$3,ConversionFactors,2,FALSE)/MJ_per_toe</t>
  </si>
  <si>
    <t>=(VLOOKUP("OSNATGAS",RawData,AA$4,FALSE)-VLOOKUP($B35,RawData,AA$4,FALSE))*VLOOKUP(AA$3,ConversionFactors,2,FALSE)/MJ_per_toe</t>
  </si>
  <si>
    <t>ESTONIA</t>
  </si>
  <si>
    <t>OILSHALE, TCOALLIQ</t>
  </si>
  <si>
    <t>$V$31</t>
  </si>
  <si>
    <t>=-VLOOKUP($B31,RawData,V$4,FALSE)*VLOOKUP(V$3,ConversionFactors,$D31,FALSE)/MJ_per_toe</t>
  </si>
  <si>
    <t>=-VLOOKUP($B31,RawData,V$4,FALSE)*VLOOKUP(V$3,ConversionFactors,MATCH("NCOKEOVS",CFHeadings,0),FALSE)/MJ_per_toe</t>
  </si>
  <si>
    <t>UKRAINE</t>
  </si>
  <si>
    <t>=(VLOOKUP("OSCOAL",RawData,AA$4,FALSE)-VLOOKUP($B35,RawData,AA$4,FALSE))*VLOOKUP(AA$3,ConversionFactors,2,FALSE)/MJ_per_toe</t>
  </si>
  <si>
    <t>LITHUANIA</t>
  </si>
  <si>
    <t>ADDITIVE, INDPROD</t>
  </si>
  <si>
    <t>$Z$5</t>
  </si>
  <si>
    <t>=SUM(VLOOKUP($B5,RawData,Z$4,FALSE),VLOOKUP("OSCOAL",RawData,Z$4,FALSE),VLOOKUP("OSNATGAS",RawData,Z$4,FALSE),VLOOKUP("OSOIL",RawData,Z$4,FALSE),VLOOKUP("OSRENEW",RawData,Z$4,FALSE),VLOOKUP("OSNONSPEC",RawData,Z$4,FALSE))*VLOOKUP(Z$3,ConversionFactors,$D5,FALSE)/MJ_per_toe</t>
  </si>
  <si>
    <t>=SUM(VLOOKUP($B5,RawData,Z$4,FALSE),VLOOKUP("OSCOAL",RawData,Z$4,FALSE),VLOOKUP("OSOIL",RawData,Z$4,FALSE),VLOOKUP("OSRENEW",RawData,Z$4,FALSE),VLOOKUP("OSNONSPEC",RawData,Z$4,FALSE))*VLOOKUP(Z$3,ConversionFactors,$D5,FALSE)/MJ_per_toe</t>
  </si>
  <si>
    <t>ADDITIVE, TNONSPEC</t>
  </si>
  <si>
    <t>$Z$35</t>
  </si>
  <si>
    <t>=-VLOOKUP($B35,RawData,Z$4,FALSE)*VLOOKUP(Z$3,ConversionFactors,2,FALSE)/MJ_per_toe</t>
  </si>
  <si>
    <t>=VLOOKUP("OSNATGAS",RawData,Z$4,FALSE)*VLOOKUP(Z$3,ConversionFactors,2,FALSE)/MJ_per_toe</t>
  </si>
  <si>
    <t>BELGIUM, CANADA, CHILE, CZECH REPUBLIC, DENMARK, FINLAND, FRANCE, GERMANY, ISRAEL, ITALY, JAPAN, NEW ZEALAND, NORWAY, POLAND, SLOVAK REPUBLIC, SPAIN, SWITZERLAND, UNITED STATES, LATVIA, RUSSIAN FEDERATION</t>
  </si>
  <si>
    <t>OTHER, MAINELEC</t>
  </si>
  <si>
    <t>$BL$15</t>
  </si>
  <si>
    <t>=-VLOOKUP("ELMAINE",RawData,BL$4,FALSE)*GWh_to_ktoe</t>
  </si>
  <si>
    <t>OTHER, AUTOELEC</t>
  </si>
  <si>
    <t>$BL$16</t>
  </si>
  <si>
    <t>=-VLOOKUP("ELAUTOE",RawData,BL$4,FALSE)*GWh_to_ktoe</t>
  </si>
  <si>
    <t>OTHER, MAINCHP</t>
  </si>
  <si>
    <t>$BL$17</t>
  </si>
  <si>
    <t>=-VLOOKUP("ELMAINC",RawData,BL$4,FALSE)*GWh_to_ktoe-VLOOKUP("HEMAINC",RawData,BL$4,FALSE)*TJ_to_ktoe</t>
  </si>
  <si>
    <t>OTHER, AUTOCHP</t>
  </si>
  <si>
    <t>$BL$18</t>
  </si>
  <si>
    <t>=-VLOOKUP("ELAUTOC",RawData,BL$4,FALSE)*GWh_to_ktoe-VLOOKUP("HEAUTOC",RawData,BL$4,FALSE)*TJ_to_ktoe</t>
  </si>
  <si>
    <t>OTHER, MAINHEAT</t>
  </si>
  <si>
    <t>$BL$19</t>
  </si>
  <si>
    <t>=-VLOOKUP("HEMAINH",RawData,BL$4,FALSE)*TJ_to_ktoe</t>
  </si>
  <si>
    <t>OTHER, AUTOHEAT</t>
  </si>
  <si>
    <t>$BL$20</t>
  </si>
  <si>
    <t>=-VLOOKUP("HEAUTOH",RawData,BL$4,FALSE)*TJ_to_ktoe</t>
  </si>
  <si>
    <t>SWEDEN</t>
  </si>
  <si>
    <t>HEAT, THEAT</t>
  </si>
  <si>
    <t>$BN$21</t>
  </si>
  <si>
    <t>=VLOOKUP($B21,RawData,MATCH("ELECTR",RawDataHeadings,0),FALSE)*GWh_to_ktoe</t>
  </si>
  <si>
    <t>=(VLOOKUP("HEATOUT",RawData,MATCH("HEATPUMP",RawDataHeadings,0),FALSE)*TJ_to_ktoe-VLOOKUP("THEAT",RawData,MATCH("ELECTR",RawDataHeadings,0),FALSE)*GWh_to_ktoe)*0.21+VLOOKUP("THEAT",RawData,MATCH("ELECTR",RawDataHeadings,0),FALSE)*GWh_to_ktoe</t>
  </si>
  <si>
    <t>HEAT, INDPROD</t>
  </si>
  <si>
    <t>$BN$5</t>
  </si>
  <si>
    <t>=(VLOOKUP("HEATOUT",RawData,MATCH("HEATPUMP",RawDataHeadings,0),FALSE)+VLOOKUP("HEATOUT",RawData,MATCH("CHEMHEAT",RawDataHeadings,0),FALSE))*TJ_to_ktoe-VLOOKUP("THEAT",RawData,MATCH("ELECTR",RawDataHeadings,0),FALSE)*GWh_to_ktoe</t>
  </si>
  <si>
    <t>=(VLOOKUP("HEATOUT",RawData,MATCH("HEATPUMP",RawDataHeadings,0),FALSE)*TJ_to_ktoe-VLOOKUP("THEAT",RawData,MATCH("ELECTR",RawDataHeadings,0),FALSE)*GWh_to_ktoe)*0.79+VLOOKUP("HEATOUT",RawData,MATCH("CHEMHEAT",RawDataHeadings,0),FALSE)*TJ_to_ktoe</t>
  </si>
  <si>
    <t>BAHRAIN</t>
  </si>
  <si>
    <t>REFFEEDS,TPETCHEM</t>
  </si>
  <si>
    <t>$Y$28</t>
  </si>
  <si>
    <t>=VLOOKUP("OSOIL",RawData,Y$4,FALSE)*VLOOKUP(Y$3,ConversionFactors,2,FALSE)/MJ_per_toe</t>
  </si>
  <si>
    <t>=-VLOOKUP($B28,RawData,Y$4,FALSE)*VLOOKUP(Y$3,ConversionFactors,2,FALSE)/MJ_per_toe</t>
  </si>
  <si>
    <t>REFFEEDS,TNONSPEC</t>
  </si>
  <si>
    <t>$Y$35</t>
  </si>
  <si>
    <t>=-VLOOKUP($B35,RawData,Y$4,FALSE)*VLOOKUP(Y$3,ConversionFactors,2,FALSE)/MJ_per_toe</t>
  </si>
  <si>
    <t>HUNGARY</t>
  </si>
  <si>
    <t>FINLAND</t>
  </si>
  <si>
    <t>OGASES, TBLASTFUR</t>
  </si>
  <si>
    <t>$R$27</t>
  </si>
  <si>
    <t>=SUM(VLOOKUP($B5,RawData,R$4,FALSE),VLOOKUP("OSNATGAS",RawData,R$4,FALSE),VLOOKUP("OSOIL",RawData,R$4,FALSE),VLOOKUP("OSRENEW",RawData,R$4,FALSE),VLOOKUP("OSNONSPEC",RawData,R$4,FALSE),-VLOOKUP($B27,RawData,R$4,FALSE))*VLOOKUP(R$3,ConversionFactors,2,FALSE)*TJ_to_ktoe</t>
  </si>
  <si>
    <t>OGASES, TNONSPEC</t>
  </si>
  <si>
    <t>$R$35</t>
  </si>
  <si>
    <t>=-VLOOKUP($B35,RawData,R$4,FALSE)*VLOOKUP(R$3,ConversionFactors,2,FALSE)*TJ_to_ktoe</t>
  </si>
  <si>
    <t>Oil Products (Kl)</t>
  </si>
  <si>
    <t>Oil Products (kt)</t>
  </si>
  <si>
    <t>SHORT NAMES</t>
  </si>
  <si>
    <t xml:space="preserve">  </t>
  </si>
  <si>
    <t xml:space="preserve">Memo: main activity producer - pumped hydro  </t>
  </si>
  <si>
    <t xml:space="preserve">Memo: autoproducer - pumped hydro            </t>
  </si>
  <si>
    <t xml:space="preserve">Memo: gas vented                             </t>
  </si>
  <si>
    <t xml:space="preserve">Memo: gas flared                             </t>
  </si>
  <si>
    <t>TFC test 1</t>
  </si>
  <si>
    <t>TFC test 2</t>
  </si>
  <si>
    <t>Average NCV</t>
  </si>
  <si>
    <t>When preparing the file, macro pastes these values as defaults.</t>
  </si>
  <si>
    <t>SHORT NAME</t>
  </si>
  <si>
    <t>NAVERAGE</t>
  </si>
  <si>
    <t>NINDPROD</t>
  </si>
  <si>
    <t>NOSOURCES</t>
  </si>
  <si>
    <t>NIMPORTS</t>
  </si>
  <si>
    <t>NEXPORTS</t>
  </si>
  <si>
    <t>NCOKEOVS</t>
  </si>
  <si>
    <t>NBLAST</t>
  </si>
  <si>
    <t>NMAIN</t>
  </si>
  <si>
    <t>NAUTOELEC</t>
  </si>
  <si>
    <t>NMAINCHP</t>
  </si>
  <si>
    <t>NAUTOCHP</t>
  </si>
  <si>
    <t>NMAINHEAT</t>
  </si>
  <si>
    <t>NAUTOHEAT</t>
  </si>
  <si>
    <t>NIND</t>
  </si>
  <si>
    <t>NOTHER</t>
  </si>
  <si>
    <t>Not used</t>
  </si>
  <si>
    <t>Reporting unit: kt</t>
  </si>
  <si>
    <t>not used</t>
  </si>
  <si>
    <t>Reporting unit: l</t>
  </si>
  <si>
    <t>Need the calculation in the cell to match in TJ in Disaggregated Balance sheet</t>
  </si>
  <si>
    <t>Other conversion factors</t>
  </si>
  <si>
    <t>Net to gross -ratios for gases</t>
  </si>
  <si>
    <t>These gases are reported in the "Data in physical units" worksheet in terajoules, using their gross calorific value. To calculate the net heat content of a gas from its gross heat content, the gross heat content is multiplied by the appropriate factor.</t>
  </si>
  <si>
    <t>Common energy unit conversions</t>
  </si>
  <si>
    <t>From kt to kg</t>
  </si>
  <si>
    <t>From kJ to TJ</t>
  </si>
  <si>
    <t>From TJ to ktoe</t>
  </si>
  <si>
    <t>From kJ to ktoe</t>
  </si>
  <si>
    <t>From GWh to ktoe</t>
  </si>
  <si>
    <t>Average NCV (kJ/kg)</t>
  </si>
  <si>
    <t>Conversion Barrel/tonne</t>
  </si>
  <si>
    <t>Conversion barrel to l</t>
  </si>
  <si>
    <t>Average NCV (kJ/l)</t>
  </si>
  <si>
    <t>Table lookup for default NCVs for petroleum products by region</t>
  </si>
  <si>
    <t>Region where country belongs to:</t>
  </si>
  <si>
    <t>Europe</t>
  </si>
  <si>
    <t>Americas</t>
  </si>
  <si>
    <t>Asia Oceania</t>
  </si>
  <si>
    <t>Non-OECD</t>
  </si>
  <si>
    <t>China</t>
  </si>
  <si>
    <t>Refinery Gas</t>
  </si>
  <si>
    <t>Liquefied Petroleum Gases</t>
  </si>
  <si>
    <t>Motor Gasoline excl. bio</t>
  </si>
  <si>
    <t>Aviation Gasoline</t>
  </si>
  <si>
    <t>Gasoline Type Jet Fuel</t>
  </si>
  <si>
    <t>Kerosene Type Jet Fuel excl. bio</t>
  </si>
  <si>
    <t>Kerosene</t>
  </si>
  <si>
    <t>Gas/Diesel Oil  excl. bio</t>
  </si>
  <si>
    <t>Fuel Oil</t>
  </si>
  <si>
    <t>White Spirit</t>
  </si>
  <si>
    <t>Paraffin Waxes</t>
  </si>
  <si>
    <t>Petroleum Coke</t>
  </si>
  <si>
    <t>Non+specified Oil Products</t>
  </si>
  <si>
    <t>Safety precaution: VLOOKUPS don't work properly sometimes and the formulas crash. There is a macro in the "utils"-module that copies these ones in place if that happens. However, it has to be run manually.</t>
  </si>
  <si>
    <t>Product Shortname</t>
  </si>
  <si>
    <t>Coal CV Shortname</t>
  </si>
  <si>
    <t>Coal
CV Col Number</t>
  </si>
  <si>
    <t>Product Short Name</t>
  </si>
  <si>
    <t>Data in Physical Units Column Number</t>
  </si>
  <si>
    <t>(VLOOKUP($B5,RawData,E$4,FALSE)*VLOOKUP(E$3,ConversionFactors,$D5,FALSE)+VLOOKUP("OSCOAL",RawData,E$4,FALSE)*VLOOKUP(E$3,ConversionFactors,MATCH("NOSOURCES",CFHeadings,0),FALSE))/1000</t>
  </si>
  <si>
    <t>(VLOOKUP($B5,RawData,F$4,FALSE)*VLOOKUP(F$3,ConversionFactors,$D5,FALSE)+VLOOKUP("OSCOAL",RawData,F$4,FALSE)*VLOOKUP(F$3,ConversionFactors,MATCH("NOSOURCES",CFHeadings,0),FALSE))/1000</t>
  </si>
  <si>
    <t>(VLOOKUP($B5,RawData,G$4,FALSE)*VLOOKUP(G$3,ConversionFactors,$D5,FALSE)+VLOOKUP("OSCOAL",RawData,G$4,FALSE)*VLOOKUP(G$3,ConversionFactors,MATCH("NOSOURCES",CFHeadings,0),FALSE))/1000</t>
  </si>
  <si>
    <t>(VLOOKUP($B5,RawData,H$4,FALSE)*VLOOKUP(H$3,ConversionFactors,$D5,FALSE)+VLOOKUP("OSCOAL",RawData,H$4,FALSE)*VLOOKUP(H$3,ConversionFactors,MATCH("NOSOURCES",CFHeadings,0),FALSE))/1000</t>
  </si>
  <si>
    <t>(VLOOKUP($B5,RawData,I$4,FALSE)*VLOOKUP(I$3,ConversionFactors,$D5,FALSE)+VLOOKUP("OSCOAL",RawData,I$4,FALSE)*VLOOKUP(I$3,ConversionFactors,MATCH("NOSOURCES",CFHeadings,0),FALSE))/1000</t>
  </si>
  <si>
    <t>(VLOOKUP($B5,RawData,T$4,FALSE)*VLOOKUP(T$3,ConversionFactors,$D5,FALSE)+VLOOKUP("OSCOAL",RawData,T$4,FALSE)*VLOOKUP(T$3,ConversionFactors,MATCH("NOSOURCES",CFHeadings,0),FALSE))/1000</t>
  </si>
  <si>
    <t>(VLOOKUP($B5,RawData,V$4,FALSE)*VLOOKUP(V$3,ConversionFactors,$D5,FALSE)+VLOOKUP("OSCOAL",RawData,V$4,FALSE)*VLOOKUP(V$3,ConversionFactors,MATCH("NOSOURCES",CFHeadings,0),FALSE))/1000</t>
  </si>
  <si>
    <t>VLOOKUP($B5,RawData,W$4,FALSE)*VLOOKUP(W$3,ConversionFactors,$D5,FALSE)/1000</t>
  </si>
  <si>
    <t>VLOOKUP($B5,RawData,X$4,FALSE)*VLOOKUP(X$3,ConversionFactors,$D5,FALSE)/1000</t>
  </si>
  <si>
    <t>VLOOKUP($B5,RawData,Y$4,FALSE)*VLOOKUP(Y$3,ConversionFactors,$D5,FALSE)/1000</t>
  </si>
  <si>
    <t>SUM(VLOOKUP($B5,RawData,Z$4,FALSE),VLOOKUP("OSCOAL",RawData,Z$4,FALSE),VLOOKUP("OSNATGAS",RawData,Z$4,FALSE),VLOOKUP("OSOIL",RawData,Z$4,FALSE),VLOOKUP("OSRENEW",RawData,Z$4,FALSE),VLOOKUP("OSNONSPEC",RawData,Z$4,FALSE))*VLOOKUP(Z$3,ConversionFactors,$D5,FALSE)/1000</t>
  </si>
  <si>
    <t>VLOOKUP($B5,RawData,AA$4,FALSE)*VLOOKUP(AA$3,ConversionFactors,$D5,FALSE)/1000</t>
  </si>
  <si>
    <t>VLOOKUP($B5,RawData,AS$4,FALSE)*VLOOKUP(AS$3,ConversionFactors,2,FALSE)*1</t>
  </si>
  <si>
    <t>VLOOKUP($B5,RawData,AT$4,FALSE)*1</t>
  </si>
  <si>
    <t>VLOOKUP($B5,RawData,AU$4,FALSE)*1</t>
  </si>
  <si>
    <t>VLOOKUP($B5,RawData,AV$4,FALSE)*1</t>
  </si>
  <si>
    <t>VLOOKUP($B5,RawData,AW$4,FALSE)*1</t>
  </si>
  <si>
    <t>VLOOKUP($B5,RawData,AX$4,FALSE)*1</t>
  </si>
  <si>
    <t>VLOOKUP($B5,RawData,AY$4,FALSE)*VLOOKUP(AY$3,ConversionFactors,2,FALSE)/1000</t>
  </si>
  <si>
    <t>VLOOKUP($B5,RawData,AZ$4,FALSE)*VLOOKUP(AZ$3,ConversionFactors,2,FALSE)/1000</t>
  </si>
  <si>
    <t>VLOOKUP($B5,RawData,BA$4,FALSE)*VLOOKUP(BA$3,ConversionFactors,2,FALSE)/1000</t>
  </si>
  <si>
    <t>VLOOKUP($B5,RawData,BB$4,FALSE)*VLOOKUP(BB$3,ConversionFactors,2,FALSE)/1000</t>
  </si>
  <si>
    <t>VLOOKUP($B5,RawData,BC$4,FALSE)*1</t>
  </si>
  <si>
    <t>VLOOKUP($B5,RawData,BE$4,FALSE)-BE14</t>
  </si>
  <si>
    <t>VLOOKUP($B5,RawData,BF$4,FALSE)-BF14</t>
  </si>
  <si>
    <t>VLOOKUP($B5,RawData,BG$4,FALSE)*1</t>
  </si>
  <si>
    <t>VLOOKUP($B5,RawData,BH$4,FALSE)-BH14</t>
  </si>
  <si>
    <t>VLOOKUP($B5,RawData,BI$4,FALSE)*1</t>
  </si>
  <si>
    <t>VLOOKUP($B5,RawData,BJ$4,FALSE)-BJ14</t>
  </si>
  <si>
    <t>VLOOKUP($B5,RawData,BK$4,FALSE)-BK14</t>
  </si>
  <si>
    <t>VLOOKUP($B5,RawData,BL$4,FALSE)-BL14</t>
  </si>
  <si>
    <t>(VLOOKUP("HEATOUT",RawData,MATCH("HEATPUMP",RawDataHeadings,0),FALSE)+VLOOKUP("HEATOUT",RawData,MATCH("CHEMHEAT",RawDataHeadings,0),FALSE))*1-VLOOKUP("THEAT",RawData,MATCH("ELECTR",RawDataHeadings,0),FALSE)*3.6</t>
  </si>
  <si>
    <t>VLOOKUP($B6,RawData,E$4,FALSE)*VLOOKUP(E$3,ConversionFactors,$D6,FALSE)/1000</t>
  </si>
  <si>
    <t>VLOOKUP($B6,RawData,F$4,FALSE)*VLOOKUP(F$3,ConversionFactors,$D6,FALSE)/1000</t>
  </si>
  <si>
    <t>VLOOKUP($B6,RawData,G$4,FALSE)*VLOOKUP(G$3,ConversionFactors,$D6,FALSE)/1000</t>
  </si>
  <si>
    <t>VLOOKUP($B6,RawData,H$4,FALSE)*VLOOKUP(H$3,ConversionFactors,$D6,FALSE)/1000</t>
  </si>
  <si>
    <t>VLOOKUP($B6,RawData,I$4,FALSE)*VLOOKUP(I$3,ConversionFactors,$D6,FALSE)/1000</t>
  </si>
  <si>
    <t>VLOOKUP($B6,RawData,J$4,FALSE)*VLOOKUP(J$3,ConversionFactors,$D6,FALSE)/1000</t>
  </si>
  <si>
    <t>VLOOKUP($B6,RawData,K$4,FALSE)*VLOOKUP(K$3,ConversionFactors,$D6,FALSE)/1000</t>
  </si>
  <si>
    <t>VLOOKUP($B6,RawData,L$4,FALSE)*VLOOKUP(L$3,ConversionFactors,$D6,FALSE)/1000</t>
  </si>
  <si>
    <t>VLOOKUP($B6,RawData,M$4,FALSE)*VLOOKUP(M$3,ConversionFactors,$D6,FALSE)/1000</t>
  </si>
  <si>
    <t>VLOOKUP($B6,RawData,N$4,FALSE)*VLOOKUP(N$3,ConversionFactors,$D6,FALSE)/1000</t>
  </si>
  <si>
    <t>(VLOOKUP($B6,RawData,O$4,FALSE)*VLOOKUP(O$3,ConversionFactors,2,FALSE))*1</t>
  </si>
  <si>
    <t>(VLOOKUP($B6,RawData,P$4,FALSE)*VLOOKUP(P$3,ConversionFactors,2,FALSE))*1</t>
  </si>
  <si>
    <t>(VLOOKUP($B6,RawData,Q$4,FALSE)*VLOOKUP(Q$3,ConversionFactors,2,FALSE))*1</t>
  </si>
  <si>
    <t>(VLOOKUP($B6,RawData,R$4,FALSE)*VLOOKUP(R$3,ConversionFactors,2,FALSE))*1</t>
  </si>
  <si>
    <t>VLOOKUP($B6,RawData,T$4,FALSE)*VLOOKUP(T$3,ConversionFactors,$D6,FALSE)/1000</t>
  </si>
  <si>
    <t>VLOOKUP($B6,RawData,U$4,FALSE)*VLOOKUP(U$3,ConversionFactors,$D6,FALSE)/1000</t>
  </si>
  <si>
    <t>VLOOKUP($B6,RawData,V$4,FALSE)*VLOOKUP(V$3,ConversionFactors,$D6,FALSE)/1000</t>
  </si>
  <si>
    <t>VLOOKUP($B6,RawData,W$4,FALSE)*VLOOKUP(W$3,ConversionFactors,$D6,FALSE)/1000</t>
  </si>
  <si>
    <t>VLOOKUP($B6,RawData,X$4,FALSE)*VLOOKUP(X$3,ConversionFactors,$D6,FALSE)/1000</t>
  </si>
  <si>
    <t>VLOOKUP($B6,RawData,Y$4,FALSE)*VLOOKUP(Y$3,ConversionFactors,$D6,FALSE)/1000</t>
  </si>
  <si>
    <t>VLOOKUP($B6,RawData,Z$4,FALSE)*VLOOKUP(Z$3,ConversionFactors,$D6,FALSE)/1000</t>
  </si>
  <si>
    <t>VLOOKUP($B6,RawData,AA$4,FALSE)*VLOOKUP(AA$3,ConversionFactors,$D6,FALSE)/1000</t>
  </si>
  <si>
    <t>VLOOKUP($B6,RawData,AB$4,FALSE)*VLOOKUP(AB$3,ConversionFactors,2,FALSE)/1000</t>
  </si>
  <si>
    <t>VLOOKUP($B6,RawData,AC$4,FALSE)*VLOOKUP(AC$3,ConversionFactors,2,FALSE)/1000</t>
  </si>
  <si>
    <t>VLOOKUP($B6,RawData,AD$4,FALSE)*VLOOKUP(AD$3,ConversionFactors,2,FALSE)/1000</t>
  </si>
  <si>
    <t>VLOOKUP($B6,RawData,AE$4,FALSE)*VLOOKUP(AE$3,ConversionFactors,2,FALSE)/1000</t>
  </si>
  <si>
    <t>VLOOKUP($B6,RawData,AF$4,FALSE)*VLOOKUP(AF$3,ConversionFactors,2,FALSE)/1000</t>
  </si>
  <si>
    <t>VLOOKUP($B6,RawData,AG$4,FALSE)*VLOOKUP(AG$3,ConversionFactors,2,FALSE)/1000</t>
  </si>
  <si>
    <t>VLOOKUP($B6,RawData,AH$4,FALSE)*VLOOKUP(AH$3,ConversionFactors,2,FALSE)/1000</t>
  </si>
  <si>
    <t>VLOOKUP($B6,RawData,AI$4,FALSE)*VLOOKUP(AI$3,ConversionFactors,2,FALSE)/1000</t>
  </si>
  <si>
    <t>VLOOKUP($B6,RawData,AJ$4,FALSE)*VLOOKUP(AJ$3,ConversionFactors,2,FALSE)/1000</t>
  </si>
  <si>
    <t>VLOOKUP($B6,RawData,AK$4,FALSE)*VLOOKUP(AK$3,ConversionFactors,2,FALSE)/1000</t>
  </si>
  <si>
    <t>VLOOKUP($B6,RawData,AL$4,FALSE)*VLOOKUP(AL$3,ConversionFactors,2,FALSE)/1000</t>
  </si>
  <si>
    <t>VLOOKUP($B6,RawData,AM$4,FALSE)*VLOOKUP(AM$3,ConversionFactors,2,FALSE)/1000</t>
  </si>
  <si>
    <t>VLOOKUP($B6,RawData,AN$4,FALSE)*VLOOKUP(AN$3,ConversionFactors,2,FALSE)/1000</t>
  </si>
  <si>
    <t>VLOOKUP($B6,RawData,AO$4,FALSE)*VLOOKUP(AO$3,ConversionFactors,2,FALSE)/1000</t>
  </si>
  <si>
    <t>VLOOKUP($B6,RawData,AP$4,FALSE)*VLOOKUP(AP$3,ConversionFactors,2,FALSE)/1000</t>
  </si>
  <si>
    <t>VLOOKUP($B6,RawData,AQ$4,FALSE)*VLOOKUP(AQ$3,ConversionFactors,2,FALSE)/1000</t>
  </si>
  <si>
    <t>VLOOKUP($B6,RawData,AR$4,FALSE)*VLOOKUP(AR$3,ConversionFactors,2,FALSE)/1000</t>
  </si>
  <si>
    <t>VLOOKUP($B6,RawData,AS$4,FALSE)*VLOOKUP(AS$3,ConversionFactors,2,FALSE)*1</t>
  </si>
  <si>
    <t>VLOOKUP($B6,RawData,AT$4,FALSE)*1</t>
  </si>
  <si>
    <t>VLOOKUP($B6,RawData,AU$4,FALSE)*1</t>
  </si>
  <si>
    <t>VLOOKUP($B6,RawData,AV$4,FALSE)*1</t>
  </si>
  <si>
    <t>VLOOKUP($B6,RawData,AW$4,FALSE)*1</t>
  </si>
  <si>
    <t>VLOOKUP($B6,RawData,AX$4,FALSE)*1</t>
  </si>
  <si>
    <t>VLOOKUP($B6,RawData,AY$4,FALSE)*VLOOKUP(AY$3,ConversionFactors,2,FALSE)/1000</t>
  </si>
  <si>
    <t>VLOOKUP($B6,RawData,AZ$4,FALSE)*VLOOKUP(AZ$3,ConversionFactors,2,FALSE)/1000</t>
  </si>
  <si>
    <t>VLOOKUP($B6,RawData,BA$4,FALSE)*VLOOKUP(BA$3,ConversionFactors,2,FALSE)/1000</t>
  </si>
  <si>
    <t>VLOOKUP($B6,RawData,BB$4,FALSE)*VLOOKUP(BB$3,ConversionFactors,2,FALSE)/1000</t>
  </si>
  <si>
    <t>VLOOKUP($B6,RawData,BC$4,FALSE)*1</t>
  </si>
  <si>
    <t>VLOOKUP($B6,RawData,BD$4,FALSE)*VLOOKUP(BD$3,ConversionFactors,2,FALSE)/1000</t>
  </si>
  <si>
    <t>VLOOKUP($B6,RawData,BM$4,FALSE)*3.6</t>
  </si>
  <si>
    <t>VLOOKUP($B6,RawData,BN$4,FALSE)*1</t>
  </si>
  <si>
    <t>VLOOKUP($B7,RawData,E$4,FALSE)*VLOOKUP(E$3,ConversionFactors,$D7,FALSE)/1000</t>
  </si>
  <si>
    <t>VLOOKUP($B7,RawData,F$4,FALSE)*VLOOKUP(F$3,ConversionFactors,$D7,FALSE)/1000</t>
  </si>
  <si>
    <t>VLOOKUP($B7,RawData,G$4,FALSE)*VLOOKUP(G$3,ConversionFactors,$D7,FALSE)/1000</t>
  </si>
  <si>
    <t>VLOOKUP($B7,RawData,H$4,FALSE)*VLOOKUP(H$3,ConversionFactors,$D7,FALSE)/1000</t>
  </si>
  <si>
    <t>VLOOKUP($B7,RawData,I$4,FALSE)*VLOOKUP(I$3,ConversionFactors,$D7,FALSE)/1000</t>
  </si>
  <si>
    <t>VLOOKUP($B7,RawData,J$4,FALSE)*VLOOKUP(J$3,ConversionFactors,$D7,FALSE)/1000</t>
  </si>
  <si>
    <t>VLOOKUP($B7,RawData,K$4,FALSE)*VLOOKUP(K$3,ConversionFactors,$D7,FALSE)/1000</t>
  </si>
  <si>
    <t>VLOOKUP($B7,RawData,L$4,FALSE)*VLOOKUP(L$3,ConversionFactors,$D7,FALSE)/1000</t>
  </si>
  <si>
    <t>VLOOKUP($B7,RawData,M$4,FALSE)*VLOOKUP(M$3,ConversionFactors,$D7,FALSE)/1000</t>
  </si>
  <si>
    <t>VLOOKUP($B7,RawData,N$4,FALSE)*VLOOKUP(N$3,ConversionFactors,$D7,FALSE)/1000</t>
  </si>
  <si>
    <t>(VLOOKUP($B7,RawData,O$4,FALSE)*VLOOKUP(O$3,ConversionFactors,2,FALSE))*1</t>
  </si>
  <si>
    <t>(VLOOKUP($B7,RawData,P$4,FALSE)*VLOOKUP(P$3,ConversionFactors,2,FALSE))*1</t>
  </si>
  <si>
    <t>(VLOOKUP($B7,RawData,Q$4,FALSE)*VLOOKUP(Q$3,ConversionFactors,2,FALSE))*1</t>
  </si>
  <si>
    <t>(VLOOKUP($B7,RawData,R$4,FALSE)*VLOOKUP(R$3,ConversionFactors,2,FALSE))*1</t>
  </si>
  <si>
    <t>VLOOKUP($B7,RawData,T$4,FALSE)*VLOOKUP(T$3,ConversionFactors,$D7,FALSE)/1000</t>
  </si>
  <si>
    <t>VLOOKUP($B7,RawData,U$4,FALSE)*VLOOKUP(U$3,ConversionFactors,$D7,FALSE)/1000</t>
  </si>
  <si>
    <t>VLOOKUP($B7,RawData,V$4,FALSE)*VLOOKUP(V$3,ConversionFactors,$D7,FALSE)/1000</t>
  </si>
  <si>
    <t>VLOOKUP($B7,RawData,W$4,FALSE)*VLOOKUP(W$3,ConversionFactors,$D7,FALSE)/1000</t>
  </si>
  <si>
    <t>VLOOKUP($B7,RawData,X$4,FALSE)*VLOOKUP(X$3,ConversionFactors,$D7,FALSE)/1000</t>
  </si>
  <si>
    <t>VLOOKUP($B7,RawData,Y$4,FALSE)*VLOOKUP(Y$3,ConversionFactors,$D7,FALSE)/1000</t>
  </si>
  <si>
    <t>VLOOKUP($B7,RawData,Z$4,FALSE)*VLOOKUP(Z$3,ConversionFactors,$D7,FALSE)/1000</t>
  </si>
  <si>
    <t>VLOOKUP($B7,RawData,AA$4,FALSE)*VLOOKUP(AA$3,ConversionFactors,$D7,FALSE)/1000</t>
  </si>
  <si>
    <t>VLOOKUP($B7,RawData,AB$4,FALSE)*VLOOKUP(AB$3,ConversionFactors,2,FALSE)/1000</t>
  </si>
  <si>
    <t>VLOOKUP($B7,RawData,AC$4,FALSE)*VLOOKUP(AC$3,ConversionFactors,2,FALSE)/1000</t>
  </si>
  <si>
    <t>VLOOKUP($B7,RawData,AD$4,FALSE)*VLOOKUP(AD$3,ConversionFactors,2,FALSE)/1000</t>
  </si>
  <si>
    <t>VLOOKUP($B7,RawData,AE$4,FALSE)*VLOOKUP(AE$3,ConversionFactors,2,FALSE)/1000</t>
  </si>
  <si>
    <t>VLOOKUP($B7,RawData,AF$4,FALSE)*VLOOKUP(AF$3,ConversionFactors,2,FALSE)/1000</t>
  </si>
  <si>
    <t>VLOOKUP($B7,RawData,AG$4,FALSE)*VLOOKUP(AG$3,ConversionFactors,2,FALSE)/1000</t>
  </si>
  <si>
    <t>VLOOKUP($B7,RawData,AH$4,FALSE)*VLOOKUP(AH$3,ConversionFactors,2,FALSE)/1000</t>
  </si>
  <si>
    <t>VLOOKUP($B7,RawData,AI$4,FALSE)*VLOOKUP(AI$3,ConversionFactors,2,FALSE)/1000</t>
  </si>
  <si>
    <t>VLOOKUP($B7,RawData,AJ$4,FALSE)*VLOOKUP(AJ$3,ConversionFactors,2,FALSE)/1000</t>
  </si>
  <si>
    <t>VLOOKUP($B7,RawData,AK$4,FALSE)*VLOOKUP(AK$3,ConversionFactors,2,FALSE)/1000</t>
  </si>
  <si>
    <t>VLOOKUP($B7,RawData,AL$4,FALSE)*VLOOKUP(AL$3,ConversionFactors,2,FALSE)/1000</t>
  </si>
  <si>
    <t>VLOOKUP($B7,RawData,AM$4,FALSE)*VLOOKUP(AM$3,ConversionFactors,2,FALSE)/1000</t>
  </si>
  <si>
    <t>VLOOKUP($B7,RawData,AN$4,FALSE)*VLOOKUP(AN$3,ConversionFactors,2,FALSE)/1000</t>
  </si>
  <si>
    <t>VLOOKUP($B7,RawData,AO$4,FALSE)*VLOOKUP(AO$3,ConversionFactors,2,FALSE)/1000</t>
  </si>
  <si>
    <t>VLOOKUP($B7,RawData,AP$4,FALSE)*VLOOKUP(AP$3,ConversionFactors,2,FALSE)/1000</t>
  </si>
  <si>
    <t>VLOOKUP($B7,RawData,AQ$4,FALSE)*VLOOKUP(AQ$3,ConversionFactors,2,FALSE)/1000</t>
  </si>
  <si>
    <t>VLOOKUP($B7,RawData,AR$4,FALSE)*VLOOKUP(AR$3,ConversionFactors,2,FALSE)/1000</t>
  </si>
  <si>
    <t>VLOOKUP($B7,RawData,AS$4,FALSE)*VLOOKUP(AS$3,ConversionFactors,2,FALSE)*1</t>
  </si>
  <si>
    <t>VLOOKUP($B7,RawData,AT$4,FALSE)*1</t>
  </si>
  <si>
    <t>VLOOKUP($B7,RawData,AU$4,FALSE)*1</t>
  </si>
  <si>
    <t>VLOOKUP($B7,RawData,AV$4,FALSE)*1</t>
  </si>
  <si>
    <t>VLOOKUP($B7,RawData,AW$4,FALSE)*1</t>
  </si>
  <si>
    <t>VLOOKUP($B7,RawData,AX$4,FALSE)*1</t>
  </si>
  <si>
    <t>VLOOKUP($B7,RawData,AY$4,FALSE)*VLOOKUP(AY$3,ConversionFactors,2,FALSE)/1000</t>
  </si>
  <si>
    <t>VLOOKUP($B7,RawData,AZ$4,FALSE)*VLOOKUP(AZ$3,ConversionFactors,2,FALSE)/1000</t>
  </si>
  <si>
    <t>VLOOKUP($B7,RawData,BA$4,FALSE)*VLOOKUP(BA$3,ConversionFactors,2,FALSE)/1000</t>
  </si>
  <si>
    <t>VLOOKUP($B7,RawData,BB$4,FALSE)*VLOOKUP(BB$3,ConversionFactors,2,FALSE)/1000</t>
  </si>
  <si>
    <t>VLOOKUP($B7,RawData,BC$4,FALSE)*1</t>
  </si>
  <si>
    <t>VLOOKUP($B7,RawData,BD$4,FALSE)*VLOOKUP(BD$3,ConversionFactors,2,FALSE)/1000</t>
  </si>
  <si>
    <t>VLOOKUP($B7,RawData,BM$4,FALSE)*3.6</t>
  </si>
  <si>
    <t>VLOOKUP($B7,RawData,BN$4,FALSE)*1</t>
  </si>
  <si>
    <t>VLOOKUP($B8,RawData,E$4,FALSE)*VLOOKUP(E$3,ConversionFactors,$D8,FALSE)/1000</t>
  </si>
  <si>
    <t>VLOOKUP($B8,RawData,F$4,FALSE)*VLOOKUP(F$3,ConversionFactors,$D8,FALSE)/1000</t>
  </si>
  <si>
    <t>VLOOKUP($B8,RawData,G$4,FALSE)*VLOOKUP(G$3,ConversionFactors,$D8,FALSE)/1000</t>
  </si>
  <si>
    <t>VLOOKUP($B8,RawData,H$4,FALSE)*VLOOKUP(H$3,ConversionFactors,$D8,FALSE)/1000</t>
  </si>
  <si>
    <t>VLOOKUP($B8,RawData,I$4,FALSE)*VLOOKUP(I$3,ConversionFactors,$D8,FALSE)/1000</t>
  </si>
  <si>
    <t>VLOOKUP($B8,RawData,J$4,FALSE)*VLOOKUP(J$3,ConversionFactors,$D8,FALSE)/1000</t>
  </si>
  <si>
    <t>VLOOKUP($B8,RawData,K$4,FALSE)*VLOOKUP(K$3,ConversionFactors,$D8,FALSE)/1000</t>
  </si>
  <si>
    <t>VLOOKUP($B8,RawData,L$4,FALSE)*VLOOKUP(L$3,ConversionFactors,$D8,FALSE)/1000</t>
  </si>
  <si>
    <t>VLOOKUP($B8,RawData,M$4,FALSE)*VLOOKUP(M$3,ConversionFactors,$D8,FALSE)/1000</t>
  </si>
  <si>
    <t>VLOOKUP($B8,RawData,N$4,FALSE)*VLOOKUP(N$3,ConversionFactors,$D8,FALSE)/1000</t>
  </si>
  <si>
    <t>(VLOOKUP($B8,RawData,O$4,FALSE)*VLOOKUP(O$3,ConversionFactors,2,FALSE))*1</t>
  </si>
  <si>
    <t>(VLOOKUP($B8,RawData,P$4,FALSE)*VLOOKUP(P$3,ConversionFactors,2,FALSE))*1</t>
  </si>
  <si>
    <t>(VLOOKUP($B8,RawData,Q$4,FALSE)*VLOOKUP(Q$3,ConversionFactors,2,FALSE))*1</t>
  </si>
  <si>
    <t>(VLOOKUP($B8,RawData,R$4,FALSE)*VLOOKUP(R$3,ConversionFactors,2,FALSE))*1</t>
  </si>
  <si>
    <t>VLOOKUP($B8,RawData,T$4,FALSE)*VLOOKUP(T$3,ConversionFactors,$D8,FALSE)/1000</t>
  </si>
  <si>
    <t>VLOOKUP($B8,RawData,U$4,FALSE)*VLOOKUP(U$3,ConversionFactors,$D8,FALSE)/1000</t>
  </si>
  <si>
    <t>VLOOKUP($B8,RawData,V$4,FALSE)*VLOOKUP(V$3,ConversionFactors,$D8,FALSE)/1000</t>
  </si>
  <si>
    <t>VLOOKUP($B8,RawData,W$4,FALSE)*VLOOKUP(W$3,ConversionFactors,2,FALSE)/1000</t>
  </si>
  <si>
    <t>VLOOKUP($B8,RawData,X$4,FALSE)*VLOOKUP(X$3,ConversionFactors,2,FALSE)/1000</t>
  </si>
  <si>
    <t>VLOOKUP($B8,RawData,Y$4,FALSE)*VLOOKUP(Y$3,ConversionFactors,2,FALSE)/1000</t>
  </si>
  <si>
    <t>VLOOKUP($B8,RawData,Z$4,FALSE)*VLOOKUP(Z$3,ConversionFactors,2,FALSE)/1000</t>
  </si>
  <si>
    <t>VLOOKUP($B8,RawData,AA$4,FALSE)*VLOOKUP(AA$3,ConversionFactors,2,FALSE)/1000</t>
  </si>
  <si>
    <t>VLOOKUP($B8,RawData,AB$4,FALSE)*VLOOKUP(AB$3,ConversionFactors,2,FALSE)/1000</t>
  </si>
  <si>
    <t>VLOOKUP($B8,RawData,AC$4,FALSE)*VLOOKUP(AC$3,ConversionFactors,2,FALSE)/1000</t>
  </si>
  <si>
    <t>VLOOKUP($B8,RawData,AD$4,FALSE)*VLOOKUP(AD$3,ConversionFactors,2,FALSE)/1000</t>
  </si>
  <si>
    <t>VLOOKUP($B8,RawData,AE$4,FALSE)*VLOOKUP(AE$3,ConversionFactors,2,FALSE)/1000</t>
  </si>
  <si>
    <t>VLOOKUP($B8,RawData,AF$4,FALSE)*VLOOKUP(AF$3,ConversionFactors,2,FALSE)/1000</t>
  </si>
  <si>
    <t>VLOOKUP($B8,RawData,AG$4,FALSE)*VLOOKUP(AG$3,ConversionFactors,2,FALSE)/1000</t>
  </si>
  <si>
    <t>VLOOKUP($B8,RawData,AH$4,FALSE)*VLOOKUP(AH$3,ConversionFactors,2,FALSE)/1000</t>
  </si>
  <si>
    <t>VLOOKUP($B8,RawData,AI$4,FALSE)*VLOOKUP(AI$3,ConversionFactors,2,FALSE)/1000</t>
  </si>
  <si>
    <t>VLOOKUP($B8,RawData,AJ$4,FALSE)*VLOOKUP(AJ$3,ConversionFactors,2,FALSE)/1000</t>
  </si>
  <si>
    <t>VLOOKUP($B8,RawData,AK$4,FALSE)*VLOOKUP(AK$3,ConversionFactors,2,FALSE)/1000</t>
  </si>
  <si>
    <t>VLOOKUP($B8,RawData,AL$4,FALSE)*VLOOKUP(AL$3,ConversionFactors,2,FALSE)/1000</t>
  </si>
  <si>
    <t>VLOOKUP($B8,RawData,AM$4,FALSE)*VLOOKUP(AM$3,ConversionFactors,2,FALSE)/1000</t>
  </si>
  <si>
    <t>VLOOKUP($B8,RawData,AN$4,FALSE)*VLOOKUP(AN$3,ConversionFactors,2,FALSE)/1000</t>
  </si>
  <si>
    <t>VLOOKUP($B8,RawData,AO$4,FALSE)*VLOOKUP(AO$3,ConversionFactors,2,FALSE)/1000</t>
  </si>
  <si>
    <t>VLOOKUP($B8,RawData,AP$4,FALSE)*VLOOKUP(AP$3,ConversionFactors,2,FALSE)/1000</t>
  </si>
  <si>
    <t>VLOOKUP($B8,RawData,AQ$4,FALSE)*VLOOKUP(AQ$3,ConversionFactors,2,FALSE)/1000</t>
  </si>
  <si>
    <t>VLOOKUP($B8,RawData,AR$4,FALSE)*VLOOKUP(AR$3,ConversionFactors,2,FALSE)/1000</t>
  </si>
  <si>
    <t>VLOOKUP($B8,RawData,AS$4,FALSE)*VLOOKUP(AS$3,ConversionFactors,2,FALSE)*1</t>
  </si>
  <si>
    <t>VLOOKUP($B8,RawData,AT$4,FALSE)*1</t>
  </si>
  <si>
    <t>VLOOKUP($B8,RawData,AU$4,FALSE)*1</t>
  </si>
  <si>
    <t>VLOOKUP($B8,RawData,AV$4,FALSE)*1</t>
  </si>
  <si>
    <t>VLOOKUP($B8,RawData,AW$4,FALSE)*1</t>
  </si>
  <si>
    <t>VLOOKUP($B8,RawData,AX$4,FALSE)*1</t>
  </si>
  <si>
    <t>VLOOKUP($B8,RawData,AY$4,FALSE)*VLOOKUP(AY$3,ConversionFactors,2,FALSE)/1000</t>
  </si>
  <si>
    <t>VLOOKUP($B8,RawData,AZ$4,FALSE)*VLOOKUP(AZ$3,ConversionFactors,2,FALSE)/1000</t>
  </si>
  <si>
    <t>VLOOKUP($B8,RawData,BA$4,FALSE)*VLOOKUP(BA$3,ConversionFactors,2,FALSE)/1000</t>
  </si>
  <si>
    <t>VLOOKUP($B8,RawData,BB$4,FALSE)*VLOOKUP(BB$3,ConversionFactors,2,FALSE)/1000</t>
  </si>
  <si>
    <t>VLOOKUP($B8,RawData,BC$4,FALSE)*1</t>
  </si>
  <si>
    <t>VLOOKUP($B8,RawData,BD$4,FALSE)*VLOOKUP(BD$3,ConversionFactors,2,FALSE)/1000</t>
  </si>
  <si>
    <t>VLOOKUP($B8,RawData,BM$4,FALSE)*3.6</t>
  </si>
  <si>
    <t>VLOOKUP($B8,RawData,BN$4,FALSE)*1</t>
  </si>
  <si>
    <t>VLOOKUP($B9,RawData,E$4,FALSE)*VLOOKUP(E$3,ConversionFactors,$D9,FALSE)/1000</t>
  </si>
  <si>
    <t>VLOOKUP($B9,RawData,F$4,FALSE)*VLOOKUP(F$3,ConversionFactors,$D9,FALSE)/1000</t>
  </si>
  <si>
    <t>VLOOKUP($B9,RawData,G$4,FALSE)*VLOOKUP(G$3,ConversionFactors,$D9,FALSE)/1000</t>
  </si>
  <si>
    <t>VLOOKUP($B9,RawData,H$4,FALSE)*VLOOKUP(H$3,ConversionFactors,$D9,FALSE)/1000</t>
  </si>
  <si>
    <t>VLOOKUP($B9,RawData,I$4,FALSE)*VLOOKUP(I$3,ConversionFactors,$D9,FALSE)/1000</t>
  </si>
  <si>
    <t>VLOOKUP($B9,RawData,J$4,FALSE)*VLOOKUP(J$3,ConversionFactors,$D9,FALSE)/1000</t>
  </si>
  <si>
    <t>VLOOKUP($B9,RawData,K$4,FALSE)*VLOOKUP(K$3,ConversionFactors,$D9,FALSE)/1000</t>
  </si>
  <si>
    <t>VLOOKUP($B9,RawData,L$4,FALSE)*VLOOKUP(L$3,ConversionFactors,$D9,FALSE)/1000</t>
  </si>
  <si>
    <t>VLOOKUP($B9,RawData,M$4,FALSE)*VLOOKUP(M$3,ConversionFactors,$D9,FALSE)/1000</t>
  </si>
  <si>
    <t>VLOOKUP($B9,RawData,N$4,FALSE)*VLOOKUP(N$3,ConversionFactors,$D9,FALSE)/1000</t>
  </si>
  <si>
    <t>(VLOOKUP($B9,RawData,O$4,FALSE)*VLOOKUP(O$3,ConversionFactors,2,FALSE))*1</t>
  </si>
  <si>
    <t>(VLOOKUP($B9,RawData,P$4,FALSE)*VLOOKUP(P$3,ConversionFactors,2,FALSE))*1</t>
  </si>
  <si>
    <t>(VLOOKUP($B9,RawData,Q$4,FALSE)*VLOOKUP(Q$3,ConversionFactors,2,FALSE))*1</t>
  </si>
  <si>
    <t>(VLOOKUP($B9,RawData,R$4,FALSE)*VLOOKUP(R$3,ConversionFactors,2,FALSE))*1</t>
  </si>
  <si>
    <t>VLOOKUP($B9,RawData,T$4,FALSE)*VLOOKUP(T$3,ConversionFactors,$D9,FALSE)/1000</t>
  </si>
  <si>
    <t>VLOOKUP($B9,RawData,U$4,FALSE)*VLOOKUP(U$3,ConversionFactors,$D9,FALSE)/1000</t>
  </si>
  <si>
    <t>VLOOKUP($B9,RawData,V$4,FALSE)*VLOOKUP(V$3,ConversionFactors,$D9,FALSE)/1000</t>
  </si>
  <si>
    <t>VLOOKUP($B9,RawData,W$4,FALSE)*VLOOKUP(W$3,ConversionFactors,2,FALSE)/1000</t>
  </si>
  <si>
    <t>VLOOKUP($B9,RawData,X$4,FALSE)*VLOOKUP(X$3,ConversionFactors,2,FALSE)/1000</t>
  </si>
  <si>
    <t>VLOOKUP($B9,RawData,Y$4,FALSE)*VLOOKUP(Y$3,ConversionFactors,2,FALSE)/1000</t>
  </si>
  <si>
    <t>VLOOKUP($B9,RawData,Z$4,FALSE)*VLOOKUP(Z$3,ConversionFactors,2,FALSE)/1000</t>
  </si>
  <si>
    <t>VLOOKUP($B9,RawData,AA$4,FALSE)*VLOOKUP(AA$3,ConversionFactors,2,FALSE)/1000</t>
  </si>
  <si>
    <t>VLOOKUP($B9,RawData,AB$4,FALSE)*VLOOKUP(AB$3,ConversionFactors,2,FALSE)/1000</t>
  </si>
  <si>
    <t>VLOOKUP($B9,RawData,AC$4,FALSE)*VLOOKUP(AC$3,ConversionFactors,2,FALSE)/1000</t>
  </si>
  <si>
    <t>VLOOKUP($B9,RawData,AD$4,FALSE)*VLOOKUP(AD$3,ConversionFactors,2,FALSE)/1000</t>
  </si>
  <si>
    <t>VLOOKUP($B9,RawData,AE$4,FALSE)*VLOOKUP(AE$3,ConversionFactors,2,FALSE)/1000</t>
  </si>
  <si>
    <t>VLOOKUP($B9,RawData,AF$4,FALSE)*VLOOKUP(AF$3,ConversionFactors,2,FALSE)/1000</t>
  </si>
  <si>
    <t>VLOOKUP($B9,RawData,AG$4,FALSE)*VLOOKUP(AG$3,ConversionFactors,2,FALSE)/1000</t>
  </si>
  <si>
    <t>VLOOKUP($B9,RawData,AH$4,FALSE)*VLOOKUP(AH$3,ConversionFactors,2,FALSE)/1000</t>
  </si>
  <si>
    <t>VLOOKUP($B9,RawData,AI$4,FALSE)*VLOOKUP(AI$3,ConversionFactors,2,FALSE)/1000</t>
  </si>
  <si>
    <t>VLOOKUP($B9,RawData,AJ$4,FALSE)*VLOOKUP(AJ$3,ConversionFactors,2,FALSE)/1000</t>
  </si>
  <si>
    <t>VLOOKUP($B9,RawData,AK$4,FALSE)*VLOOKUP(AK$3,ConversionFactors,2,FALSE)/1000</t>
  </si>
  <si>
    <t>VLOOKUP($B9,RawData,AL$4,FALSE)*VLOOKUP(AL$3,ConversionFactors,2,FALSE)/1000</t>
  </si>
  <si>
    <t>VLOOKUP($B9,RawData,AM$4,FALSE)*VLOOKUP(AM$3,ConversionFactors,2,FALSE)/1000</t>
  </si>
  <si>
    <t>VLOOKUP($B9,RawData,AN$4,FALSE)*VLOOKUP(AN$3,ConversionFactors,2,FALSE)/1000</t>
  </si>
  <si>
    <t>VLOOKUP($B9,RawData,AO$4,FALSE)*VLOOKUP(AO$3,ConversionFactors,2,FALSE)/1000</t>
  </si>
  <si>
    <t>VLOOKUP($B9,RawData,AP$4,FALSE)*VLOOKUP(AP$3,ConversionFactors,2,FALSE)/1000</t>
  </si>
  <si>
    <t>VLOOKUP($B9,RawData,AQ$4,FALSE)*VLOOKUP(AQ$3,ConversionFactors,2,FALSE)/1000</t>
  </si>
  <si>
    <t>VLOOKUP($B9,RawData,AR$4,FALSE)*VLOOKUP(AR$3,ConversionFactors,2,FALSE)/1000</t>
  </si>
  <si>
    <t>VLOOKUP($B9,RawData,AS$4,FALSE)*VLOOKUP(AS$3,ConversionFactors,2,FALSE)*1</t>
  </si>
  <si>
    <t>VLOOKUP($B9,RawData,AT$4,FALSE)*1</t>
  </si>
  <si>
    <t>VLOOKUP($B9,RawData,AU$4,FALSE)*1</t>
  </si>
  <si>
    <t>VLOOKUP($B9,RawData,AV$4,FALSE)*1</t>
  </si>
  <si>
    <t>VLOOKUP($B9,RawData,AW$4,FALSE)*1</t>
  </si>
  <si>
    <t>VLOOKUP($B9,RawData,AX$4,FALSE)*1</t>
  </si>
  <si>
    <t>VLOOKUP($B9,RawData,AY$4,FALSE)*VLOOKUP(AY$3,ConversionFactors,2,FALSE)/1000</t>
  </si>
  <si>
    <t>VLOOKUP($B9,RawData,AZ$4,FALSE)*VLOOKUP(AZ$3,ConversionFactors,2,FALSE)/1000</t>
  </si>
  <si>
    <t>VLOOKUP($B9,RawData,BA$4,FALSE)*VLOOKUP(BA$3,ConversionFactors,2,FALSE)/1000</t>
  </si>
  <si>
    <t>VLOOKUP($B9,RawData,BB$4,FALSE)*VLOOKUP(BB$3,ConversionFactors,2,FALSE)/1000</t>
  </si>
  <si>
    <t>VLOOKUP($B9,RawData,BC$4,FALSE)*1</t>
  </si>
  <si>
    <t>VLOOKUP($B9,RawData,BD$4,FALSE)*VLOOKUP(BD$3,ConversionFactors,2,FALSE)/1000</t>
  </si>
  <si>
    <t>VLOOKUP($B9,RawData,BG$4,FALSE)*1</t>
  </si>
  <si>
    <t>VLOOKUP($B9,RawData,BI$4,FALSE)*1</t>
  </si>
  <si>
    <t>VLOOKUP($B9,RawData,BM$4,FALSE)*3.6</t>
  </si>
  <si>
    <t>VLOOKUP($B9,RawData,BN$4,FALSE)*1</t>
  </si>
  <si>
    <t>VLOOKUP($B10,RawData,E$4,FALSE)*VLOOKUP(E$3,ConversionFactors,$D10,FALSE)/1000</t>
  </si>
  <si>
    <t>VLOOKUP($B10,RawData,F$4,FALSE)*VLOOKUP(F$3,ConversionFactors,$D10,FALSE)/1000</t>
  </si>
  <si>
    <t>VLOOKUP($B10,RawData,G$4,FALSE)*VLOOKUP(G$3,ConversionFactors,$D10,FALSE)/1000</t>
  </si>
  <si>
    <t>VLOOKUP($B10,RawData,H$4,FALSE)*VLOOKUP(H$3,ConversionFactors,$D10,FALSE)/1000</t>
  </si>
  <si>
    <t>VLOOKUP($B10,RawData,I$4,FALSE)*VLOOKUP(I$3,ConversionFactors,$D10,FALSE)/1000</t>
  </si>
  <si>
    <t>VLOOKUP($B10,RawData,J$4,FALSE)*VLOOKUP(J$3,ConversionFactors,$D10,FALSE)/1000</t>
  </si>
  <si>
    <t>VLOOKUP($B10,RawData,K$4,FALSE)*VLOOKUP(K$3,ConversionFactors,$D10,FALSE)/1000</t>
  </si>
  <si>
    <t>VLOOKUP($B10,RawData,L$4,FALSE)*VLOOKUP(L$3,ConversionFactors,$D10,FALSE)/1000</t>
  </si>
  <si>
    <t>VLOOKUP($B10,RawData,M$4,FALSE)*VLOOKUP(M$3,ConversionFactors,$D10,FALSE)/1000</t>
  </si>
  <si>
    <t>VLOOKUP($B10,RawData,N$4,FALSE)*VLOOKUP(N$3,ConversionFactors,$D10,FALSE)/1000</t>
  </si>
  <si>
    <t>(VLOOKUP($B10,RawData,O$4,FALSE)*VLOOKUP(O$3,ConversionFactors,2,FALSE))*1</t>
  </si>
  <si>
    <t>(VLOOKUP($B10,RawData,P$4,FALSE)*VLOOKUP(P$3,ConversionFactors,2,FALSE))*1</t>
  </si>
  <si>
    <t>(VLOOKUP($B10,RawData,Q$4,FALSE)*VLOOKUP(Q$3,ConversionFactors,2,FALSE))*1</t>
  </si>
  <si>
    <t>(VLOOKUP($B10,RawData,R$4,FALSE)*VLOOKUP(R$3,ConversionFactors,2,FALSE))*1</t>
  </si>
  <si>
    <t>VLOOKUP($B10,RawData,T$4,FALSE)*VLOOKUP(T$3,ConversionFactors,$D10,FALSE)/1000</t>
  </si>
  <si>
    <t>VLOOKUP($B10,RawData,U$4,FALSE)*VLOOKUP(U$3,ConversionFactors,$D10,FALSE)/1000</t>
  </si>
  <si>
    <t>VLOOKUP($B10,RawData,V$4,FALSE)*VLOOKUP(V$3,ConversionFactors,$D10,FALSE)/1000</t>
  </si>
  <si>
    <t>VLOOKUP($B10,RawData,W$4,FALSE)*VLOOKUP(W$3,ConversionFactors,2,FALSE)/1000</t>
  </si>
  <si>
    <t>VLOOKUP($B10,RawData,X$4,FALSE)*VLOOKUP(X$3,ConversionFactors,2,FALSE)/1000</t>
  </si>
  <si>
    <t>VLOOKUP($B10,RawData,Y$4,FALSE)*VLOOKUP(Y$3,ConversionFactors,2,FALSE)/1000</t>
  </si>
  <si>
    <t>VLOOKUP($B10,RawData,Z$4,FALSE)*VLOOKUP(Z$3,ConversionFactors,2,FALSE)/1000</t>
  </si>
  <si>
    <t>VLOOKUP($B10,RawData,AA$4,FALSE)*VLOOKUP(AA$3,ConversionFactors,2,FALSE)/1000</t>
  </si>
  <si>
    <t>VLOOKUP($B10,RawData,AB$4,FALSE)*VLOOKUP(AB$3,ConversionFactors,2,FALSE)/1000</t>
  </si>
  <si>
    <t>VLOOKUP($B10,RawData,AC$4,FALSE)*VLOOKUP(AC$3,ConversionFactors,2,FALSE)/1000</t>
  </si>
  <si>
    <t>VLOOKUP($B10,RawData,AD$4,FALSE)*VLOOKUP(AD$3,ConversionFactors,2,FALSE)/1000</t>
  </si>
  <si>
    <t>VLOOKUP($B10,RawData,AE$4,FALSE)*VLOOKUP(AE$3,ConversionFactors,2,FALSE)/1000</t>
  </si>
  <si>
    <t>VLOOKUP($B10,RawData,AF$4,FALSE)*VLOOKUP(AF$3,ConversionFactors,2,FALSE)/1000</t>
  </si>
  <si>
    <t>VLOOKUP($B10,RawData,AG$4,FALSE)*VLOOKUP(AG$3,ConversionFactors,2,FALSE)/1000</t>
  </si>
  <si>
    <t>VLOOKUP($B10,RawData,AH$4,FALSE)*VLOOKUP(AH$3,ConversionFactors,2,FALSE)/1000</t>
  </si>
  <si>
    <t>VLOOKUP($B10,RawData,AI$4,FALSE)*VLOOKUP(AI$3,ConversionFactors,2,FALSE)/1000</t>
  </si>
  <si>
    <t>VLOOKUP($B10,RawData,AJ$4,FALSE)*VLOOKUP(AJ$3,ConversionFactors,2,FALSE)/1000</t>
  </si>
  <si>
    <t>VLOOKUP($B10,RawData,AK$4,FALSE)*VLOOKUP(AK$3,ConversionFactors,2,FALSE)/1000</t>
  </si>
  <si>
    <t>VLOOKUP($B10,RawData,AL$4,FALSE)*VLOOKUP(AL$3,ConversionFactors,2,FALSE)/1000</t>
  </si>
  <si>
    <t>VLOOKUP($B10,RawData,AM$4,FALSE)*VLOOKUP(AM$3,ConversionFactors,2,FALSE)/1000</t>
  </si>
  <si>
    <t>VLOOKUP($B10,RawData,AN$4,FALSE)*VLOOKUP(AN$3,ConversionFactors,2,FALSE)/1000</t>
  </si>
  <si>
    <t>VLOOKUP($B10,RawData,AO$4,FALSE)*VLOOKUP(AO$3,ConversionFactors,2,FALSE)/1000</t>
  </si>
  <si>
    <t>VLOOKUP($B10,RawData,AP$4,FALSE)*VLOOKUP(AP$3,ConversionFactors,2,FALSE)/1000</t>
  </si>
  <si>
    <t>VLOOKUP($B10,RawData,AQ$4,FALSE)*VLOOKUP(AQ$3,ConversionFactors,2,FALSE)/1000</t>
  </si>
  <si>
    <t>VLOOKUP($B10,RawData,AR$4,FALSE)*VLOOKUP(AR$3,ConversionFactors,2,FALSE)/1000</t>
  </si>
  <si>
    <t>VLOOKUP($B10,RawData,AS$4,FALSE)*VLOOKUP(AS$3,ConversionFactors,2,FALSE)*1</t>
  </si>
  <si>
    <t>VLOOKUP($B10,RawData,AT$4,FALSE)*1</t>
  </si>
  <si>
    <t>VLOOKUP($B10,RawData,AU$4,FALSE)*1</t>
  </si>
  <si>
    <t>VLOOKUP($B10,RawData,AV$4,FALSE)*1</t>
  </si>
  <si>
    <t>VLOOKUP($B10,RawData,AW$4,FALSE)*1</t>
  </si>
  <si>
    <t>VLOOKUP($B10,RawData,AX$4,FALSE)*1</t>
  </si>
  <si>
    <t>VLOOKUP($B10,RawData,AY$4,FALSE)*VLOOKUP(AY$3,ConversionFactors,2,FALSE)/1000</t>
  </si>
  <si>
    <t>VLOOKUP($B10,RawData,AZ$4,FALSE)*VLOOKUP(AZ$3,ConversionFactors,2,FALSE)/1000</t>
  </si>
  <si>
    <t>VLOOKUP($B10,RawData,BA$4,FALSE)*VLOOKUP(BA$3,ConversionFactors,2,FALSE)/1000</t>
  </si>
  <si>
    <t>VLOOKUP($B10,RawData,BB$4,FALSE)*VLOOKUP(BB$3,ConversionFactors,2,FALSE)/1000</t>
  </si>
  <si>
    <t>VLOOKUP($B10,RawData,BC$4,FALSE)*1</t>
  </si>
  <si>
    <t>VLOOKUP($B10,RawData,BD$4,FALSE)*VLOOKUP(BD$3,ConversionFactors,2,FALSE)/1000</t>
  </si>
  <si>
    <t>VLOOKUP($B10,RawData,BM$4,FALSE)*3.6</t>
  </si>
  <si>
    <t>VLOOKUP($B10,RawData,BN$4,FALSE)*1</t>
  </si>
  <si>
    <t>SUM(E5:E10)</t>
  </si>
  <si>
    <t>SUM(F5:F10)</t>
  </si>
  <si>
    <t>SUM(G5:G10)</t>
  </si>
  <si>
    <t>SUM(H5:H10)</t>
  </si>
  <si>
    <t>SUM(I5:I10)</t>
  </si>
  <si>
    <t>SUM(J5:J10)</t>
  </si>
  <si>
    <t>SUM(K5:K10)</t>
  </si>
  <si>
    <t>SUM(L5:L10)</t>
  </si>
  <si>
    <t>SUM(M5:M10)</t>
  </si>
  <si>
    <t>SUM(N5:N10)</t>
  </si>
  <si>
    <t>SUM(O5:O10)</t>
  </si>
  <si>
    <t>SUM(P5:P10)</t>
  </si>
  <si>
    <t>SUM(Q5:Q10)</t>
  </si>
  <si>
    <t>SUM(R5:R10)</t>
  </si>
  <si>
    <t>SUM(T5:T10)</t>
  </si>
  <si>
    <t>SUM(U5:U10)</t>
  </si>
  <si>
    <t>SUM(V5:V10)</t>
  </si>
  <si>
    <t>SUM(W5:W10)</t>
  </si>
  <si>
    <t>SUM(X5:X10)</t>
  </si>
  <si>
    <t>SUM(Y5:Y10)</t>
  </si>
  <si>
    <t>SUM(Z5:Z10)</t>
  </si>
  <si>
    <t>SUM(AA5:AA10)</t>
  </si>
  <si>
    <t>SUM(AB5:AB10)</t>
  </si>
  <si>
    <t>SUM(AC5:AC10)</t>
  </si>
  <si>
    <t>SUM(AD5:AD10)</t>
  </si>
  <si>
    <t>SUM(AE5:AE10)</t>
  </si>
  <si>
    <t>SUM(AF5:AF10)</t>
  </si>
  <si>
    <t>SUM(AG5:AG10)</t>
  </si>
  <si>
    <t>SUM(AH5:AH10)</t>
  </si>
  <si>
    <t>SUM(AI5:AI10)</t>
  </si>
  <si>
    <t>SUM(AJ5:AJ10)</t>
  </si>
  <si>
    <t>SUM(AK5:AK10)</t>
  </si>
  <si>
    <t>SUM(AL5:AL10)</t>
  </si>
  <si>
    <t>SUM(AM5:AM10)</t>
  </si>
  <si>
    <t>SUM(AN5:AN10)</t>
  </si>
  <si>
    <t>SUM(AO5:AO10)</t>
  </si>
  <si>
    <t>SUM(AP5:AP10)</t>
  </si>
  <si>
    <t>SUM(AQ5:AQ10)</t>
  </si>
  <si>
    <t>SUM(AR5:AR10)</t>
  </si>
  <si>
    <t>SUM(AS5:AS10)</t>
  </si>
  <si>
    <t>SUM(AT5:AT10)</t>
  </si>
  <si>
    <t>SUM(AU5:AU10)</t>
  </si>
  <si>
    <t>SUM(AV5:AV10)</t>
  </si>
  <si>
    <t>SUM(AW5:AW10)</t>
  </si>
  <si>
    <t>SUM(AX5:AX10)</t>
  </si>
  <si>
    <t>SUM(AY5:AY10)</t>
  </si>
  <si>
    <t>SUM(AZ5:AZ10)</t>
  </si>
  <si>
    <t>SUM(BA5:BA10)</t>
  </si>
  <si>
    <t>SUM(BB5:BB10)</t>
  </si>
  <si>
    <t>SUM(BC5:BC10)</t>
  </si>
  <si>
    <t>SUM(BD5:BD10)</t>
  </si>
  <si>
    <t>SUM(BE5:BE10)</t>
  </si>
  <si>
    <t>SUM(BF5:BF10)</t>
  </si>
  <si>
    <t>SUM(BG5:BG10)</t>
  </si>
  <si>
    <t>SUM(BH5:BH10)</t>
  </si>
  <si>
    <t>SUM(BI5:BI10)</t>
  </si>
  <si>
    <t>SUM(BJ5:BJ10)</t>
  </si>
  <si>
    <t>SUM(BK5:BK10)</t>
  </si>
  <si>
    <t>SUM(BL5:BL10)</t>
  </si>
  <si>
    <t>SUM(BM5:BM10)</t>
  </si>
  <si>
    <t>SUM(BN5:BN10)</t>
  </si>
  <si>
    <t>VLOOKUP($B12,RawData,E$4,FALSE)*VLOOKUP(E$3,ConversionFactors,$D12,FALSE)/1000</t>
  </si>
  <si>
    <t>VLOOKUP($B12,RawData,F$4,FALSE)*VLOOKUP(F$3,ConversionFactors,$D12,FALSE)/1000</t>
  </si>
  <si>
    <t>VLOOKUP($B12,RawData,G$4,FALSE)*VLOOKUP(G$3,ConversionFactors,$D12,FALSE)/1000</t>
  </si>
  <si>
    <t>VLOOKUP($B12,RawData,H$4,FALSE)*VLOOKUP(H$3,ConversionFactors,$D12,FALSE)/1000</t>
  </si>
  <si>
    <t>VLOOKUP($B12,RawData,I$4,FALSE)*VLOOKUP(I$3,ConversionFactors,$D12,FALSE)/1000</t>
  </si>
  <si>
    <t>VLOOKUP($B12,RawData,J$4,FALSE)*VLOOKUP(J$3,ConversionFactors,$D12,FALSE)/1000</t>
  </si>
  <si>
    <t>VLOOKUP($B12,RawData,K$4,FALSE)*VLOOKUP(K$3,ConversionFactors,$D12,FALSE)/1000</t>
  </si>
  <si>
    <t>VLOOKUP($B12,RawData,L$4,FALSE)*VLOOKUP(L$3,ConversionFactors,$D12,FALSE)/1000</t>
  </si>
  <si>
    <t>VLOOKUP($B12,RawData,M$4,FALSE)*VLOOKUP(M$3,ConversionFactors,$D12,FALSE)/1000</t>
  </si>
  <si>
    <t>VLOOKUP($B12,RawData,N$4,FALSE)*VLOOKUP(N$3,ConversionFactors,$D12,FALSE)/1000</t>
  </si>
  <si>
    <t>(VLOOKUP($B12,RawData,O$4,FALSE)*VLOOKUP(O$3,ConversionFactors,2,FALSE))*1</t>
  </si>
  <si>
    <t>(VLOOKUP($B12,RawData,P$4,FALSE)*VLOOKUP(P$3,ConversionFactors,2,FALSE))*1</t>
  </si>
  <si>
    <t>(VLOOKUP($B12,RawData,Q$4,FALSE)*VLOOKUP(Q$3,ConversionFactors,2,FALSE))*1</t>
  </si>
  <si>
    <t>(VLOOKUP($B12,RawData,R$4,FALSE)*VLOOKUP(R$3,ConversionFactors,2,FALSE))*1</t>
  </si>
  <si>
    <t>VLOOKUP($B12,RawData,T$4,FALSE)*VLOOKUP(T$3,ConversionFactors,$D12,FALSE)/1000</t>
  </si>
  <si>
    <t>VLOOKUP($B12,RawData,U$4,FALSE)*VLOOKUP(U$3,ConversionFactors,$D12,FALSE)/1000</t>
  </si>
  <si>
    <t>VLOOKUP($B12,RawData,V$4,FALSE)*VLOOKUP(V$3,ConversionFactors,$D12,FALSE)/1000</t>
  </si>
  <si>
    <t>VLOOKUP($B12,RawData,W$4,FALSE)*VLOOKUP(W$3,ConversionFactors,2,FALSE)/1000</t>
  </si>
  <si>
    <t>VLOOKUP($B12,RawData,X$4,FALSE)*VLOOKUP(X$3,ConversionFactors,2,FALSE)/1000</t>
  </si>
  <si>
    <t>VLOOKUP($B12,RawData,Y$4,FALSE)*VLOOKUP(Y$3,ConversionFactors,2,FALSE)/1000</t>
  </si>
  <si>
    <t>VLOOKUP($B12,RawData,Z$4,FALSE)*VLOOKUP(Z$3,ConversionFactors,2,FALSE)/1000</t>
  </si>
  <si>
    <t>VLOOKUP($B12,RawData,AA$4,FALSE)*VLOOKUP(AA$3,ConversionFactors,2,FALSE)/1000</t>
  </si>
  <si>
    <t>VLOOKUP($B12,RawData,AB$4,FALSE)*VLOOKUP(AB$3,ConversionFactors,2,FALSE)/1000</t>
  </si>
  <si>
    <t>VLOOKUP($B12,RawData,AC$4,FALSE)*VLOOKUP(AC$3,ConversionFactors,2,FALSE)/1000</t>
  </si>
  <si>
    <t>VLOOKUP($B12,RawData,AD$4,FALSE)*VLOOKUP(AD$3,ConversionFactors,2,FALSE)/1000</t>
  </si>
  <si>
    <t>VLOOKUP($B12,RawData,AE$4,FALSE)*VLOOKUP(AE$3,ConversionFactors,2,FALSE)/1000</t>
  </si>
  <si>
    <t>VLOOKUP($B12,RawData,AF$4,FALSE)*VLOOKUP(AF$3,ConversionFactors,2,FALSE)/1000</t>
  </si>
  <si>
    <t>VLOOKUP($B12,RawData,AG$4,FALSE)*VLOOKUP(AG$3,ConversionFactors,2,FALSE)/1000</t>
  </si>
  <si>
    <t>VLOOKUP($B12,RawData,AH$4,FALSE)*VLOOKUP(AH$3,ConversionFactors,2,FALSE)/1000</t>
  </si>
  <si>
    <t>VLOOKUP($B12,RawData,AI$4,FALSE)*VLOOKUP(AI$3,ConversionFactors,2,FALSE)/1000</t>
  </si>
  <si>
    <t>VLOOKUP($B12,RawData,AJ$4,FALSE)*VLOOKUP(AJ$3,ConversionFactors,2,FALSE)/1000</t>
  </si>
  <si>
    <t>VLOOKUP($B12,RawData,AK$4,FALSE)*VLOOKUP(AK$3,ConversionFactors,2,FALSE)/1000</t>
  </si>
  <si>
    <t>VLOOKUP($B12,RawData,AL$4,FALSE)*VLOOKUP(AL$3,ConversionFactors,2,FALSE)/1000</t>
  </si>
  <si>
    <t>VLOOKUP($B12,RawData,AM$4,FALSE)*VLOOKUP(AM$3,ConversionFactors,2,FALSE)/1000</t>
  </si>
  <si>
    <t>VLOOKUP($B12,RawData,AN$4,FALSE)*VLOOKUP(AN$3,ConversionFactors,2,FALSE)/1000</t>
  </si>
  <si>
    <t>VLOOKUP($B12,RawData,AO$4,FALSE)*VLOOKUP(AO$3,ConversionFactors,2,FALSE)/1000</t>
  </si>
  <si>
    <t>VLOOKUP($B12,RawData,AP$4,FALSE)*VLOOKUP(AP$3,ConversionFactors,2,FALSE)/1000</t>
  </si>
  <si>
    <t>VLOOKUP($B12,RawData,AQ$4,FALSE)*VLOOKUP(AQ$3,ConversionFactors,2,FALSE)/1000</t>
  </si>
  <si>
    <t>VLOOKUP($B12,RawData,AR$4,FALSE)*VLOOKUP(AR$3,ConversionFactors,2,FALSE)/1000</t>
  </si>
  <si>
    <t>VLOOKUP($B12,RawData,AS$4,FALSE)*VLOOKUP(AS$3,ConversionFactors,2,FALSE)*1</t>
  </si>
  <si>
    <t>VLOOKUP($B12,RawData,AT$4,FALSE)*1</t>
  </si>
  <si>
    <t>VLOOKUP($B12,RawData,AU$4,FALSE)*1</t>
  </si>
  <si>
    <t>VLOOKUP($B12,RawData,AV$4,FALSE)*1</t>
  </si>
  <si>
    <t>VLOOKUP($B12,RawData,AW$4,FALSE)*1</t>
  </si>
  <si>
    <t>VLOOKUP($B12,RawData,AX$4,FALSE)*1</t>
  </si>
  <si>
    <t>VLOOKUP($B12,RawData,AY$4,FALSE)*VLOOKUP(AY$3,ConversionFactors,2,FALSE)/1000</t>
  </si>
  <si>
    <t>VLOOKUP($B12,RawData,AZ$4,FALSE)*VLOOKUP(AZ$3,ConversionFactors,2,FALSE)/1000</t>
  </si>
  <si>
    <t>VLOOKUP($B12,RawData,BA$4,FALSE)*VLOOKUP(BA$3,ConversionFactors,2,FALSE)/1000</t>
  </si>
  <si>
    <t>VLOOKUP($B12,RawData,BB$4,FALSE)*VLOOKUP(BB$3,ConversionFactors,2,FALSE)/1000</t>
  </si>
  <si>
    <t>VLOOKUP($B12,RawData,BC$4,FALSE)*1</t>
  </si>
  <si>
    <t>VLOOKUP($B12,RawData,BD$4,FALSE)*VLOOKUP(BD$3,ConversionFactors,2,FALSE)/1000</t>
  </si>
  <si>
    <t>VLOOKUP($B12,RawData,BM$4,FALSE)*3.6</t>
  </si>
  <si>
    <t>VLOOKUP($B12,RawData,BN$4,FALSE)*1</t>
  </si>
  <si>
    <t>E55-SUM(E11,E12,E14,E36,E54)</t>
  </si>
  <si>
    <t>F55-SUM(F11,F12,F14,F36,F54)</t>
  </si>
  <si>
    <t>G55-SUM(G11,G12,G14,G36,G54)</t>
  </si>
  <si>
    <t>H55-SUM(H11,H12,H14,H36,H54)</t>
  </si>
  <si>
    <t>I55-SUM(I11,I12,I14,I36,I54)</t>
  </si>
  <si>
    <t>J55-SUM(J11,J12,J14,J36,J54)</t>
  </si>
  <si>
    <t>K55-SUM(K11,K12,K14,K36,K54)</t>
  </si>
  <si>
    <t>L55-SUM(L11,L12,L14,L36,L54)</t>
  </si>
  <si>
    <t>M55-SUM(M11,M12,M14,M36,M54)</t>
  </si>
  <si>
    <t>N55-SUM(N11,N12,N14,N36,N54)</t>
  </si>
  <si>
    <t>O55-SUM(O11,O12,O14,O36,O54)</t>
  </si>
  <si>
    <t>P55-SUM(P11,P12,P14,P36,P54)</t>
  </si>
  <si>
    <t>Q55-SUM(Q11,Q12,Q14,Q36,Q54)</t>
  </si>
  <si>
    <t>R55-SUM(R11,R12,R14,R36,R54)</t>
  </si>
  <si>
    <t>T55-SUM(T11,T12,T14,T36,T54)</t>
  </si>
  <si>
    <t>U55-SUM(U11,U12,U14,U36,U54)</t>
  </si>
  <si>
    <t>V55-SUM(V11,V12,V14,V36,V54)</t>
  </si>
  <si>
    <t>W55-SUM(W11,W12,W14,W36,W54)</t>
  </si>
  <si>
    <t>X55-SUM(X11,X12,X14,X36,X54)</t>
  </si>
  <si>
    <t>Y55-SUM(Y11,Y12,Y14,Y36,Y54)</t>
  </si>
  <si>
    <t>Z55-SUM(Z11,Z12,Z14,Z36,Z54)</t>
  </si>
  <si>
    <t>AA55-SUM(AA11,AA12,AA14,AA36,AA54)</t>
  </si>
  <si>
    <t>AB55-SUM(AB11,AB12,AB14,AB36,AB54)</t>
  </si>
  <si>
    <t>AC55-SUM(AC11,AC12,AC14,AC36,AC54)</t>
  </si>
  <si>
    <t>AD55-SUM(AD11,AD12,AD14,AD36,AD54)</t>
  </si>
  <si>
    <t>AE55-SUM(AE11,AE12,AE14,AE36,AE54)</t>
  </si>
  <si>
    <t>AF55-SUM(AF11,AF12,AF14,AF36,AF54)</t>
  </si>
  <si>
    <t>AG55-SUM(AG11,AG12,AG14,AG36,AG54)</t>
  </si>
  <si>
    <t>AH55-SUM(AH11,AH12,AH14,AH36,AH54)</t>
  </si>
  <si>
    <t>AI55-SUM(AI11,AI12,AI14,AI36,AI54)</t>
  </si>
  <si>
    <t>AJ55-SUM(AJ11,AJ12,AJ14,AJ36,AJ54)</t>
  </si>
  <si>
    <t>AK55-SUM(AK11,AK12,AK14,AK36,AK54)</t>
  </si>
  <si>
    <t>AL55-SUM(AL11,AL12,AL14,AL36,AL54)</t>
  </si>
  <si>
    <t>AM55-SUM(AM11,AM12,AM14,AM36,AM54)</t>
  </si>
  <si>
    <t>AN55-SUM(AN11,AN12,AN14,AN36,AN54)</t>
  </si>
  <si>
    <t>AO55-SUM(AO11,AO12,AO14,AO36,AO54)</t>
  </si>
  <si>
    <t>AP55-SUM(AP11,AP12,AP14,AP36,AP54)</t>
  </si>
  <si>
    <t>AQ55-SUM(AQ11,AQ12,AQ14,AQ36,AQ54)</t>
  </si>
  <si>
    <t>AR55-SUM(AR11,AR12,AR14,AR36,AR54)</t>
  </si>
  <si>
    <t>AS55-SUM(AS11,AS12,AS14,AS36,AS54)</t>
  </si>
  <si>
    <t>AT55-SUM(AT11,AT12,AT14,AT36,AT54)</t>
  </si>
  <si>
    <t>AU55-SUM(AU11,AU12,AU14,AU36,AU54)</t>
  </si>
  <si>
    <t>AV55-SUM(AV11,AV12,AV14,AV36,AV54)</t>
  </si>
  <si>
    <t>AW55-SUM(AW11,AW12,AW14,AW36,AW54)</t>
  </si>
  <si>
    <t>AX55-SUM(AX11,AX12,AX14,AX36,AX54)</t>
  </si>
  <si>
    <t>AY55-SUM(AY11,AY12,AY14,AY36,AY54)</t>
  </si>
  <si>
    <t>AZ55-SUM(AZ11,AZ12,AZ14,AZ36,AZ54)</t>
  </si>
  <si>
    <t>BA55-SUM(BA11,BA12,BA14,BA36,BA54)</t>
  </si>
  <si>
    <t>BB55-SUM(BB11,BB12,BB14,BB36,BB54)</t>
  </si>
  <si>
    <t>BC55-SUM(BC11,BC12,BC14,BC36,BC54)</t>
  </si>
  <si>
    <t>BD55-SUM(BD11,BD12,BD14,BD36,BD54)</t>
  </si>
  <si>
    <t>BE55-SUM(BE11,BE12,BE14,BE36,BE54)</t>
  </si>
  <si>
    <t>BF55-SUM(BF11,BF12,BF14,BF36,BF54)</t>
  </si>
  <si>
    <t>BG55-SUM(BG11,BG12,BG14,BG36,BG54)</t>
  </si>
  <si>
    <t>BH55-SUM(BH11,BH12,BH14,BH36,BH54)</t>
  </si>
  <si>
    <t>BI55-SUM(BI11,BI12,BI14,BI36,BI54)</t>
  </si>
  <si>
    <t>BJ55-SUM(BJ11,BJ12,BJ14,BJ36,BJ54)</t>
  </si>
  <si>
    <t>BK55-SUM(BK11,BK12,BK14,BK36,BK54)</t>
  </si>
  <si>
    <t>BL55-SUM(BL11,BL12,BL14,BL36,BL54)</t>
  </si>
  <si>
    <t>BM55-SUM(BM11,BM12,BM14,BM36,BM54)</t>
  </si>
  <si>
    <t>BN55-SUM(BN11,BN12,BN14,BN36,BN54)</t>
  </si>
  <si>
    <t>SUM(E15:E35)</t>
  </si>
  <si>
    <t>SUM(F15:F35)</t>
  </si>
  <si>
    <t>SUM(G15:G35)</t>
  </si>
  <si>
    <t>SUM(H15:H35)</t>
  </si>
  <si>
    <t>SUM(I15:I35)</t>
  </si>
  <si>
    <t>SUM(J15:J35)</t>
  </si>
  <si>
    <t>SUM(K15:K35)</t>
  </si>
  <si>
    <t>SUM(L15:L35)</t>
  </si>
  <si>
    <t>SUM(M15:M35)</t>
  </si>
  <si>
    <t>SUM(N15:N35)</t>
  </si>
  <si>
    <t>SUM(O15:O35)</t>
  </si>
  <si>
    <t>SUM(P15:P35)</t>
  </si>
  <si>
    <t>SUM(Q15:Q35)</t>
  </si>
  <si>
    <t>SUM(R15:R35)</t>
  </si>
  <si>
    <t>SUM(T15:T35)</t>
  </si>
  <si>
    <t>SUM(U15:U35)</t>
  </si>
  <si>
    <t>SUM(V15:V35)</t>
  </si>
  <si>
    <t>SUM(W15:W35)</t>
  </si>
  <si>
    <t>SUM(X15:X35)</t>
  </si>
  <si>
    <t>SUM(Y15:Y35)</t>
  </si>
  <si>
    <t>SUM(Z15:Z35)</t>
  </si>
  <si>
    <t>SUM(AA15:AA35)</t>
  </si>
  <si>
    <t>SUM(AB15:AB35)</t>
  </si>
  <si>
    <t>SUM(AC15:AC35)</t>
  </si>
  <si>
    <t>SUM(AD15:AD35)</t>
  </si>
  <si>
    <t>SUM(AE15:AE35)</t>
  </si>
  <si>
    <t>SUM(AF15:AF35)</t>
  </si>
  <si>
    <t>SUM(AG15:AG35)</t>
  </si>
  <si>
    <t>SUM(AH15:AH35)</t>
  </si>
  <si>
    <t>SUM(AI15:AI35)</t>
  </si>
  <si>
    <t>SUM(AJ15:AJ35)</t>
  </si>
  <si>
    <t>SUM(AK15:AK35)</t>
  </si>
  <si>
    <t>SUM(AL15:AL35)</t>
  </si>
  <si>
    <t>SUM(AM15:AM35)</t>
  </si>
  <si>
    <t>SUM(AN15:AN35)</t>
  </si>
  <si>
    <t>SUM(AO15:AO35)</t>
  </si>
  <si>
    <t>SUM(AP15:AP35)</t>
  </si>
  <si>
    <t>SUM(AQ15:AQ35)</t>
  </si>
  <si>
    <t>SUM(AR15:AR35)</t>
  </si>
  <si>
    <t>SUM(AS15:AS35)</t>
  </si>
  <si>
    <t>SUM(AT15:AT35)</t>
  </si>
  <si>
    <t>SUM(AU15:AU35)</t>
  </si>
  <si>
    <t>SUM(AV15:AV35)</t>
  </si>
  <si>
    <t>SUM(AW15:AW35)</t>
  </si>
  <si>
    <t>SUM(AX15:AX35)</t>
  </si>
  <si>
    <t>SUM(AY15:AY35)</t>
  </si>
  <si>
    <t>SUM(AZ15:AZ35)</t>
  </si>
  <si>
    <t>SUM(BA15:BA35)</t>
  </si>
  <si>
    <t>SUM(BB15:BB35)</t>
  </si>
  <si>
    <t>SUM(BC15:BC35)</t>
  </si>
  <si>
    <t>SUM(BD15:BD35)</t>
  </si>
  <si>
    <t>SUM(BE15:BE35)</t>
  </si>
  <si>
    <t>SUM(BF15:BF35)</t>
  </si>
  <si>
    <t>SUM(BG15:BG35)</t>
  </si>
  <si>
    <t>SUM(BH15:BH35)</t>
  </si>
  <si>
    <t>SUM(BI15:BI35)</t>
  </si>
  <si>
    <t>SUM(BJ15:BJ35)</t>
  </si>
  <si>
    <t>SUM(BK15:BK35)</t>
  </si>
  <si>
    <t>SUM(BL15:BL35)</t>
  </si>
  <si>
    <t>SUM(BM15:BM35)</t>
  </si>
  <si>
    <t>SUM(BN15:BN35)</t>
  </si>
  <si>
    <t>-VLOOKUP($B15,RawData,E$4,FALSE)*VLOOKUP(E$3,ConversionFactors,$D15,FALSE)/1000</t>
  </si>
  <si>
    <t>-VLOOKUP($B15,RawData,F$4,FALSE)*VLOOKUP(F$3,ConversionFactors,$D15,FALSE)/1000</t>
  </si>
  <si>
    <t>-VLOOKUP($B15,RawData,G$4,FALSE)*VLOOKUP(G$3,ConversionFactors,$D15,FALSE)/1000</t>
  </si>
  <si>
    <t>-VLOOKUP($B15,RawData,H$4,FALSE)*VLOOKUP(H$3,ConversionFactors,$D15,FALSE)/1000</t>
  </si>
  <si>
    <t>-VLOOKUP($B15,RawData,I$4,FALSE)*VLOOKUP(I$3,ConversionFactors,$D15,FALSE)/1000</t>
  </si>
  <si>
    <t>-VLOOKUP($B15,RawData,J$4,FALSE)*VLOOKUP(J$3,ConversionFactors,$D15,FALSE)/1000</t>
  </si>
  <si>
    <t>-VLOOKUP($B15,RawData,K$4,FALSE)*VLOOKUP(K$3,ConversionFactors,$D15,FALSE)/1000</t>
  </si>
  <si>
    <t>-VLOOKUP($B15,RawData,L$4,FALSE)*VLOOKUP(L$3,ConversionFactors,$D15,FALSE)/1000</t>
  </si>
  <si>
    <t>-VLOOKUP($B15,RawData,M$4,FALSE)*VLOOKUP(M$3,ConversionFactors,$D15,FALSE)/1000</t>
  </si>
  <si>
    <t>-VLOOKUP($B15,RawData,N$4,FALSE)*VLOOKUP(N$3,ConversionFactors,$D15,FALSE)/1000</t>
  </si>
  <si>
    <t>(-VLOOKUP($B15,RawData,O$4,FALSE)*VLOOKUP(O$3,ConversionFactors,2,FALSE))*1</t>
  </si>
  <si>
    <t>(-VLOOKUP($B15,RawData,P$4,FALSE)*VLOOKUP(P$3,ConversionFactors,2,FALSE))*1</t>
  </si>
  <si>
    <t>(-VLOOKUP($B15,RawData,Q$4,FALSE)*VLOOKUP(Q$3,ConversionFactors,2,FALSE))*1</t>
  </si>
  <si>
    <t>(-VLOOKUP($B15,RawData,R$4,FALSE)*VLOOKUP(R$3,ConversionFactors,2,FALSE))*1</t>
  </si>
  <si>
    <t>-VLOOKUP($B15,RawData,T$4,FALSE)*VLOOKUP(T$3,ConversionFactors,$D15,FALSE)/1000</t>
  </si>
  <si>
    <t>-VLOOKUP($B15,RawData,U$4,FALSE)*VLOOKUP(U$3,ConversionFactors,$D15,FALSE)/1000</t>
  </si>
  <si>
    <t>-VLOOKUP($B15,RawData,V$4,FALSE)*VLOOKUP(V$3,ConversionFactors,$D15,FALSE)/1000</t>
  </si>
  <si>
    <t>-VLOOKUP($B15,RawData,W$4,FALSE)*VLOOKUP(W$3,ConversionFactors,2,FALSE)/1000</t>
  </si>
  <si>
    <t>-VLOOKUP($B15,RawData,X$4,FALSE)*VLOOKUP(X$3,ConversionFactors,2,FALSE)/1000</t>
  </si>
  <si>
    <t>-VLOOKUP($B15,RawData,Y$4,FALSE)*VLOOKUP(Y$3,ConversionFactors,2,FALSE)/1000</t>
  </si>
  <si>
    <t>-VLOOKUP($B15,RawData,Z$4,FALSE)*VLOOKUP(Z$3,ConversionFactors,2,FALSE)/1000</t>
  </si>
  <si>
    <t>-VLOOKUP($B15,RawData,AA$4,FALSE)*VLOOKUP(AA$3,ConversionFactors,2,FALSE)/1000</t>
  </si>
  <si>
    <t>-VLOOKUP($B15,RawData,AB$4,FALSE)*VLOOKUP(AB$3,ConversionFactors,2,FALSE)/1000</t>
  </si>
  <si>
    <t>-VLOOKUP($B15,RawData,AC$4,FALSE)*VLOOKUP(AC$3,ConversionFactors,2,FALSE)/1000</t>
  </si>
  <si>
    <t>-VLOOKUP($B15,RawData,AD$4,FALSE)*VLOOKUP(AD$3,ConversionFactors,2,FALSE)/1000</t>
  </si>
  <si>
    <t>-VLOOKUP($B15,RawData,AE$4,FALSE)*VLOOKUP(AE$3,ConversionFactors,2,FALSE)/1000</t>
  </si>
  <si>
    <t>-VLOOKUP($B15,RawData,AF$4,FALSE)*VLOOKUP(AF$3,ConversionFactors,2,FALSE)/1000</t>
  </si>
  <si>
    <t>-VLOOKUP($B15,RawData,AG$4,FALSE)*VLOOKUP(AG$3,ConversionFactors,2,FALSE)/1000</t>
  </si>
  <si>
    <t>-VLOOKUP($B15,RawData,AH$4,FALSE)*VLOOKUP(AH$3,ConversionFactors,2,FALSE)/1000</t>
  </si>
  <si>
    <t>-VLOOKUP($B15,RawData,AI$4,FALSE)*VLOOKUP(AI$3,ConversionFactors,2,FALSE)/1000</t>
  </si>
  <si>
    <t>-VLOOKUP($B15,RawData,AJ$4,FALSE)*VLOOKUP(AJ$3,ConversionFactors,2,FALSE)/1000</t>
  </si>
  <si>
    <t>-VLOOKUP($B15,RawData,AK$4,FALSE)*VLOOKUP(AK$3,ConversionFactors,2,FALSE)/1000</t>
  </si>
  <si>
    <t>-VLOOKUP($B15,RawData,AL$4,FALSE)*VLOOKUP(AL$3,ConversionFactors,2,FALSE)/1000</t>
  </si>
  <si>
    <t>-VLOOKUP($B15,RawData,AM$4,FALSE)*VLOOKUP(AM$3,ConversionFactors,2,FALSE)/1000</t>
  </si>
  <si>
    <t>-VLOOKUP($B15,RawData,AN$4,FALSE)*VLOOKUP(AN$3,ConversionFactors,2,FALSE)/1000</t>
  </si>
  <si>
    <t>-VLOOKUP($B15,RawData,AO$4,FALSE)*VLOOKUP(AO$3,ConversionFactors,2,FALSE)/1000</t>
  </si>
  <si>
    <t>-VLOOKUP($B15,RawData,AP$4,FALSE)*VLOOKUP(AP$3,ConversionFactors,2,FALSE)/1000</t>
  </si>
  <si>
    <t>-VLOOKUP($B15,RawData,AQ$4,FALSE)*VLOOKUP(AQ$3,ConversionFactors,2,FALSE)/1000</t>
  </si>
  <si>
    <t>-VLOOKUP($B15,RawData,AR$4,FALSE)*VLOOKUP(AR$3,ConversionFactors,2,FALSE)/1000</t>
  </si>
  <si>
    <t>-VLOOKUP($B15,RawData,AS$4,FALSE)*VLOOKUP(AS$3,ConversionFactors,2,FALSE)*1</t>
  </si>
  <si>
    <t>-VLOOKUP($B15,RawData,AT$4,FALSE)*1</t>
  </si>
  <si>
    <t>-VLOOKUP($B15,RawData,AU$4,FALSE)*1</t>
  </si>
  <si>
    <t>-VLOOKUP($B15,RawData,AV$4,FALSE)*1</t>
  </si>
  <si>
    <t>-VLOOKUP($B15,RawData,AW$4,FALSE)*1</t>
  </si>
  <si>
    <t>-VLOOKUP($B15,RawData,AX$4,FALSE)*1</t>
  </si>
  <si>
    <t>-VLOOKUP($B15,RawData,AY$4,FALSE)*VLOOKUP(AY$3,ConversionFactors,2,FALSE)/1000</t>
  </si>
  <si>
    <t>-VLOOKUP($B15,RawData,AZ$4,FALSE)*VLOOKUP(AZ$3,ConversionFactors,2,FALSE)/1000</t>
  </si>
  <si>
    <t>-VLOOKUP($B15,RawData,BA$4,FALSE)*VLOOKUP(BA$3,ConversionFactors,2,FALSE)/1000</t>
  </si>
  <si>
    <t>-VLOOKUP($B15,RawData,BB$4,FALSE)*VLOOKUP(BB$3,ConversionFactors,2,FALSE)/1000</t>
  </si>
  <si>
    <t>-VLOOKUP($B15,RawData,BC$4,FALSE)*1</t>
  </si>
  <si>
    <t>-VLOOKUP($B15,RawData,BD$4,FALSE)*VLOOKUP(BD$3,ConversionFactors,2,FALSE)/1000</t>
  </si>
  <si>
    <t>-VLOOKUP("ELMAINE",RawData,BE$4,FALSE)*3.6/0.33</t>
  </si>
  <si>
    <t>-(VLOOKUP("ELMAINE",RawData,BF$4,FALSE)-VLOOKUP("MHYDPUMP",RawData,BF$4,FALSE))*3.6</t>
  </si>
  <si>
    <t>-VLOOKUP($B15,RawData,BG$4,FALSE)*1</t>
  </si>
  <si>
    <t>-VLOOKUP("ELMAINE",RawData,BH$4,FALSE)*3.6</t>
  </si>
  <si>
    <t>-VLOOKUP($B15,RawData,BI$4,FALSE)*1</t>
  </si>
  <si>
    <t>-VLOOKUP("ELMAINE",RawData,BJ$4,FALSE)*3.6</t>
  </si>
  <si>
    <t>-VLOOKUP("ELMAINE",RawData,BK$4,FALSE)*3.6</t>
  </si>
  <si>
    <t>-VLOOKUP("ELMAINE",RawData,BL$4,FALSE)*3.6</t>
  </si>
  <si>
    <t>(VLOOKUP("ELMAINE",RawData,BM$4,FALSE)-VLOOKUP("MHYDPUMP",RawData,BF$4,FALSE)-VLOOKUP("ELMAINE",RawData,MATCH("CHEMHEAT",RawDataHeadings,0),FALSE))*3.6</t>
  </si>
  <si>
    <t>-VLOOKUP($B15,RawData,BN$4,FALSE)*1</t>
  </si>
  <si>
    <t>-VLOOKUP($B16,RawData,E$4,FALSE)*VLOOKUP(E$3,ConversionFactors,$D16,FALSE)/1000</t>
  </si>
  <si>
    <t>-VLOOKUP($B16,RawData,F$4,FALSE)*VLOOKUP(F$3,ConversionFactors,$D16,FALSE)/1000</t>
  </si>
  <si>
    <t>-VLOOKUP($B16,RawData,G$4,FALSE)*VLOOKUP(G$3,ConversionFactors,$D16,FALSE)/1000</t>
  </si>
  <si>
    <t>-VLOOKUP($B16,RawData,H$4,FALSE)*VLOOKUP(H$3,ConversionFactors,$D16,FALSE)/1000</t>
  </si>
  <si>
    <t>-VLOOKUP($B16,RawData,I$4,FALSE)*VLOOKUP(I$3,ConversionFactors,$D16,FALSE)/1000</t>
  </si>
  <si>
    <t>-VLOOKUP($B16,RawData,J$4,FALSE)*VLOOKUP(J$3,ConversionFactors,$D16,FALSE)/1000</t>
  </si>
  <si>
    <t>-VLOOKUP($B16,RawData,K$4,FALSE)*VLOOKUP(K$3,ConversionFactors,$D16,FALSE)/1000</t>
  </si>
  <si>
    <t>-VLOOKUP($B16,RawData,L$4,FALSE)*VLOOKUP(L$3,ConversionFactors,$D16,FALSE)/1000</t>
  </si>
  <si>
    <t>-VLOOKUP($B16,RawData,M$4,FALSE)*VLOOKUP(M$3,ConversionFactors,$D16,FALSE)/1000</t>
  </si>
  <si>
    <t>-VLOOKUP($B16,RawData,N$4,FALSE)*VLOOKUP(N$3,ConversionFactors,$D16,FALSE)/1000</t>
  </si>
  <si>
    <t>(-VLOOKUP($B16,RawData,O$4,FALSE)*VLOOKUP(O$3,ConversionFactors,2,FALSE))*1</t>
  </si>
  <si>
    <t>(-VLOOKUP($B16,RawData,P$4,FALSE)*VLOOKUP(P$3,ConversionFactors,2,FALSE))*1</t>
  </si>
  <si>
    <t>(-VLOOKUP($B16,RawData,Q$4,FALSE)*VLOOKUP(Q$3,ConversionFactors,2,FALSE))*1</t>
  </si>
  <si>
    <t>(-VLOOKUP($B16,RawData,R$4,FALSE)*VLOOKUP(R$3,ConversionFactors,2,FALSE))*1</t>
  </si>
  <si>
    <t>-VLOOKUP($B16,RawData,T$4,FALSE)*VLOOKUP(T$3,ConversionFactors,$D16,FALSE)/1000</t>
  </si>
  <si>
    <t>-VLOOKUP($B16,RawData,U$4,FALSE)*VLOOKUP(U$3,ConversionFactors,$D16,FALSE)/1000</t>
  </si>
  <si>
    <t>-VLOOKUP($B16,RawData,V$4,FALSE)*VLOOKUP(V$3,ConversionFactors,$D16,FALSE)/1000</t>
  </si>
  <si>
    <t>-VLOOKUP($B16,RawData,W$4,FALSE)*VLOOKUP(W$3,ConversionFactors,2,FALSE)/1000</t>
  </si>
  <si>
    <t>-VLOOKUP($B16,RawData,X$4,FALSE)*VLOOKUP(X$3,ConversionFactors,2,FALSE)/1000</t>
  </si>
  <si>
    <t>-VLOOKUP($B16,RawData,Y$4,FALSE)*VLOOKUP(Y$3,ConversionFactors,2,FALSE)/1000</t>
  </si>
  <si>
    <t>-VLOOKUP($B16,RawData,Z$4,FALSE)*VLOOKUP(Z$3,ConversionFactors,2,FALSE)/1000</t>
  </si>
  <si>
    <t>-VLOOKUP($B16,RawData,AA$4,FALSE)*VLOOKUP(AA$3,ConversionFactors,2,FALSE)/1000</t>
  </si>
  <si>
    <t>-VLOOKUP($B16,RawData,AB$4,FALSE)*VLOOKUP(AB$3,ConversionFactors,2,FALSE)/1000</t>
  </si>
  <si>
    <t>-VLOOKUP($B16,RawData,AC$4,FALSE)*VLOOKUP(AC$3,ConversionFactors,2,FALSE)/1000</t>
  </si>
  <si>
    <t>-VLOOKUP($B16,RawData,AD$4,FALSE)*VLOOKUP(AD$3,ConversionFactors,2,FALSE)/1000</t>
  </si>
  <si>
    <t>-VLOOKUP($B16,RawData,AE$4,FALSE)*VLOOKUP(AE$3,ConversionFactors,2,FALSE)/1000</t>
  </si>
  <si>
    <t>-VLOOKUP($B16,RawData,AF$4,FALSE)*VLOOKUP(AF$3,ConversionFactors,2,FALSE)/1000</t>
  </si>
  <si>
    <t>-VLOOKUP($B16,RawData,AG$4,FALSE)*VLOOKUP(AG$3,ConversionFactors,2,FALSE)/1000</t>
  </si>
  <si>
    <t>-VLOOKUP($B16,RawData,AH$4,FALSE)*VLOOKUP(AH$3,ConversionFactors,2,FALSE)/1000</t>
  </si>
  <si>
    <t>-VLOOKUP($B16,RawData,AI$4,FALSE)*VLOOKUP(AI$3,ConversionFactors,2,FALSE)/1000</t>
  </si>
  <si>
    <t>-VLOOKUP($B16,RawData,AJ$4,FALSE)*VLOOKUP(AJ$3,ConversionFactors,2,FALSE)/1000</t>
  </si>
  <si>
    <t>-VLOOKUP($B16,RawData,AK$4,FALSE)*VLOOKUP(AK$3,ConversionFactors,2,FALSE)/1000</t>
  </si>
  <si>
    <t>-VLOOKUP($B16,RawData,AL$4,FALSE)*VLOOKUP(AL$3,ConversionFactors,2,FALSE)/1000</t>
  </si>
  <si>
    <t>-VLOOKUP($B16,RawData,AM$4,FALSE)*VLOOKUP(AM$3,ConversionFactors,2,FALSE)/1000</t>
  </si>
  <si>
    <t>-VLOOKUP($B16,RawData,AN$4,FALSE)*VLOOKUP(AN$3,ConversionFactors,2,FALSE)/1000</t>
  </si>
  <si>
    <t>-VLOOKUP($B16,RawData,AO$4,FALSE)*VLOOKUP(AO$3,ConversionFactors,2,FALSE)/1000</t>
  </si>
  <si>
    <t>-VLOOKUP($B16,RawData,AP$4,FALSE)*VLOOKUP(AP$3,ConversionFactors,2,FALSE)/1000</t>
  </si>
  <si>
    <t>-VLOOKUP($B16,RawData,AQ$4,FALSE)*VLOOKUP(AQ$3,ConversionFactors,2,FALSE)/1000</t>
  </si>
  <si>
    <t>-VLOOKUP($B16,RawData,AR$4,FALSE)*VLOOKUP(AR$3,ConversionFactors,2,FALSE)/1000</t>
  </si>
  <si>
    <t>-VLOOKUP($B16,RawData,AS$4,FALSE)*VLOOKUP(AS$3,ConversionFactors,2,FALSE)*1</t>
  </si>
  <si>
    <t>-VLOOKUP($B16,RawData,AT$4,FALSE)*1</t>
  </si>
  <si>
    <t>-VLOOKUP($B16,RawData,AU$4,FALSE)*1</t>
  </si>
  <si>
    <t>-VLOOKUP($B16,RawData,AV$4,FALSE)*1</t>
  </si>
  <si>
    <t>-VLOOKUP($B16,RawData,AW$4,FALSE)*1</t>
  </si>
  <si>
    <t>-VLOOKUP($B16,RawData,AX$4,FALSE)*1</t>
  </si>
  <si>
    <t>-VLOOKUP($B16,RawData,AY$4,FALSE)*VLOOKUP(AY$3,ConversionFactors,2,FALSE)/1000</t>
  </si>
  <si>
    <t>-VLOOKUP($B16,RawData,AZ$4,FALSE)*VLOOKUP(AZ$3,ConversionFactors,2,FALSE)/1000</t>
  </si>
  <si>
    <t>-VLOOKUP($B16,RawData,BA$4,FALSE)*VLOOKUP(BA$3,ConversionFactors,2,FALSE)/1000</t>
  </si>
  <si>
    <t>-VLOOKUP($B16,RawData,BB$4,FALSE)*VLOOKUP(BB$3,ConversionFactors,2,FALSE)/1000</t>
  </si>
  <si>
    <t>-VLOOKUP($B16,RawData,BC$4,FALSE)*1</t>
  </si>
  <si>
    <t>-VLOOKUP($B16,RawData,BD$4,FALSE)*VLOOKUP(BD$3,ConversionFactors,2,FALSE)/1000</t>
  </si>
  <si>
    <t>-VLOOKUP("ELAUTOE",RawData,BE$4,FALSE)*3.6/0.33</t>
  </si>
  <si>
    <t>-(VLOOKUP("ELAUTOE",RawData,BF$4,FALSE)-VLOOKUP("AHYDPUMP",RawData,BF$4,FALSE))*3.6</t>
  </si>
  <si>
    <t>-VLOOKUP($B16,RawData,BG$4,FALSE)*1</t>
  </si>
  <si>
    <t>-VLOOKUP("ELAUTOE",RawData,BH$4,FALSE)*3.6</t>
  </si>
  <si>
    <t>-VLOOKUP($B16,RawData,BI$4,FALSE)*1</t>
  </si>
  <si>
    <t>-VLOOKUP("ELAUTOE",RawData,BJ$4,FALSE)*3.6</t>
  </si>
  <si>
    <t>-VLOOKUP("ELAUTOE",RawData,BK$4,FALSE)*3.6</t>
  </si>
  <si>
    <t>-VLOOKUP("ELAUTOE",RawData,BL$4,FALSE)*3.6</t>
  </si>
  <si>
    <t>(VLOOKUP("ELAUTOE",RawData,BM$4,FALSE)-VLOOKUP("AHYDPUMP",RawData,BF$4,FALSE)-VLOOKUP("ELAUTOE",RawData,MATCH("CHEMHEAT",RawDataHeadings,0),FALSE))*3.6</t>
  </si>
  <si>
    <t>-VLOOKUP($B16,RawData,BN$4,FALSE)*1</t>
  </si>
  <si>
    <t>-VLOOKUP($B17,RawData,E$4,FALSE)*VLOOKUP(E$3,ConversionFactors,$D17,FALSE)/1000</t>
  </si>
  <si>
    <t>-VLOOKUP($B17,RawData,F$4,FALSE)*VLOOKUP(F$3,ConversionFactors,$D17,FALSE)/1000</t>
  </si>
  <si>
    <t>-VLOOKUP($B17,RawData,G$4,FALSE)*VLOOKUP(G$3,ConversionFactors,$D17,FALSE)/1000</t>
  </si>
  <si>
    <t>-VLOOKUP($B17,RawData,H$4,FALSE)*VLOOKUP(H$3,ConversionFactors,$D17,FALSE)/1000</t>
  </si>
  <si>
    <t>-VLOOKUP($B17,RawData,I$4,FALSE)*VLOOKUP(I$3,ConversionFactors,$D17,FALSE)/1000</t>
  </si>
  <si>
    <t>-VLOOKUP($B17,RawData,J$4,FALSE)*VLOOKUP(J$3,ConversionFactors,$D17,FALSE)/1000</t>
  </si>
  <si>
    <t>-VLOOKUP($B17,RawData,K$4,FALSE)*VLOOKUP(K$3,ConversionFactors,$D17,FALSE)/1000</t>
  </si>
  <si>
    <t>-VLOOKUP($B17,RawData,L$4,FALSE)*VLOOKUP(L$3,ConversionFactors,$D17,FALSE)/1000</t>
  </si>
  <si>
    <t>-VLOOKUP($B17,RawData,M$4,FALSE)*VLOOKUP(M$3,ConversionFactors,$D17,FALSE)/1000</t>
  </si>
  <si>
    <t>-VLOOKUP($B17,RawData,N$4,FALSE)*VLOOKUP(N$3,ConversionFactors,$D17,FALSE)/1000</t>
  </si>
  <si>
    <t>(-VLOOKUP($B17,RawData,O$4,FALSE)*VLOOKUP(O$3,ConversionFactors,2,FALSE))*1</t>
  </si>
  <si>
    <t>(-VLOOKUP($B17,RawData,P$4,FALSE)*VLOOKUP(P$3,ConversionFactors,2,FALSE))*1</t>
  </si>
  <si>
    <t>(-VLOOKUP($B17,RawData,Q$4,FALSE)*VLOOKUP(Q$3,ConversionFactors,2,FALSE))*1</t>
  </si>
  <si>
    <t>(-VLOOKUP($B17,RawData,R$4,FALSE)*VLOOKUP(R$3,ConversionFactors,2,FALSE))*1</t>
  </si>
  <si>
    <t>-VLOOKUP($B17,RawData,T$4,FALSE)*VLOOKUP(T$3,ConversionFactors,$D17,FALSE)/1000</t>
  </si>
  <si>
    <t>-VLOOKUP($B17,RawData,U$4,FALSE)*VLOOKUP(U$3,ConversionFactors,$D17,FALSE)/1000</t>
  </si>
  <si>
    <t>-VLOOKUP($B17,RawData,V$4,FALSE)*VLOOKUP(V$3,ConversionFactors,$D17,FALSE)/1000</t>
  </si>
  <si>
    <t>-VLOOKUP($B17,RawData,W$4,FALSE)*VLOOKUP(W$3,ConversionFactors,2,FALSE)/1000</t>
  </si>
  <si>
    <t>-VLOOKUP($B17,RawData,X$4,FALSE)*VLOOKUP(X$3,ConversionFactors,2,FALSE)/1000</t>
  </si>
  <si>
    <t>-VLOOKUP($B17,RawData,Y$4,FALSE)*VLOOKUP(Y$3,ConversionFactors,2,FALSE)/1000</t>
  </si>
  <si>
    <t>-VLOOKUP($B17,RawData,Z$4,FALSE)*VLOOKUP(Z$3,ConversionFactors,2,FALSE)/1000</t>
  </si>
  <si>
    <t>-VLOOKUP($B17,RawData,AA$4,FALSE)*VLOOKUP(AA$3,ConversionFactors,2,FALSE)/1000</t>
  </si>
  <si>
    <t>-VLOOKUP($B17,RawData,AB$4,FALSE)*VLOOKUP(AB$3,ConversionFactors,2,FALSE)/1000</t>
  </si>
  <si>
    <t>-VLOOKUP($B17,RawData,AC$4,FALSE)*VLOOKUP(AC$3,ConversionFactors,2,FALSE)/1000</t>
  </si>
  <si>
    <t>-VLOOKUP($B17,RawData,AD$4,FALSE)*VLOOKUP(AD$3,ConversionFactors,2,FALSE)/1000</t>
  </si>
  <si>
    <t>-VLOOKUP($B17,RawData,AE$4,FALSE)*VLOOKUP(AE$3,ConversionFactors,2,FALSE)/1000</t>
  </si>
  <si>
    <t>-VLOOKUP($B17,RawData,AF$4,FALSE)*VLOOKUP(AF$3,ConversionFactors,2,FALSE)/1000</t>
  </si>
  <si>
    <t>-VLOOKUP($B17,RawData,AG$4,FALSE)*VLOOKUP(AG$3,ConversionFactors,2,FALSE)/1000</t>
  </si>
  <si>
    <t>-VLOOKUP($B17,RawData,AH$4,FALSE)*VLOOKUP(AH$3,ConversionFactors,2,FALSE)/1000</t>
  </si>
  <si>
    <t>-VLOOKUP($B17,RawData,AI$4,FALSE)*VLOOKUP(AI$3,ConversionFactors,2,FALSE)/1000</t>
  </si>
  <si>
    <t>-VLOOKUP($B17,RawData,AJ$4,FALSE)*VLOOKUP(AJ$3,ConversionFactors,2,FALSE)/1000</t>
  </si>
  <si>
    <t>-VLOOKUP($B17,RawData,AK$4,FALSE)*VLOOKUP(AK$3,ConversionFactors,2,FALSE)/1000</t>
  </si>
  <si>
    <t>-VLOOKUP($B17,RawData,AL$4,FALSE)*VLOOKUP(AL$3,ConversionFactors,2,FALSE)/1000</t>
  </si>
  <si>
    <t>-VLOOKUP($B17,RawData,AM$4,FALSE)*VLOOKUP(AM$3,ConversionFactors,2,FALSE)/1000</t>
  </si>
  <si>
    <t>-VLOOKUP($B17,RawData,AN$4,FALSE)*VLOOKUP(AN$3,ConversionFactors,2,FALSE)/1000</t>
  </si>
  <si>
    <t>-VLOOKUP($B17,RawData,AO$4,FALSE)*VLOOKUP(AO$3,ConversionFactors,2,FALSE)/1000</t>
  </si>
  <si>
    <t>-VLOOKUP($B17,RawData,AP$4,FALSE)*VLOOKUP(AP$3,ConversionFactors,2,FALSE)/1000</t>
  </si>
  <si>
    <t>-VLOOKUP($B17,RawData,AQ$4,FALSE)*VLOOKUP(AQ$3,ConversionFactors,2,FALSE)/1000</t>
  </si>
  <si>
    <t>-VLOOKUP($B17,RawData,AR$4,FALSE)*VLOOKUP(AR$3,ConversionFactors,2,FALSE)/1000</t>
  </si>
  <si>
    <t>-VLOOKUP($B17,RawData,AS$4,FALSE)*VLOOKUP(AS$3,ConversionFactors,2,FALSE)*1</t>
  </si>
  <si>
    <t>-VLOOKUP($B17,RawData,AT$4,FALSE)*1</t>
  </si>
  <si>
    <t>-VLOOKUP($B17,RawData,AU$4,FALSE)*1</t>
  </si>
  <si>
    <t>-VLOOKUP($B17,RawData,AV$4,FALSE)*1</t>
  </si>
  <si>
    <t>-VLOOKUP($B17,RawData,AW$4,FALSE)*1</t>
  </si>
  <si>
    <t>-VLOOKUP($B17,RawData,AX$4,FALSE)*1</t>
  </si>
  <si>
    <t>-VLOOKUP($B17,RawData,AY$4,FALSE)*VLOOKUP(AY$3,ConversionFactors,2,FALSE)/1000</t>
  </si>
  <si>
    <t>-VLOOKUP($B17,RawData,AZ$4,FALSE)*VLOOKUP(AZ$3,ConversionFactors,2,FALSE)/1000</t>
  </si>
  <si>
    <t>-VLOOKUP($B17,RawData,BA$4,FALSE)*VLOOKUP(BA$3,ConversionFactors,2,FALSE)/1000</t>
  </si>
  <si>
    <t>-VLOOKUP($B17,RawData,BB$4,FALSE)*VLOOKUP(BB$3,ConversionFactors,2,FALSE)/1000</t>
  </si>
  <si>
    <t>-VLOOKUP($B17,RawData,BC$4,FALSE)*1</t>
  </si>
  <si>
    <t>-VLOOKUP($B17,RawData,BD$4,FALSE)*VLOOKUP(BD$3,ConversionFactors,2,FALSE)/1000</t>
  </si>
  <si>
    <t>-VLOOKUP("ELMAINC",RawData,BE$4,FALSE)*3.6/0.33-VLOOKUP("HEMAINC",RawData,BE$4,FALSE)*1</t>
  </si>
  <si>
    <t>-VLOOKUP("ELMAINC",RawData,BF$4,FALSE)*3.6-VLOOKUP("HEMAINC",RawData,BF$4,FALSE)*1</t>
  </si>
  <si>
    <t>-VLOOKUP($B17,RawData,BG$4,FALSE)*1</t>
  </si>
  <si>
    <t>-VLOOKUP("ELMAINC",RawData,BH$4,FALSE)*3.6-VLOOKUP("HEMAINC",RawData,BH$4,FALSE)*1</t>
  </si>
  <si>
    <t>-VLOOKUP($B17,RawData,BI$4,FALSE)*1</t>
  </si>
  <si>
    <t>-VLOOKUP("ELMAINC",RawData,BJ$4,FALSE)*3.6-VLOOKUP("HEMAINC",RawData,BJ$4,FALSE)*1</t>
  </si>
  <si>
    <t>-VLOOKUP("ELMAINC",RawData,BK$4,FALSE)*3.6-VLOOKUP("HEMAINC",RawData,BK$4,FALSE)*1</t>
  </si>
  <si>
    <t>-VLOOKUP("ELMAINC",RawData,BL$4,FALSE)*3.6-VLOOKUP("HEMAINC",RawData,BL$4,FALSE)*1</t>
  </si>
  <si>
    <t>(VLOOKUP("ELMAINC",RawData,BM$4,FALSE)-VLOOKUP("ELMAINC",RawData,MATCH("CHEMHEAT",RawDataHeadings,0),FALSE))*3.6</t>
  </si>
  <si>
    <t>(VLOOKUP("HEMAINC",RawData,BN$4,FALSE)-SUM(VLOOKUP("HEMAINC",RawData,MATCH("HEATPUMP",RawDataHeadings,0),FALSE),VLOOKUP("HEMAINC",RawData,MATCH("BOILER",RawDataHeadings,0),FALSE),VLOOKUP("HEMAINC",RawData,MATCH("CHEMHEAT",RawDataHeadings,0),FALSE)))*1</t>
  </si>
  <si>
    <t>-VLOOKUP($B18,RawData,E$4,FALSE)*VLOOKUP(E$3,ConversionFactors,$D18,FALSE)/1000</t>
  </si>
  <si>
    <t>-VLOOKUP($B18,RawData,F$4,FALSE)*VLOOKUP(F$3,ConversionFactors,$D18,FALSE)/1000</t>
  </si>
  <si>
    <t>-VLOOKUP($B18,RawData,G$4,FALSE)*VLOOKUP(G$3,ConversionFactors,$D18,FALSE)/1000</t>
  </si>
  <si>
    <t>-VLOOKUP($B18,RawData,H$4,FALSE)*VLOOKUP(H$3,ConversionFactors,$D18,FALSE)/1000</t>
  </si>
  <si>
    <t>-VLOOKUP($B18,RawData,I$4,FALSE)*VLOOKUP(I$3,ConversionFactors,$D18,FALSE)/1000</t>
  </si>
  <si>
    <t>-VLOOKUP($B18,RawData,J$4,FALSE)*VLOOKUP(J$3,ConversionFactors,$D18,FALSE)/1000</t>
  </si>
  <si>
    <t>-VLOOKUP($B18,RawData,K$4,FALSE)*VLOOKUP(K$3,ConversionFactors,$D18,FALSE)/1000</t>
  </si>
  <si>
    <t>-VLOOKUP($B18,RawData,L$4,FALSE)*VLOOKUP(L$3,ConversionFactors,$D18,FALSE)/1000</t>
  </si>
  <si>
    <t>-VLOOKUP($B18,RawData,M$4,FALSE)*VLOOKUP(M$3,ConversionFactors,$D18,FALSE)/1000</t>
  </si>
  <si>
    <t>-VLOOKUP($B18,RawData,N$4,FALSE)*VLOOKUP(N$3,ConversionFactors,$D18,FALSE)/1000</t>
  </si>
  <si>
    <t>(-VLOOKUP($B18,RawData,O$4,FALSE)*VLOOKUP(O$3,ConversionFactors,2,FALSE))*1</t>
  </si>
  <si>
    <t>(-VLOOKUP($B18,RawData,P$4,FALSE)*VLOOKUP(P$3,ConversionFactors,2,FALSE))*1</t>
  </si>
  <si>
    <t>(-VLOOKUP($B18,RawData,Q$4,FALSE)*VLOOKUP(Q$3,ConversionFactors,2,FALSE))*1</t>
  </si>
  <si>
    <t>(-VLOOKUP($B18,RawData,R$4,FALSE)*VLOOKUP(R$3,ConversionFactors,2,FALSE))*1</t>
  </si>
  <si>
    <t>-VLOOKUP($B18,RawData,T$4,FALSE)*VLOOKUP(T$3,ConversionFactors,$D18,FALSE)/1000</t>
  </si>
  <si>
    <t>-VLOOKUP($B18,RawData,U$4,FALSE)*VLOOKUP(U$3,ConversionFactors,$D18,FALSE)/1000</t>
  </si>
  <si>
    <t>-VLOOKUP($B18,RawData,V$4,FALSE)*VLOOKUP(V$3,ConversionFactors,$D18,FALSE)/1000</t>
  </si>
  <si>
    <t>-VLOOKUP($B18,RawData,W$4,FALSE)*VLOOKUP(W$3,ConversionFactors,2,FALSE)/1000</t>
  </si>
  <si>
    <t>-VLOOKUP($B18,RawData,X$4,FALSE)*VLOOKUP(X$3,ConversionFactors,2,FALSE)/1000</t>
  </si>
  <si>
    <t>-VLOOKUP($B18,RawData,Y$4,FALSE)*VLOOKUP(Y$3,ConversionFactors,2,FALSE)/1000</t>
  </si>
  <si>
    <t>-VLOOKUP($B18,RawData,Z$4,FALSE)*VLOOKUP(Z$3,ConversionFactors,2,FALSE)/1000</t>
  </si>
  <si>
    <t>-VLOOKUP($B18,RawData,AA$4,FALSE)*VLOOKUP(AA$3,ConversionFactors,2,FALSE)/1000</t>
  </si>
  <si>
    <t>-VLOOKUP($B18,RawData,AB$4,FALSE)*VLOOKUP(AB$3,ConversionFactors,2,FALSE)/1000</t>
  </si>
  <si>
    <t>-VLOOKUP($B18,RawData,AC$4,FALSE)*VLOOKUP(AC$3,ConversionFactors,2,FALSE)/1000</t>
  </si>
  <si>
    <t>-VLOOKUP($B18,RawData,AD$4,FALSE)*VLOOKUP(AD$3,ConversionFactors,2,FALSE)/1000</t>
  </si>
  <si>
    <t>-VLOOKUP($B18,RawData,AE$4,FALSE)*VLOOKUP(AE$3,ConversionFactors,2,FALSE)/1000</t>
  </si>
  <si>
    <t>-VLOOKUP($B18,RawData,AF$4,FALSE)*VLOOKUP(AF$3,ConversionFactors,2,FALSE)/1000</t>
  </si>
  <si>
    <t>-VLOOKUP($B18,RawData,AG$4,FALSE)*VLOOKUP(AG$3,ConversionFactors,2,FALSE)/1000</t>
  </si>
  <si>
    <t>-VLOOKUP($B18,RawData,AH$4,FALSE)*VLOOKUP(AH$3,ConversionFactors,2,FALSE)/1000</t>
  </si>
  <si>
    <t>-VLOOKUP($B18,RawData,AI$4,FALSE)*VLOOKUP(AI$3,ConversionFactors,2,FALSE)/1000</t>
  </si>
  <si>
    <t>-VLOOKUP($B18,RawData,AJ$4,FALSE)*VLOOKUP(AJ$3,ConversionFactors,2,FALSE)/1000</t>
  </si>
  <si>
    <t>-VLOOKUP($B18,RawData,AK$4,FALSE)*VLOOKUP(AK$3,ConversionFactors,2,FALSE)/1000</t>
  </si>
  <si>
    <t>-VLOOKUP($B18,RawData,AL$4,FALSE)*VLOOKUP(AL$3,ConversionFactors,2,FALSE)/1000</t>
  </si>
  <si>
    <t>-VLOOKUP($B18,RawData,AM$4,FALSE)*VLOOKUP(AM$3,ConversionFactors,2,FALSE)/1000</t>
  </si>
  <si>
    <t>-VLOOKUP($B18,RawData,AN$4,FALSE)*VLOOKUP(AN$3,ConversionFactors,2,FALSE)/1000</t>
  </si>
  <si>
    <t>-VLOOKUP($B18,RawData,AO$4,FALSE)*VLOOKUP(AO$3,ConversionFactors,2,FALSE)/1000</t>
  </si>
  <si>
    <t>-VLOOKUP($B18,RawData,AP$4,FALSE)*VLOOKUP(AP$3,ConversionFactors,2,FALSE)/1000</t>
  </si>
  <si>
    <t>-VLOOKUP($B18,RawData,AQ$4,FALSE)*VLOOKUP(AQ$3,ConversionFactors,2,FALSE)/1000</t>
  </si>
  <si>
    <t>-VLOOKUP($B18,RawData,AR$4,FALSE)*VLOOKUP(AR$3,ConversionFactors,2,FALSE)/1000</t>
  </si>
  <si>
    <t>-VLOOKUP($B18,RawData,AS$4,FALSE)*VLOOKUP(AS$3,ConversionFactors,2,FALSE)*1</t>
  </si>
  <si>
    <t>-VLOOKUP($B18,RawData,AT$4,FALSE)*1</t>
  </si>
  <si>
    <t>-VLOOKUP($B18,RawData,AU$4,FALSE)*1</t>
  </si>
  <si>
    <t>-VLOOKUP($B18,RawData,AV$4,FALSE)*1</t>
  </si>
  <si>
    <t>-VLOOKUP($B18,RawData,AW$4,FALSE)*1</t>
  </si>
  <si>
    <t>-VLOOKUP($B18,RawData,AX$4,FALSE)*1</t>
  </si>
  <si>
    <t>-VLOOKUP($B18,RawData,AY$4,FALSE)*VLOOKUP(AY$3,ConversionFactors,2,FALSE)/1000</t>
  </si>
  <si>
    <t>-VLOOKUP($B18,RawData,AZ$4,FALSE)*VLOOKUP(AZ$3,ConversionFactors,2,FALSE)/1000</t>
  </si>
  <si>
    <t>-VLOOKUP($B18,RawData,BA$4,FALSE)*VLOOKUP(BA$3,ConversionFactors,2,FALSE)/1000</t>
  </si>
  <si>
    <t>-VLOOKUP($B18,RawData,BB$4,FALSE)*VLOOKUP(BB$3,ConversionFactors,2,FALSE)/1000</t>
  </si>
  <si>
    <t>-VLOOKUP($B18,RawData,BC$4,FALSE)*1</t>
  </si>
  <si>
    <t>-VLOOKUP($B18,RawData,BD$4,FALSE)*VLOOKUP(BD$3,ConversionFactors,2,FALSE)/1000</t>
  </si>
  <si>
    <t>-VLOOKUP("ELAUTOC",RawData,BE$4,FALSE)*3.6/0.33-VLOOKUP("HEAUTOC",RawData,BE$4,FALSE)*1</t>
  </si>
  <si>
    <t>-VLOOKUP("ELAUTOC",RawData,BF$4,FALSE)*3.6-VLOOKUP("HEAUTOC",RawData,BF$4,FALSE)*1</t>
  </si>
  <si>
    <t>-VLOOKUP($B18,RawData,BG$4,FALSE)*1</t>
  </si>
  <si>
    <t>-VLOOKUP("ELAUTOC",RawData,BH$4,FALSE)*3.6-VLOOKUP("HEAUTOC",RawData,BH$4,FALSE)*1</t>
  </si>
  <si>
    <t>-VLOOKUP($B18,RawData,BI$4,FALSE)*1</t>
  </si>
  <si>
    <t>-VLOOKUP("ELAUTOC",RawData,BJ$4,FALSE)*3.6-VLOOKUP("HEAUTOC",RawData,BJ$4,FALSE)*1</t>
  </si>
  <si>
    <t>-VLOOKUP("ELAUTOC",RawData,BK$4,FALSE)*3.6-VLOOKUP("HEAUTOC",RawData,BK$4,FALSE)*1</t>
  </si>
  <si>
    <t>-VLOOKUP("ELAUTOC",RawData,BL$4,FALSE)*3.6-VLOOKUP("HEAUTOC",RawData,BL$4,FALSE)*1</t>
  </si>
  <si>
    <t>(VLOOKUP("ELAUTOC",RawData,BM$4,FALSE)-VLOOKUP("ELAUTOC",RawData,MATCH("CHEMHEAT",RawDataHeadings,0),FALSE))*3.6</t>
  </si>
  <si>
    <t>(VLOOKUP("HEAUTOC",RawData,BN$4,FALSE)-SUM(VLOOKUP("HEAUTOC",RawData,MATCH("HEATPUMP",RawDataHeadings,0),FALSE),VLOOKUP("HEAUTOC",RawData,MATCH("BOILER",RawDataHeadings,0),FALSE),VLOOKUP("HEAUTOC",RawData,MATCH("CHEMHEAT",RawDataHeadings,0),FALSE)))*1</t>
  </si>
  <si>
    <t>-VLOOKUP($B19,RawData,E$4,FALSE)*VLOOKUP(E$3,ConversionFactors,$D19,FALSE)/1000</t>
  </si>
  <si>
    <t>-VLOOKUP($B19,RawData,F$4,FALSE)*VLOOKUP(F$3,ConversionFactors,$D19,FALSE)/1000</t>
  </si>
  <si>
    <t>-VLOOKUP($B19,RawData,G$4,FALSE)*VLOOKUP(G$3,ConversionFactors,$D19,FALSE)/1000</t>
  </si>
  <si>
    <t>-VLOOKUP($B19,RawData,H$4,FALSE)*VLOOKUP(H$3,ConversionFactors,$D19,FALSE)/1000</t>
  </si>
  <si>
    <t>-VLOOKUP($B19,RawData,I$4,FALSE)*VLOOKUP(I$3,ConversionFactors,$D19,FALSE)/1000</t>
  </si>
  <si>
    <t>-VLOOKUP($B19,RawData,J$4,FALSE)*VLOOKUP(J$3,ConversionFactors,$D19,FALSE)/1000</t>
  </si>
  <si>
    <t>-VLOOKUP($B19,RawData,K$4,FALSE)*VLOOKUP(K$3,ConversionFactors,$D19,FALSE)/1000</t>
  </si>
  <si>
    <t>-VLOOKUP($B19,RawData,L$4,FALSE)*VLOOKUP(L$3,ConversionFactors,$D19,FALSE)/1000</t>
  </si>
  <si>
    <t>-VLOOKUP($B19,RawData,M$4,FALSE)*VLOOKUP(M$3,ConversionFactors,$D19,FALSE)/1000</t>
  </si>
  <si>
    <t>-VLOOKUP($B19,RawData,N$4,FALSE)*VLOOKUP(N$3,ConversionFactors,$D19,FALSE)/1000</t>
  </si>
  <si>
    <t>(-VLOOKUP($B19,RawData,O$4,FALSE)*VLOOKUP(O$3,ConversionFactors,2,FALSE))*1</t>
  </si>
  <si>
    <t>(-VLOOKUP($B19,RawData,P$4,FALSE)*VLOOKUP(P$3,ConversionFactors,2,FALSE))*1</t>
  </si>
  <si>
    <t>(-VLOOKUP($B19,RawData,Q$4,FALSE)*VLOOKUP(Q$3,ConversionFactors,2,FALSE))*1</t>
  </si>
  <si>
    <t>(-VLOOKUP($B19,RawData,R$4,FALSE)*VLOOKUP(R$3,ConversionFactors,2,FALSE))*1</t>
  </si>
  <si>
    <t>-VLOOKUP($B19,RawData,T$4,FALSE)*VLOOKUP(T$3,ConversionFactors,$D19,FALSE)/1000</t>
  </si>
  <si>
    <t>-VLOOKUP($B19,RawData,U$4,FALSE)*VLOOKUP(U$3,ConversionFactors,$D19,FALSE)/1000</t>
  </si>
  <si>
    <t>-VLOOKUP($B19,RawData,V$4,FALSE)*VLOOKUP(V$3,ConversionFactors,$D19,FALSE)/1000</t>
  </si>
  <si>
    <t>-VLOOKUP($B19,RawData,W$4,FALSE)*VLOOKUP(W$3,ConversionFactors,2,FALSE)/1000</t>
  </si>
  <si>
    <t>-VLOOKUP($B19,RawData,X$4,FALSE)*VLOOKUP(X$3,ConversionFactors,2,FALSE)/1000</t>
  </si>
  <si>
    <t>-VLOOKUP($B19,RawData,Y$4,FALSE)*VLOOKUP(Y$3,ConversionFactors,2,FALSE)/1000</t>
  </si>
  <si>
    <t>-VLOOKUP($B19,RawData,Z$4,FALSE)*VLOOKUP(Z$3,ConversionFactors,2,FALSE)/1000</t>
  </si>
  <si>
    <t>-VLOOKUP($B19,RawData,AA$4,FALSE)*VLOOKUP(AA$3,ConversionFactors,2,FALSE)/1000</t>
  </si>
  <si>
    <t>-VLOOKUP($B19,RawData,AB$4,FALSE)*VLOOKUP(AB$3,ConversionFactors,2,FALSE)/1000</t>
  </si>
  <si>
    <t>-VLOOKUP($B19,RawData,AC$4,FALSE)*VLOOKUP(AC$3,ConversionFactors,2,FALSE)/1000</t>
  </si>
  <si>
    <t>-VLOOKUP($B19,RawData,AD$4,FALSE)*VLOOKUP(AD$3,ConversionFactors,2,FALSE)/1000</t>
  </si>
  <si>
    <t>-VLOOKUP($B19,RawData,AE$4,FALSE)*VLOOKUP(AE$3,ConversionFactors,2,FALSE)/1000</t>
  </si>
  <si>
    <t>-VLOOKUP($B19,RawData,AF$4,FALSE)*VLOOKUP(AF$3,ConversionFactors,2,FALSE)/1000</t>
  </si>
  <si>
    <t>-VLOOKUP($B19,RawData,AG$4,FALSE)*VLOOKUP(AG$3,ConversionFactors,2,FALSE)/1000</t>
  </si>
  <si>
    <t>-VLOOKUP($B19,RawData,AH$4,FALSE)*VLOOKUP(AH$3,ConversionFactors,2,FALSE)/1000</t>
  </si>
  <si>
    <t>-VLOOKUP($B19,RawData,AI$4,FALSE)*VLOOKUP(AI$3,ConversionFactors,2,FALSE)/1000</t>
  </si>
  <si>
    <t>-VLOOKUP($B19,RawData,AJ$4,FALSE)*VLOOKUP(AJ$3,ConversionFactors,2,FALSE)/1000</t>
  </si>
  <si>
    <t>-VLOOKUP($B19,RawData,AK$4,FALSE)*VLOOKUP(AK$3,ConversionFactors,2,FALSE)/1000</t>
  </si>
  <si>
    <t>-VLOOKUP($B19,RawData,AL$4,FALSE)*VLOOKUP(AL$3,ConversionFactors,2,FALSE)/1000</t>
  </si>
  <si>
    <t>-VLOOKUP($B19,RawData,AM$4,FALSE)*VLOOKUP(AM$3,ConversionFactors,2,FALSE)/1000</t>
  </si>
  <si>
    <t>-VLOOKUP($B19,RawData,AN$4,FALSE)*VLOOKUP(AN$3,ConversionFactors,2,FALSE)/1000</t>
  </si>
  <si>
    <t>-VLOOKUP($B19,RawData,AO$4,FALSE)*VLOOKUP(AO$3,ConversionFactors,2,FALSE)/1000</t>
  </si>
  <si>
    <t>-VLOOKUP($B19,RawData,AP$4,FALSE)*VLOOKUP(AP$3,ConversionFactors,2,FALSE)/1000</t>
  </si>
  <si>
    <t>-VLOOKUP($B19,RawData,AQ$4,FALSE)*VLOOKUP(AQ$3,ConversionFactors,2,FALSE)/1000</t>
  </si>
  <si>
    <t>-VLOOKUP($B19,RawData,AR$4,FALSE)*VLOOKUP(AR$3,ConversionFactors,2,FALSE)/1000</t>
  </si>
  <si>
    <t>-VLOOKUP($B19,RawData,AS$4,FALSE)*VLOOKUP(AS$3,ConversionFactors,2,FALSE)*1</t>
  </si>
  <si>
    <t>-VLOOKUP($B19,RawData,AT$4,FALSE)*1</t>
  </si>
  <si>
    <t>-VLOOKUP($B19,RawData,AU$4,FALSE)*1</t>
  </si>
  <si>
    <t>-VLOOKUP($B19,RawData,AV$4,FALSE)*1</t>
  </si>
  <si>
    <t>-VLOOKUP($B19,RawData,AW$4,FALSE)*1</t>
  </si>
  <si>
    <t>-VLOOKUP($B19,RawData,AX$4,FALSE)*1</t>
  </si>
  <si>
    <t>-VLOOKUP($B19,RawData,AY$4,FALSE)*VLOOKUP(AY$3,ConversionFactors,2,FALSE)/1000</t>
  </si>
  <si>
    <t>-VLOOKUP($B19,RawData,AZ$4,FALSE)*VLOOKUP(AZ$3,ConversionFactors,2,FALSE)/1000</t>
  </si>
  <si>
    <t>-VLOOKUP($B19,RawData,BA$4,FALSE)*VLOOKUP(BA$3,ConversionFactors,2,FALSE)/1000</t>
  </si>
  <si>
    <t>-VLOOKUP($B19,RawData,BB$4,FALSE)*VLOOKUP(BB$3,ConversionFactors,2,FALSE)/1000</t>
  </si>
  <si>
    <t>-VLOOKUP($B19,RawData,BC$4,FALSE)*1</t>
  </si>
  <si>
    <t>-VLOOKUP($B19,RawData,BD$4,FALSE)*VLOOKUP(BD$3,ConversionFactors,2,FALSE)/1000</t>
  </si>
  <si>
    <t>-VLOOKUP("HEMAINH",RawData,BE$4,FALSE)*1</t>
  </si>
  <si>
    <t>-VLOOKUP("HEMAINH",RawData,BF$4,FALSE)*1</t>
  </si>
  <si>
    <t>-VLOOKUP($B19,RawData,BG$4,FALSE)*1</t>
  </si>
  <si>
    <t>-VLOOKUP("HEMAINH",RawData,BH$4,FALSE)*1</t>
  </si>
  <si>
    <t>-VLOOKUP($B19,RawData,BI$4,FALSE)*1</t>
  </si>
  <si>
    <t>-VLOOKUP("HEMAINH",RawData,BJ$4,FALSE)*1</t>
  </si>
  <si>
    <t>-VLOOKUP("HEMAINH",RawData,BK$4,FALSE)*1</t>
  </si>
  <si>
    <t>-VLOOKUP("HEMAINH",RawData,BL$4,FALSE)*1</t>
  </si>
  <si>
    <t>-VLOOKUP($B19,RawData,BM$4,FALSE)*3.6</t>
  </si>
  <si>
    <t>(VLOOKUP("HEMAINH",RawData,BN$4,FALSE)-SUM(VLOOKUP("HEMAINH",RawData,MATCH("HEATPUMP",RawDataHeadings,0),FALSE),VLOOKUP("HEMAINH",RawData,MATCH("BOILER",RawDataHeadings,0),FALSE),VLOOKUP("HEMAINH",RawData,MATCH("CHEMHEAT",RawDataHeadings,0),FALSE)))*1</t>
  </si>
  <si>
    <t>-VLOOKUP($B20,RawData,E$4,FALSE)*VLOOKUP(E$3,ConversionFactors,$D20,FALSE)/1000</t>
  </si>
  <si>
    <t>-VLOOKUP($B20,RawData,F$4,FALSE)*VLOOKUP(F$3,ConversionFactors,$D20,FALSE)/1000</t>
  </si>
  <si>
    <t>-VLOOKUP($B20,RawData,G$4,FALSE)*VLOOKUP(G$3,ConversionFactors,$D20,FALSE)/1000</t>
  </si>
  <si>
    <t>-VLOOKUP($B20,RawData,H$4,FALSE)*VLOOKUP(H$3,ConversionFactors,$D20,FALSE)/1000</t>
  </si>
  <si>
    <t>-VLOOKUP($B20,RawData,I$4,FALSE)*VLOOKUP(I$3,ConversionFactors,$D20,FALSE)/1000</t>
  </si>
  <si>
    <t>-VLOOKUP($B20,RawData,J$4,FALSE)*VLOOKUP(J$3,ConversionFactors,$D20,FALSE)/1000</t>
  </si>
  <si>
    <t>-VLOOKUP($B20,RawData,K$4,FALSE)*VLOOKUP(K$3,ConversionFactors,$D20,FALSE)/1000</t>
  </si>
  <si>
    <t>-VLOOKUP($B20,RawData,L$4,FALSE)*VLOOKUP(L$3,ConversionFactors,$D20,FALSE)/1000</t>
  </si>
  <si>
    <t>-VLOOKUP($B20,RawData,M$4,FALSE)*VLOOKUP(M$3,ConversionFactors,$D20,FALSE)/1000</t>
  </si>
  <si>
    <t>-VLOOKUP($B20,RawData,N$4,FALSE)*VLOOKUP(N$3,ConversionFactors,$D20,FALSE)/1000</t>
  </si>
  <si>
    <t>(-VLOOKUP($B20,RawData,O$4,FALSE)*VLOOKUP(O$3,ConversionFactors,2,FALSE))*1</t>
  </si>
  <si>
    <t>(-VLOOKUP($B20,RawData,P$4,FALSE)*VLOOKUP(P$3,ConversionFactors,2,FALSE))*1</t>
  </si>
  <si>
    <t>(-VLOOKUP($B20,RawData,Q$4,FALSE)*VLOOKUP(Q$3,ConversionFactors,2,FALSE))*1</t>
  </si>
  <si>
    <t>(-VLOOKUP($B20,RawData,R$4,FALSE)*VLOOKUP(R$3,ConversionFactors,2,FALSE))*1</t>
  </si>
  <si>
    <t>-VLOOKUP($B20,RawData,T$4,FALSE)*VLOOKUP(T$3,ConversionFactors,$D20,FALSE)/1000</t>
  </si>
  <si>
    <t>-VLOOKUP($B20,RawData,U$4,FALSE)*VLOOKUP(U$3,ConversionFactors,$D20,FALSE)/1000</t>
  </si>
  <si>
    <t>-VLOOKUP($B20,RawData,V$4,FALSE)*VLOOKUP(V$3,ConversionFactors,$D20,FALSE)/1000</t>
  </si>
  <si>
    <t>-VLOOKUP($B20,RawData,W$4,FALSE)*VLOOKUP(W$3,ConversionFactors,2,FALSE)/1000</t>
  </si>
  <si>
    <t>-VLOOKUP($B20,RawData,X$4,FALSE)*VLOOKUP(X$3,ConversionFactors,2,FALSE)/1000</t>
  </si>
  <si>
    <t>-VLOOKUP($B20,RawData,Y$4,FALSE)*VLOOKUP(Y$3,ConversionFactors,2,FALSE)/1000</t>
  </si>
  <si>
    <t>-VLOOKUP($B20,RawData,Z$4,FALSE)*VLOOKUP(Z$3,ConversionFactors,2,FALSE)/1000</t>
  </si>
  <si>
    <t>-VLOOKUP($B20,RawData,AA$4,FALSE)*VLOOKUP(AA$3,ConversionFactors,2,FALSE)/1000</t>
  </si>
  <si>
    <t>-VLOOKUP($B20,RawData,AB$4,FALSE)*VLOOKUP(AB$3,ConversionFactors,2,FALSE)/1000</t>
  </si>
  <si>
    <t>-VLOOKUP($B20,RawData,AC$4,FALSE)*VLOOKUP(AC$3,ConversionFactors,2,FALSE)/1000</t>
  </si>
  <si>
    <t>-VLOOKUP($B20,RawData,AD$4,FALSE)*VLOOKUP(AD$3,ConversionFactors,2,FALSE)/1000</t>
  </si>
  <si>
    <t>-VLOOKUP($B20,RawData,AE$4,FALSE)*VLOOKUP(AE$3,ConversionFactors,2,FALSE)/1000</t>
  </si>
  <si>
    <t>-VLOOKUP($B20,RawData,AF$4,FALSE)*VLOOKUP(AF$3,ConversionFactors,2,FALSE)/1000</t>
  </si>
  <si>
    <t>-VLOOKUP($B20,RawData,AG$4,FALSE)*VLOOKUP(AG$3,ConversionFactors,2,FALSE)/1000</t>
  </si>
  <si>
    <t>-VLOOKUP($B20,RawData,AH$4,FALSE)*VLOOKUP(AH$3,ConversionFactors,2,FALSE)/1000</t>
  </si>
  <si>
    <t>-VLOOKUP($B20,RawData,AI$4,FALSE)*VLOOKUP(AI$3,ConversionFactors,2,FALSE)/1000</t>
  </si>
  <si>
    <t>-VLOOKUP($B20,RawData,AJ$4,FALSE)*VLOOKUP(AJ$3,ConversionFactors,2,FALSE)/1000</t>
  </si>
  <si>
    <t>-VLOOKUP($B20,RawData,AK$4,FALSE)*VLOOKUP(AK$3,ConversionFactors,2,FALSE)/1000</t>
  </si>
  <si>
    <t>-VLOOKUP($B20,RawData,AL$4,FALSE)*VLOOKUP(AL$3,ConversionFactors,2,FALSE)/1000</t>
  </si>
  <si>
    <t>-VLOOKUP($B20,RawData,AM$4,FALSE)*VLOOKUP(AM$3,ConversionFactors,2,FALSE)/1000</t>
  </si>
  <si>
    <t>-VLOOKUP($B20,RawData,AN$4,FALSE)*VLOOKUP(AN$3,ConversionFactors,2,FALSE)/1000</t>
  </si>
  <si>
    <t>-VLOOKUP($B20,RawData,AO$4,FALSE)*VLOOKUP(AO$3,ConversionFactors,2,FALSE)/1000</t>
  </si>
  <si>
    <t>-VLOOKUP($B20,RawData,AP$4,FALSE)*VLOOKUP(AP$3,ConversionFactors,2,FALSE)/1000</t>
  </si>
  <si>
    <t>-VLOOKUP($B20,RawData,AQ$4,FALSE)*VLOOKUP(AQ$3,ConversionFactors,2,FALSE)/1000</t>
  </si>
  <si>
    <t>-VLOOKUP($B20,RawData,AR$4,FALSE)*VLOOKUP(AR$3,ConversionFactors,2,FALSE)/1000</t>
  </si>
  <si>
    <t>-VLOOKUP($B20,RawData,AS$4,FALSE)*VLOOKUP(AS$3,ConversionFactors,2,FALSE)*1</t>
  </si>
  <si>
    <t>-VLOOKUP($B20,RawData,AT$4,FALSE)*1</t>
  </si>
  <si>
    <t>-VLOOKUP($B20,RawData,AU$4,FALSE)*1</t>
  </si>
  <si>
    <t>-VLOOKUP($B20,RawData,AV$4,FALSE)*1</t>
  </si>
  <si>
    <t>-VLOOKUP($B20,RawData,AW$4,FALSE)*1</t>
  </si>
  <si>
    <t>-VLOOKUP($B20,RawData,AX$4,FALSE)*1</t>
  </si>
  <si>
    <t>-VLOOKUP($B20,RawData,AY$4,FALSE)*VLOOKUP(AY$3,ConversionFactors,2,FALSE)/1000</t>
  </si>
  <si>
    <t>-VLOOKUP($B20,RawData,AZ$4,FALSE)*VLOOKUP(AZ$3,ConversionFactors,2,FALSE)/1000</t>
  </si>
  <si>
    <t>-VLOOKUP($B20,RawData,BA$4,FALSE)*VLOOKUP(BA$3,ConversionFactors,2,FALSE)/1000</t>
  </si>
  <si>
    <t>-VLOOKUP($B20,RawData,BB$4,FALSE)*VLOOKUP(BB$3,ConversionFactors,2,FALSE)/1000</t>
  </si>
  <si>
    <t>-VLOOKUP($B20,RawData,BC$4,FALSE)*1</t>
  </si>
  <si>
    <t>-VLOOKUP($B20,RawData,BD$4,FALSE)*VLOOKUP(BD$3,ConversionFactors,2,FALSE)/1000</t>
  </si>
  <si>
    <t>-VLOOKUP("HEAUTOH",RawData,BE$4,FALSE)*1</t>
  </si>
  <si>
    <t>-VLOOKUP("HEAUTOH",RawData,BF$4,FALSE)*1</t>
  </si>
  <si>
    <t>-VLOOKUP($B20,RawData,BG$4,FALSE)*1</t>
  </si>
  <si>
    <t>-VLOOKUP("HEAUTOH",RawData,BH$4,FALSE)*1</t>
  </si>
  <si>
    <t>-VLOOKUP($B20,RawData,BI$4,FALSE)*1</t>
  </si>
  <si>
    <t>-VLOOKUP("HEAUTOH",RawData,BJ$4,FALSE)*1</t>
  </si>
  <si>
    <t>-VLOOKUP("HEAUTOH",RawData,BK$4,FALSE)*1</t>
  </si>
  <si>
    <t>-VLOOKUP("HEAUTOH",RawData,BL$4,FALSE)*1</t>
  </si>
  <si>
    <t>-VLOOKUP($B20,RawData,BM$4,FALSE)*3.6</t>
  </si>
  <si>
    <t>(VLOOKUP("HEAUTOH",RawData,BN$4,FALSE)-SUM(VLOOKUP("HEAUTOH",RawData,MATCH("HEATPUMP",RawDataHeadings,0),FALSE),VLOOKUP("HEAUTOH",RawData,MATCH("BOILER",RawDataHeadings,0),FALSE),VLOOKUP("HEAUTOH",RawData,MATCH("CHEMHEAT",RawDataHeadings,0),FALSE)))*1</t>
  </si>
  <si>
    <t>-VLOOKUP($B21,RawData,E$4,FALSE)*VLOOKUP(E$3,ConversionFactors,$D21,FALSE)/1000</t>
  </si>
  <si>
    <t>-VLOOKUP($B21,RawData,F$4,FALSE)*VLOOKUP(F$3,ConversionFactors,$D21,FALSE)/1000</t>
  </si>
  <si>
    <t>-VLOOKUP($B21,RawData,G$4,FALSE)*VLOOKUP(G$3,ConversionFactors,$D21,FALSE)/1000</t>
  </si>
  <si>
    <t>-VLOOKUP($B21,RawData,H$4,FALSE)*VLOOKUP(H$3,ConversionFactors,$D21,FALSE)/1000</t>
  </si>
  <si>
    <t>-VLOOKUP($B21,RawData,I$4,FALSE)*VLOOKUP(I$3,ConversionFactors,$D21,FALSE)/1000</t>
  </si>
  <si>
    <t>-VLOOKUP($B21,RawData,J$4,FALSE)*VLOOKUP(J$3,ConversionFactors,$D21,FALSE)/1000</t>
  </si>
  <si>
    <t>-VLOOKUP($B21,RawData,K$4,FALSE)*VLOOKUP(K$3,ConversionFactors,$D21,FALSE)/1000</t>
  </si>
  <si>
    <t>-VLOOKUP($B21,RawData,L$4,FALSE)*VLOOKUP(L$3,ConversionFactors,$D21,FALSE)/1000</t>
  </si>
  <si>
    <t>-VLOOKUP($B21,RawData,M$4,FALSE)*VLOOKUP(M$3,ConversionFactors,$D21,FALSE)/1000</t>
  </si>
  <si>
    <t>-VLOOKUP($B21,RawData,N$4,FALSE)*VLOOKUP(N$3,ConversionFactors,$D21,FALSE)/1000</t>
  </si>
  <si>
    <t>(-VLOOKUP($B21,RawData,O$4,FALSE)*VLOOKUP(O$3,ConversionFactors,2,FALSE))*1</t>
  </si>
  <si>
    <t>(-VLOOKUP($B21,RawData,P$4,FALSE)*VLOOKUP(P$3,ConversionFactors,2,FALSE))*1</t>
  </si>
  <si>
    <t>(-VLOOKUP($B21,RawData,Q$4,FALSE)*VLOOKUP(Q$3,ConversionFactors,2,FALSE))*1</t>
  </si>
  <si>
    <t>(-VLOOKUP($B21,RawData,R$4,FALSE)*VLOOKUP(R$3,ConversionFactors,2,FALSE))*1</t>
  </si>
  <si>
    <t>-VLOOKUP($B21,RawData,T$4,FALSE)*VLOOKUP(T$3,ConversionFactors,$D21,FALSE)/1000</t>
  </si>
  <si>
    <t>-VLOOKUP($B21,RawData,U$4,FALSE)*VLOOKUP(U$3,ConversionFactors,$D21,FALSE)/1000</t>
  </si>
  <si>
    <t>-VLOOKUP($B21,RawData,V$4,FALSE)*VLOOKUP(V$3,ConversionFactors,$D21,FALSE)/1000</t>
  </si>
  <si>
    <t>-VLOOKUP($B21,RawData,W$4,FALSE)*VLOOKUP(W$3,ConversionFactors,2,FALSE)/1000</t>
  </si>
  <si>
    <t>-VLOOKUP($B21,RawData,X$4,FALSE)*VLOOKUP(X$3,ConversionFactors,2,FALSE)/1000</t>
  </si>
  <si>
    <t>-VLOOKUP($B21,RawData,Y$4,FALSE)*VLOOKUP(Y$3,ConversionFactors,2,FALSE)/1000</t>
  </si>
  <si>
    <t>-VLOOKUP($B21,RawData,Z$4,FALSE)*VLOOKUP(Z$3,ConversionFactors,2,FALSE)/1000</t>
  </si>
  <si>
    <t>-VLOOKUP($B21,RawData,AA$4,FALSE)*VLOOKUP(AA$3,ConversionFactors,2,FALSE)/1000</t>
  </si>
  <si>
    <t>-VLOOKUP($B21,RawData,AB$4,FALSE)*VLOOKUP(AB$3,ConversionFactors,2,FALSE)/1000</t>
  </si>
  <si>
    <t>-VLOOKUP($B21,RawData,AC$4,FALSE)*VLOOKUP(AC$3,ConversionFactors,2,FALSE)/1000</t>
  </si>
  <si>
    <t>-VLOOKUP($B21,RawData,AD$4,FALSE)*VLOOKUP(AD$3,ConversionFactors,2,FALSE)/1000</t>
  </si>
  <si>
    <t>-VLOOKUP($B21,RawData,AE$4,FALSE)*VLOOKUP(AE$3,ConversionFactors,2,FALSE)/1000</t>
  </si>
  <si>
    <t>-VLOOKUP($B21,RawData,AF$4,FALSE)*VLOOKUP(AF$3,ConversionFactors,2,FALSE)/1000</t>
  </si>
  <si>
    <t>-VLOOKUP($B21,RawData,AG$4,FALSE)*VLOOKUP(AG$3,ConversionFactors,2,FALSE)/1000</t>
  </si>
  <si>
    <t>-VLOOKUP($B21,RawData,AH$4,FALSE)*VLOOKUP(AH$3,ConversionFactors,2,FALSE)/1000</t>
  </si>
  <si>
    <t>-VLOOKUP($B21,RawData,AI$4,FALSE)*VLOOKUP(AI$3,ConversionFactors,2,FALSE)/1000</t>
  </si>
  <si>
    <t>-VLOOKUP($B21,RawData,AJ$4,FALSE)*VLOOKUP(AJ$3,ConversionFactors,2,FALSE)/1000</t>
  </si>
  <si>
    <t>-VLOOKUP($B21,RawData,AK$4,FALSE)*VLOOKUP(AK$3,ConversionFactors,2,FALSE)/1000</t>
  </si>
  <si>
    <t>-VLOOKUP($B21,RawData,AL$4,FALSE)*VLOOKUP(AL$3,ConversionFactors,2,FALSE)/1000</t>
  </si>
  <si>
    <t>-VLOOKUP($B21,RawData,AM$4,FALSE)*VLOOKUP(AM$3,ConversionFactors,2,FALSE)/1000</t>
  </si>
  <si>
    <t>-VLOOKUP($B21,RawData,AN$4,FALSE)*VLOOKUP(AN$3,ConversionFactors,2,FALSE)/1000</t>
  </si>
  <si>
    <t>-VLOOKUP($B21,RawData,AO$4,FALSE)*VLOOKUP(AO$3,ConversionFactors,2,FALSE)/1000</t>
  </si>
  <si>
    <t>-VLOOKUP($B21,RawData,AP$4,FALSE)*VLOOKUP(AP$3,ConversionFactors,2,FALSE)/1000</t>
  </si>
  <si>
    <t>-VLOOKUP($B21,RawData,AQ$4,FALSE)*VLOOKUP(AQ$3,ConversionFactors,2,FALSE)/1000</t>
  </si>
  <si>
    <t>-VLOOKUP($B21,RawData,AR$4,FALSE)*VLOOKUP(AR$3,ConversionFactors,2,FALSE)/1000</t>
  </si>
  <si>
    <t>-VLOOKUP($B21,RawData,AS$4,FALSE)*VLOOKUP(AS$3,ConversionFactors,2,FALSE)*1</t>
  </si>
  <si>
    <t>-VLOOKUP($B21,RawData,AT$4,FALSE)*1</t>
  </si>
  <si>
    <t>-VLOOKUP($B21,RawData,AU$4,FALSE)*1</t>
  </si>
  <si>
    <t>-VLOOKUP($B21,RawData,AV$4,FALSE)*1</t>
  </si>
  <si>
    <t>-VLOOKUP($B21,RawData,AW$4,FALSE)*1</t>
  </si>
  <si>
    <t>-VLOOKUP($B21,RawData,AX$4,FALSE)*1</t>
  </si>
  <si>
    <t>-VLOOKUP($B21,RawData,AY$4,FALSE)*VLOOKUP(AY$3,ConversionFactors,2,FALSE)/1000</t>
  </si>
  <si>
    <t>-VLOOKUP($B21,RawData,AZ$4,FALSE)*VLOOKUP(AZ$3,ConversionFactors,2,FALSE)/1000</t>
  </si>
  <si>
    <t>-VLOOKUP($B21,RawData,BA$4,FALSE)*VLOOKUP(BA$3,ConversionFactors,2,FALSE)/1000</t>
  </si>
  <si>
    <t>-VLOOKUP($B21,RawData,BB$4,FALSE)*VLOOKUP(BB$3,ConversionFactors,2,FALSE)/1000</t>
  </si>
  <si>
    <t>-VLOOKUP($B21,RawData,BC$4,FALSE)*1</t>
  </si>
  <si>
    <t>-VLOOKUP($B21,RawData,BD$4,FALSE)*VLOOKUP(BD$3,ConversionFactors,2,FALSE)/1000</t>
  </si>
  <si>
    <t>-VLOOKUP($B21,RawData,BG$4,FALSE)*1</t>
  </si>
  <si>
    <t>-VLOOKUP($B21,RawData,BI$4,FALSE)*1</t>
  </si>
  <si>
    <t>-VLOOKUP($B21,RawData,BM$4,FALSE)*3.6</t>
  </si>
  <si>
    <t>VLOOKUP($B21,RawData,MATCH("ELECTR",RawDataHeadings,0),FALSE)*3.6</t>
  </si>
  <si>
    <t>-VLOOKUP($B22,RawData,E$4,FALSE)*VLOOKUP(E$3,ConversionFactors,$D22,FALSE)/1000</t>
  </si>
  <si>
    <t>-VLOOKUP($B22,RawData,F$4,FALSE)*VLOOKUP(F$3,ConversionFactors,$D22,FALSE)/1000</t>
  </si>
  <si>
    <t>-VLOOKUP($B22,RawData,G$4,FALSE)*VLOOKUP(G$3,ConversionFactors,$D22,FALSE)/1000</t>
  </si>
  <si>
    <t>-VLOOKUP($B22,RawData,H$4,FALSE)*VLOOKUP(H$3,ConversionFactors,$D22,FALSE)/1000</t>
  </si>
  <si>
    <t>-VLOOKUP($B22,RawData,I$4,FALSE)*VLOOKUP(I$3,ConversionFactors,$D22,FALSE)/1000</t>
  </si>
  <si>
    <t>-VLOOKUP($B22,RawData,J$4,FALSE)*VLOOKUP(J$3,ConversionFactors,$D22,FALSE)/1000</t>
  </si>
  <si>
    <t>-VLOOKUP($B22,RawData,K$4,FALSE)*VLOOKUP(K$3,ConversionFactors,$D22,FALSE)/1000</t>
  </si>
  <si>
    <t>-VLOOKUP($B22,RawData,L$4,FALSE)*VLOOKUP(L$3,ConversionFactors,$D22,FALSE)/1000</t>
  </si>
  <si>
    <t>-VLOOKUP($B22,RawData,M$4,FALSE)*VLOOKUP(M$3,ConversionFactors,$D22,FALSE)/1000</t>
  </si>
  <si>
    <t>-VLOOKUP($B22,RawData,N$4,FALSE)*VLOOKUP(N$3,ConversionFactors,$D22,FALSE)/1000</t>
  </si>
  <si>
    <t>(-VLOOKUP($B22,RawData,O$4,FALSE)*VLOOKUP(O$3,ConversionFactors,2,FALSE))*1</t>
  </si>
  <si>
    <t>(-VLOOKUP($B22,RawData,P$4,FALSE)*VLOOKUP(P$3,ConversionFactors,2,FALSE))*1</t>
  </si>
  <si>
    <t>(-VLOOKUP($B22,RawData,Q$4,FALSE)*VLOOKUP(Q$3,ConversionFactors,2,FALSE))*1</t>
  </si>
  <si>
    <t>(-VLOOKUP($B22,RawData,R$4,FALSE)*VLOOKUP(R$3,ConversionFactors,2,FALSE))*1</t>
  </si>
  <si>
    <t>-VLOOKUP($B22,RawData,T$4,FALSE)*VLOOKUP(T$3,ConversionFactors,$D22,FALSE)/1000</t>
  </si>
  <si>
    <t>-VLOOKUP($B22,RawData,U$4,FALSE)*VLOOKUP(U$3,ConversionFactors,$D22,FALSE)/1000</t>
  </si>
  <si>
    <t>-VLOOKUP($B22,RawData,V$4,FALSE)*VLOOKUP(V$3,ConversionFactors,$D22,FALSE)/1000</t>
  </si>
  <si>
    <t>-VLOOKUP($B22,RawData,W$4,FALSE)*VLOOKUP(W$3,ConversionFactors,2,FALSE)/1000</t>
  </si>
  <si>
    <t>-VLOOKUP($B22,RawData,X$4,FALSE)*VLOOKUP(X$3,ConversionFactors,2,FALSE)/1000</t>
  </si>
  <si>
    <t>-VLOOKUP($B22,RawData,Y$4,FALSE)*VLOOKUP(Y$3,ConversionFactors,2,FALSE)/1000</t>
  </si>
  <si>
    <t>-VLOOKUP($B22,RawData,Z$4,FALSE)*VLOOKUP(Z$3,ConversionFactors,2,FALSE)/1000</t>
  </si>
  <si>
    <t>-VLOOKUP($B22,RawData,AA$4,FALSE)*VLOOKUP(AA$3,ConversionFactors,2,FALSE)/1000</t>
  </si>
  <si>
    <t>-VLOOKUP($B22,RawData,AB$4,FALSE)*VLOOKUP(AB$3,ConversionFactors,2,FALSE)/1000</t>
  </si>
  <si>
    <t>-VLOOKUP($B22,RawData,AC$4,FALSE)*VLOOKUP(AC$3,ConversionFactors,2,FALSE)/1000</t>
  </si>
  <si>
    <t>-VLOOKUP($B22,RawData,AD$4,FALSE)*VLOOKUP(AD$3,ConversionFactors,2,FALSE)/1000</t>
  </si>
  <si>
    <t>-VLOOKUP($B22,RawData,AE$4,FALSE)*VLOOKUP(AE$3,ConversionFactors,2,FALSE)/1000</t>
  </si>
  <si>
    <t>-VLOOKUP($B22,RawData,AF$4,FALSE)*VLOOKUP(AF$3,ConversionFactors,2,FALSE)/1000</t>
  </si>
  <si>
    <t>-VLOOKUP($B22,RawData,AG$4,FALSE)*VLOOKUP(AG$3,ConversionFactors,2,FALSE)/1000</t>
  </si>
  <si>
    <t>-VLOOKUP($B22,RawData,AH$4,FALSE)*VLOOKUP(AH$3,ConversionFactors,2,FALSE)/1000</t>
  </si>
  <si>
    <t>-VLOOKUP($B22,RawData,AI$4,FALSE)*VLOOKUP(AI$3,ConversionFactors,2,FALSE)/1000</t>
  </si>
  <si>
    <t>-VLOOKUP($B22,RawData,AJ$4,FALSE)*VLOOKUP(AJ$3,ConversionFactors,2,FALSE)/1000</t>
  </si>
  <si>
    <t>-VLOOKUP($B22,RawData,AK$4,FALSE)*VLOOKUP(AK$3,ConversionFactors,2,FALSE)/1000</t>
  </si>
  <si>
    <t>-VLOOKUP($B22,RawData,AL$4,FALSE)*VLOOKUP(AL$3,ConversionFactors,2,FALSE)/1000</t>
  </si>
  <si>
    <t>-VLOOKUP($B22,RawData,AM$4,FALSE)*VLOOKUP(AM$3,ConversionFactors,2,FALSE)/1000</t>
  </si>
  <si>
    <t>-VLOOKUP($B22,RawData,AN$4,FALSE)*VLOOKUP(AN$3,ConversionFactors,2,FALSE)/1000</t>
  </si>
  <si>
    <t>-VLOOKUP($B22,RawData,AO$4,FALSE)*VLOOKUP(AO$3,ConversionFactors,2,FALSE)/1000</t>
  </si>
  <si>
    <t>-VLOOKUP($B22,RawData,AP$4,FALSE)*VLOOKUP(AP$3,ConversionFactors,2,FALSE)/1000</t>
  </si>
  <si>
    <t>-VLOOKUP($B22,RawData,AQ$4,FALSE)*VLOOKUP(AQ$3,ConversionFactors,2,FALSE)/1000</t>
  </si>
  <si>
    <t>-VLOOKUP($B22,RawData,AR$4,FALSE)*VLOOKUP(AR$3,ConversionFactors,2,FALSE)/1000</t>
  </si>
  <si>
    <t>-VLOOKUP($B22,RawData,AS$4,FALSE)*VLOOKUP(AS$3,ConversionFactors,2,FALSE)*1</t>
  </si>
  <si>
    <t>-VLOOKUP($B22,RawData,AT$4,FALSE)*1</t>
  </si>
  <si>
    <t>-VLOOKUP($B22,RawData,AU$4,FALSE)*1</t>
  </si>
  <si>
    <t>-VLOOKUP($B22,RawData,AV$4,FALSE)*1</t>
  </si>
  <si>
    <t>-VLOOKUP($B22,RawData,AW$4,FALSE)*1</t>
  </si>
  <si>
    <t>-VLOOKUP($B22,RawData,AX$4,FALSE)*1</t>
  </si>
  <si>
    <t>-VLOOKUP($B22,RawData,AY$4,FALSE)*VLOOKUP(AY$3,ConversionFactors,2,FALSE)/1000</t>
  </si>
  <si>
    <t>-VLOOKUP($B22,RawData,AZ$4,FALSE)*VLOOKUP(AZ$3,ConversionFactors,2,FALSE)/1000</t>
  </si>
  <si>
    <t>-VLOOKUP($B22,RawData,BA$4,FALSE)*VLOOKUP(BA$3,ConversionFactors,2,FALSE)/1000</t>
  </si>
  <si>
    <t>-VLOOKUP($B22,RawData,BB$4,FALSE)*VLOOKUP(BB$3,ConversionFactors,2,FALSE)/1000</t>
  </si>
  <si>
    <t>-VLOOKUP($B22,RawData,BC$4,FALSE)*1</t>
  </si>
  <si>
    <t>-VLOOKUP($B22,RawData,BD$4,FALSE)*VLOOKUP(BD$3,ConversionFactors,2,FALSE)/1000</t>
  </si>
  <si>
    <t>-VLOOKUP($B22,RawData,BG$4,FALSE)*1</t>
  </si>
  <si>
    <t>-VLOOKUP($B22,RawData,BI$4,FALSE)*1</t>
  </si>
  <si>
    <t>-VLOOKUP($B22,RawData,BM$4,FALSE)*3.6</t>
  </si>
  <si>
    <t>VLOOKUP("HEATOUT",RawData,MATCH("BOILER",RawDataHeadings,0),FALSE)*1</t>
  </si>
  <si>
    <t>-VLOOKUP($B23,RawData,E$4,FALSE)*VLOOKUP(E$3,ConversionFactors,$D23,FALSE)/1000</t>
  </si>
  <si>
    <t>-VLOOKUP($B23,RawData,F$4,FALSE)*VLOOKUP(F$3,ConversionFactors,$D23,FALSE)/1000</t>
  </si>
  <si>
    <t>-VLOOKUP($B23,RawData,G$4,FALSE)*VLOOKUP(G$3,ConversionFactors,$D23,FALSE)/1000</t>
  </si>
  <si>
    <t>-VLOOKUP($B23,RawData,H$4,FALSE)*VLOOKUP(H$3,ConversionFactors,$D23,FALSE)/1000</t>
  </si>
  <si>
    <t>-VLOOKUP($B23,RawData,I$4,FALSE)*VLOOKUP(I$3,ConversionFactors,$D23,FALSE)/1000</t>
  </si>
  <si>
    <t>-VLOOKUP($B23,RawData,J$4,FALSE)*VLOOKUP(J$3,ConversionFactors,$D23,FALSE)/1000</t>
  </si>
  <si>
    <t>-VLOOKUP($B23,RawData,K$4,FALSE)*VLOOKUP(K$3,ConversionFactors,$D23,FALSE)/1000</t>
  </si>
  <si>
    <t>-VLOOKUP($B23,RawData,L$4,FALSE)*VLOOKUP(L$3,ConversionFactors,$D23,FALSE)/1000</t>
  </si>
  <si>
    <t>-VLOOKUP($B23,RawData,M$4,FALSE)*VLOOKUP(M$3,ConversionFactors,$D23,FALSE)/1000</t>
  </si>
  <si>
    <t>-VLOOKUP($B23,RawData,N$4,FALSE)*VLOOKUP(N$3,ConversionFactors,$D23,FALSE)/1000</t>
  </si>
  <si>
    <t>(-VLOOKUP($B23,RawData,O$4,FALSE)*VLOOKUP(O$3,ConversionFactors,2,FALSE))*1</t>
  </si>
  <si>
    <t>(-VLOOKUP($B23,RawData,P$4,FALSE)*VLOOKUP(P$3,ConversionFactors,2,FALSE))*1</t>
  </si>
  <si>
    <t>(-VLOOKUP($B23,RawData,Q$4,FALSE)*VLOOKUP(Q$3,ConversionFactors,2,FALSE))*1</t>
  </si>
  <si>
    <t>(-VLOOKUP($B23,RawData,R$4,FALSE)*VLOOKUP(R$3,ConversionFactors,2,FALSE))*1</t>
  </si>
  <si>
    <t>-VLOOKUP($B23,RawData,T$4,FALSE)*VLOOKUP(T$3,ConversionFactors,$D23,FALSE)/1000</t>
  </si>
  <si>
    <t>-VLOOKUP($B23,RawData,U$4,FALSE)*VLOOKUP(U$3,ConversionFactors,$D23,FALSE)/1000</t>
  </si>
  <si>
    <t>-VLOOKUP($B23,RawData,V$4,FALSE)*VLOOKUP(V$3,ConversionFactors,$D23,FALSE)/1000</t>
  </si>
  <si>
    <t>-VLOOKUP($B23,RawData,W$4,FALSE)*VLOOKUP(W$3,ConversionFactors,2,FALSE)/1000</t>
  </si>
  <si>
    <t>-VLOOKUP($B23,RawData,X$4,FALSE)*VLOOKUP(X$3,ConversionFactors,2,FALSE)/1000</t>
  </si>
  <si>
    <t>-VLOOKUP($B23,RawData,Y$4,FALSE)*VLOOKUP(Y$3,ConversionFactors,2,FALSE)/1000</t>
  </si>
  <si>
    <t>-VLOOKUP($B23,RawData,Z$4,FALSE)*VLOOKUP(Z$3,ConversionFactors,2,FALSE)/1000</t>
  </si>
  <si>
    <t>-VLOOKUP($B23,RawData,AA$4,FALSE)*VLOOKUP(AA$3,ConversionFactors,2,FALSE)/1000</t>
  </si>
  <si>
    <t>-VLOOKUP($B23,RawData,AB$4,FALSE)*VLOOKUP(AB$3,ConversionFactors,2,FALSE)/1000</t>
  </si>
  <si>
    <t>-VLOOKUP($B23,RawData,AC$4,FALSE)*VLOOKUP(AC$3,ConversionFactors,2,FALSE)/1000</t>
  </si>
  <si>
    <t>-VLOOKUP($B23,RawData,AD$4,FALSE)*VLOOKUP(AD$3,ConversionFactors,2,FALSE)/1000</t>
  </si>
  <si>
    <t>-VLOOKUP($B23,RawData,AE$4,FALSE)*VLOOKUP(AE$3,ConversionFactors,2,FALSE)/1000</t>
  </si>
  <si>
    <t>-VLOOKUP($B23,RawData,AF$4,FALSE)*VLOOKUP(AF$3,ConversionFactors,2,FALSE)/1000</t>
  </si>
  <si>
    <t>-VLOOKUP($B23,RawData,AG$4,FALSE)*VLOOKUP(AG$3,ConversionFactors,2,FALSE)/1000</t>
  </si>
  <si>
    <t>-VLOOKUP($B23,RawData,AH$4,FALSE)*VLOOKUP(AH$3,ConversionFactors,2,FALSE)/1000</t>
  </si>
  <si>
    <t>-VLOOKUP($B23,RawData,AI$4,FALSE)*VLOOKUP(AI$3,ConversionFactors,2,FALSE)/1000</t>
  </si>
  <si>
    <t>-VLOOKUP($B23,RawData,AJ$4,FALSE)*VLOOKUP(AJ$3,ConversionFactors,2,FALSE)/1000</t>
  </si>
  <si>
    <t>-VLOOKUP($B23,RawData,AK$4,FALSE)*VLOOKUP(AK$3,ConversionFactors,2,FALSE)/1000</t>
  </si>
  <si>
    <t>-VLOOKUP($B23,RawData,AL$4,FALSE)*VLOOKUP(AL$3,ConversionFactors,2,FALSE)/1000</t>
  </si>
  <si>
    <t>-VLOOKUP($B23,RawData,AM$4,FALSE)*VLOOKUP(AM$3,ConversionFactors,2,FALSE)/1000</t>
  </si>
  <si>
    <t>-VLOOKUP($B23,RawData,AN$4,FALSE)*VLOOKUP(AN$3,ConversionFactors,2,FALSE)/1000</t>
  </si>
  <si>
    <t>-VLOOKUP($B23,RawData,AO$4,FALSE)*VLOOKUP(AO$3,ConversionFactors,2,FALSE)/1000</t>
  </si>
  <si>
    <t>-VLOOKUP($B23,RawData,AP$4,FALSE)*VLOOKUP(AP$3,ConversionFactors,2,FALSE)/1000</t>
  </si>
  <si>
    <t>-VLOOKUP($B23,RawData,AQ$4,FALSE)*VLOOKUP(AQ$3,ConversionFactors,2,FALSE)/1000</t>
  </si>
  <si>
    <t>-VLOOKUP($B23,RawData,AR$4,FALSE)*VLOOKUP(AR$3,ConversionFactors,2,FALSE)/1000</t>
  </si>
  <si>
    <t>-VLOOKUP($B23,RawData,AS$4,FALSE)*VLOOKUP(AS$3,ConversionFactors,2,FALSE)*1</t>
  </si>
  <si>
    <t>-VLOOKUP($B23,RawData,AT$4,FALSE)*1</t>
  </si>
  <si>
    <t>-VLOOKUP($B23,RawData,AU$4,FALSE)*1</t>
  </si>
  <si>
    <t>-VLOOKUP($B23,RawData,AV$4,FALSE)*1</t>
  </si>
  <si>
    <t>-VLOOKUP($B23,RawData,AW$4,FALSE)*1</t>
  </si>
  <si>
    <t>-VLOOKUP($B23,RawData,AX$4,FALSE)*1</t>
  </si>
  <si>
    <t>-VLOOKUP($B23,RawData,AY$4,FALSE)*VLOOKUP(AY$3,ConversionFactors,2,FALSE)/1000</t>
  </si>
  <si>
    <t>-VLOOKUP($B23,RawData,AZ$4,FALSE)*VLOOKUP(AZ$3,ConversionFactors,2,FALSE)/1000</t>
  </si>
  <si>
    <t>-VLOOKUP($B23,RawData,BA$4,FALSE)*VLOOKUP(BA$3,ConversionFactors,2,FALSE)/1000</t>
  </si>
  <si>
    <t>-VLOOKUP($B23,RawData,BB$4,FALSE)*VLOOKUP(BB$3,ConversionFactors,2,FALSE)/1000</t>
  </si>
  <si>
    <t>-VLOOKUP($B23,RawData,BC$4,FALSE)*1</t>
  </si>
  <si>
    <t>-VLOOKUP($B23,RawData,BD$4,FALSE)*VLOOKUP(BD$3,ConversionFactors,2,FALSE)/1000</t>
  </si>
  <si>
    <t>-VLOOKUP($B23,RawData,BG$4,FALSE)*1</t>
  </si>
  <si>
    <t>-VLOOKUP($B23,RawData,BI$4,FALSE)*1</t>
  </si>
  <si>
    <t>VLOOKUP("ELOUTPUT",RawData,MATCH("CHEMHEAT",RawDataHeadings,0),FALSE)*3.6</t>
  </si>
  <si>
    <t>-VLOOKUP($B23,RawData,BN$4,FALSE)*1</t>
  </si>
  <si>
    <t>-VLOOKUP($B24,RawData,E$4,FALSE)*VLOOKUP(E$3,ConversionFactors,$D24,FALSE)/1000</t>
  </si>
  <si>
    <t>-VLOOKUP($B24,RawData,F$4,FALSE)*VLOOKUP(F$3,ConversionFactors,$D24,FALSE)/1000</t>
  </si>
  <si>
    <t>-VLOOKUP($B24,RawData,G$4,FALSE)*VLOOKUP(G$3,ConversionFactors,$D24,FALSE)/1000</t>
  </si>
  <si>
    <t>-VLOOKUP($B24,RawData,H$4,FALSE)*VLOOKUP(H$3,ConversionFactors,$D24,FALSE)/1000</t>
  </si>
  <si>
    <t>-VLOOKUP($B24,RawData,I$4,FALSE)*VLOOKUP(I$3,ConversionFactors,$D24,FALSE)/1000</t>
  </si>
  <si>
    <t>(VLOOKUP($B5,RawData,J$4,FALSE)*VLOOKUP(J$3,ConversionFactors,D$5,FALSE)+SUM(VLOOKUP("OSNATGAS",RawData,J$4,FALSE),VLOOKUP("OSOIL",RawData,J$4,FALSE),VLOOKUP("OSRENEW",RawData,J$4,FALSE),VLOOKUP("OSNONSPEC",RawData,J$4,FALSE))*VLOOKUP(J$3,ConversionFactors,MATCH("NOTHER",CFHeadings,0),FALSE)-VLOOKUP($B24,RawData,J$4,FALSE)*VLOOKUP(J$3,ConversionFactors,$D24,FALSE))/1000</t>
  </si>
  <si>
    <t>-VLOOKUP($B24,RawData,K$4,FALSE)*VLOOKUP(K$3,ConversionFactors,$D24,FALSE)/1000</t>
  </si>
  <si>
    <t>-VLOOKUP($B24,RawData,L$4,FALSE)*VLOOKUP(L$3,ConversionFactors,$D24,FALSE)/1000</t>
  </si>
  <si>
    <t>-VLOOKUP($B24,RawData,M$4,FALSE)*VLOOKUP(M$3,ConversionFactors,$D24,FALSE)/1000</t>
  </si>
  <si>
    <t>-VLOOKUP($B24,RawData,N$4,FALSE)*VLOOKUP(N$3,ConversionFactors,$D24,FALSE)/1000</t>
  </si>
  <si>
    <t>(-VLOOKUP($B24,RawData,O$4,FALSE)*VLOOKUP(O$3,ConversionFactors,2,FALSE))*1</t>
  </si>
  <si>
    <t>(-VLOOKUP($B24,RawData,P$4,FALSE)*VLOOKUP(P$3,ConversionFactors,2,FALSE))*1</t>
  </si>
  <si>
    <t>(-VLOOKUP($B24,RawData,Q$4,FALSE)*VLOOKUP(Q$3,ConversionFactors,2,FALSE))*1</t>
  </si>
  <si>
    <t>(-VLOOKUP($B24,RawData,R$4,FALSE)*VLOOKUP(R$3,ConversionFactors,2,FALSE))*1</t>
  </si>
  <si>
    <t>-VLOOKUP($B24,RawData,T$4,FALSE)*VLOOKUP(T$3,ConversionFactors,$D24,FALSE)/1000</t>
  </si>
  <si>
    <t>-VLOOKUP($B24,RawData,U$4,FALSE)*VLOOKUP(U$3,ConversionFactors,$D24,FALSE)/1000</t>
  </si>
  <si>
    <t>-VLOOKUP($B24,RawData,V$4,FALSE)*VLOOKUP(V$3,ConversionFactors,$D24,FALSE)/1000</t>
  </si>
  <si>
    <t>-VLOOKUP($B24,RawData,W$4,FALSE)*VLOOKUP(W$3,ConversionFactors,2,FALSE)/1000</t>
  </si>
  <si>
    <t>-VLOOKUP($B24,RawData,X$4,FALSE)*VLOOKUP(X$3,ConversionFactors,2,FALSE)/1000</t>
  </si>
  <si>
    <t>-VLOOKUP($B24,RawData,Y$4,FALSE)*VLOOKUP(Y$3,ConversionFactors,2,FALSE)/1000</t>
  </si>
  <si>
    <t>-VLOOKUP($B24,RawData,Z$4,FALSE)*VLOOKUP(Z$3,ConversionFactors,2,FALSE)/1000</t>
  </si>
  <si>
    <t>-VLOOKUP($B24,RawData,AA$4,FALSE)*VLOOKUP(AA$3,ConversionFactors,2,FALSE)/1000</t>
  </si>
  <si>
    <t>-VLOOKUP($B24,RawData,AB$4,FALSE)*VLOOKUP(AB$3,ConversionFactors,2,FALSE)/1000</t>
  </si>
  <si>
    <t>-VLOOKUP($B24,RawData,AC$4,FALSE)*VLOOKUP(AC$3,ConversionFactors,2,FALSE)/1000</t>
  </si>
  <si>
    <t>-VLOOKUP($B24,RawData,AD$4,FALSE)*VLOOKUP(AD$3,ConversionFactors,2,FALSE)/1000</t>
  </si>
  <si>
    <t>-VLOOKUP($B24,RawData,AE$4,FALSE)*VLOOKUP(AE$3,ConversionFactors,2,FALSE)/1000</t>
  </si>
  <si>
    <t>-VLOOKUP($B24,RawData,AF$4,FALSE)*VLOOKUP(AF$3,ConversionFactors,2,FALSE)/1000</t>
  </si>
  <si>
    <t>-VLOOKUP($B24,RawData,AG$4,FALSE)*VLOOKUP(AG$3,ConversionFactors,2,FALSE)/1000</t>
  </si>
  <si>
    <t>-VLOOKUP($B24,RawData,AH$4,FALSE)*VLOOKUP(AH$3,ConversionFactors,2,FALSE)/1000</t>
  </si>
  <si>
    <t>-VLOOKUP($B24,RawData,AI$4,FALSE)*VLOOKUP(AI$3,ConversionFactors,2,FALSE)/1000</t>
  </si>
  <si>
    <t>-VLOOKUP($B24,RawData,AJ$4,FALSE)*VLOOKUP(AJ$3,ConversionFactors,2,FALSE)/1000</t>
  </si>
  <si>
    <t>-VLOOKUP($B24,RawData,AK$4,FALSE)*VLOOKUP(AK$3,ConversionFactors,2,FALSE)/1000</t>
  </si>
  <si>
    <t>-VLOOKUP($B24,RawData,AL$4,FALSE)*VLOOKUP(AL$3,ConversionFactors,2,FALSE)/1000</t>
  </si>
  <si>
    <t>-VLOOKUP($B24,RawData,AM$4,FALSE)*VLOOKUP(AM$3,ConversionFactors,2,FALSE)/1000</t>
  </si>
  <si>
    <t>-VLOOKUP($B24,RawData,AN$4,FALSE)*VLOOKUP(AN$3,ConversionFactors,2,FALSE)/1000</t>
  </si>
  <si>
    <t>-VLOOKUP($B24,RawData,AO$4,FALSE)*VLOOKUP(AO$3,ConversionFactors,2,FALSE)/1000</t>
  </si>
  <si>
    <t>-VLOOKUP($B24,RawData,AP$4,FALSE)*VLOOKUP(AP$3,ConversionFactors,2,FALSE)/1000</t>
  </si>
  <si>
    <t>-VLOOKUP($B24,RawData,AQ$4,FALSE)*VLOOKUP(AQ$3,ConversionFactors,2,FALSE)/1000</t>
  </si>
  <si>
    <t>-VLOOKUP($B24,RawData,AR$4,FALSE)*VLOOKUP(AR$3,ConversionFactors,2,FALSE)/1000</t>
  </si>
  <si>
    <t>-VLOOKUP($B24,RawData,AS$4,FALSE)*VLOOKUP(AS$3,ConversionFactors,2,FALSE)*1</t>
  </si>
  <si>
    <t>-VLOOKUP($B24,RawData,AT$4,FALSE)*1</t>
  </si>
  <si>
    <t>-VLOOKUP($B24,RawData,AU$4,FALSE)*1</t>
  </si>
  <si>
    <t>-VLOOKUP($B24,RawData,AV$4,FALSE)*1</t>
  </si>
  <si>
    <t>-VLOOKUP($B24,RawData,AW$4,FALSE)*1</t>
  </si>
  <si>
    <t>-VLOOKUP($B24,RawData,AX$4,FALSE)*1</t>
  </si>
  <si>
    <t>-VLOOKUP($B24,RawData,AY$4,FALSE)*VLOOKUP(AY$3,ConversionFactors,2,FALSE)/1000</t>
  </si>
  <si>
    <t>-VLOOKUP($B24,RawData,AZ$4,FALSE)*VLOOKUP(AZ$3,ConversionFactors,2,FALSE)/1000</t>
  </si>
  <si>
    <t>-VLOOKUP($B24,RawData,BA$4,FALSE)*VLOOKUP(BA$3,ConversionFactors,2,FALSE)/1000</t>
  </si>
  <si>
    <t>-VLOOKUP($B24,RawData,BB$4,FALSE)*VLOOKUP(BB$3,ConversionFactors,2,FALSE)/1000</t>
  </si>
  <si>
    <t>-VLOOKUP($B24,RawData,BC$4,FALSE)*1</t>
  </si>
  <si>
    <t>-VLOOKUP($B24,RawData,BD$4,FALSE)*VLOOKUP(BD$3,ConversionFactors,2,FALSE)/1000</t>
  </si>
  <si>
    <t>-VLOOKUP($B24,RawData,BG$4,FALSE)*1</t>
  </si>
  <si>
    <t>-VLOOKUP($B24,RawData,BI$4,FALSE)*1</t>
  </si>
  <si>
    <t>-VLOOKUP($B24,RawData,BM$4,FALSE)*3.6</t>
  </si>
  <si>
    <t>-VLOOKUP($B24,RawData,BN$4,FALSE)*1</t>
  </si>
  <si>
    <t>-VLOOKUP($B25,RawData,E$4,FALSE)*VLOOKUP(E$3,ConversionFactors,$D25,FALSE)/1000</t>
  </si>
  <si>
    <t>-VLOOKUP($B25,RawData,F$4,FALSE)*VLOOKUP(F$3,ConversionFactors,$D25,FALSE)/1000</t>
  </si>
  <si>
    <t>-VLOOKUP($B25,RawData,G$4,FALSE)*VLOOKUP(G$3,ConversionFactors,$D25,FALSE)/1000</t>
  </si>
  <si>
    <t>-VLOOKUP($B25,RawData,H$4,FALSE)*VLOOKUP(H$3,ConversionFactors,$D25,FALSE)/1000</t>
  </si>
  <si>
    <t>-VLOOKUP($B25,RawData,I$4,FALSE)*VLOOKUP(I$3,ConversionFactors,$D25,FALSE)/1000</t>
  </si>
  <si>
    <t>-VLOOKUP($B25,RawData,J$4,FALSE)*VLOOKUP(J$3,ConversionFactors,$D25,FALSE)/1000</t>
  </si>
  <si>
    <t>(VLOOKUP($B5,RawData,K$4,FALSE)*VLOOKUP(K$3,ConversionFactors,D$5,FALSE)+SUM(VLOOKUP("OSNATGAS",RawData,K$4,FALSE),VLOOKUP("OSOIL",RawData,K$4,FALSE),VLOOKUP("OSRENEW",RawData,K$4,FALSE))*VLOOKUP(K$3,ConversionFactors,MATCH("NOTHER",CFHeadings,0),FALSE)-VLOOKUP($B25,RawData,K$4,FALSE)*VLOOKUP(K$3,ConversionFactors,$D25,FALSE))/1000</t>
  </si>
  <si>
    <t>-VLOOKUP($B25,RawData,L$4,FALSE)*VLOOKUP(L$3,ConversionFactors,$D25,FALSE)/1000</t>
  </si>
  <si>
    <t>(VLOOKUP($B5,RawData,M$4,FALSE)*VLOOKUP(M$3,ConversionFactors,D$5,FALSE)+SUM(VLOOKUP("OSNATGAS",RawData,M$4,FALSE),VLOOKUP("OSOIL",RawData,M$4,FALSE),VLOOKUP("OSRENEW",RawData,M$4,FALSE),VLOOKUP("OSNONSPEC",RawData,M$4,FALSE))*VLOOKUP(M$3,ConversionFactors,MATCH("NOTHER",CFHeadings,0),FALSE)-VLOOKUP($B25,RawData,M$4,FALSE)*VLOOKUP(M$3,ConversionFactors,$D25,FALSE))/1000</t>
  </si>
  <si>
    <t>-VLOOKUP($B25,RawData,N$4,FALSE)*VLOOKUP(N$3,ConversionFactors,$D25,FALSE)/1000</t>
  </si>
  <si>
    <t>(-VLOOKUP($B25,RawData,O$4,FALSE)*VLOOKUP(O$3,ConversionFactors,2,FALSE))*1</t>
  </si>
  <si>
    <t>(SUM(VLOOKUP($B5,RawData,P$4,FALSE),VLOOKUP("OSNATGAS",RawData,P$4,FALSE),VLOOKUP("OSOIL",RawData,P$4,FALSE),VLOOKUP("OSRENEW",RawData,P$4,FALSE),VLOOKUP("OSNONSPEC",RawData,P$4,FALSE),-VLOOKUP($B25,RawData,P$4,FALSE))*VLOOKUP(P$3,ConversionFactors,2,FALSE))*1</t>
  </si>
  <si>
    <t>(-VLOOKUP($B25,RawData,Q$4,FALSE)*VLOOKUP(Q$3,ConversionFactors,2,FALSE))*1</t>
  </si>
  <si>
    <t>(-VLOOKUP($B25,RawData,R$4,FALSE)*VLOOKUP(R$3,ConversionFactors,2,FALSE))*1</t>
  </si>
  <si>
    <t>-VLOOKUP($B25,RawData,T$4,FALSE)*VLOOKUP(T$3,ConversionFactors,$D25,FALSE)/1000</t>
  </si>
  <si>
    <t>-VLOOKUP($B25,RawData,U$4,FALSE)*VLOOKUP(U$3,ConversionFactors,$D25,FALSE)/1000</t>
  </si>
  <si>
    <t>-VLOOKUP($B25,RawData,V$4,FALSE)*VLOOKUP(V$3,ConversionFactors,$D25,FALSE)/1000</t>
  </si>
  <si>
    <t>-VLOOKUP($B25,RawData,W$4,FALSE)*VLOOKUP(W$3,ConversionFactors,2,FALSE)/1000</t>
  </si>
  <si>
    <t>-VLOOKUP($B25,RawData,X$4,FALSE)*VLOOKUP(X$3,ConversionFactors,2,FALSE)/1000</t>
  </si>
  <si>
    <t>-VLOOKUP($B25,RawData,Y$4,FALSE)*VLOOKUP(Y$3,ConversionFactors,2,FALSE)/1000</t>
  </si>
  <si>
    <t>-VLOOKUP($B25,RawData,Z$4,FALSE)*VLOOKUP(Z$3,ConversionFactors,2,FALSE)/1000</t>
  </si>
  <si>
    <t>-VLOOKUP($B25,RawData,AA$4,FALSE)*VLOOKUP(AA$3,ConversionFactors,2,FALSE)/1000</t>
  </si>
  <si>
    <t>-VLOOKUP($B25,RawData,AB$4,FALSE)*VLOOKUP(AB$3,ConversionFactors,2,FALSE)/1000</t>
  </si>
  <si>
    <t>-VLOOKUP($B25,RawData,AC$4,FALSE)*VLOOKUP(AC$3,ConversionFactors,2,FALSE)/1000</t>
  </si>
  <si>
    <t>-VLOOKUP($B25,RawData,AD$4,FALSE)*VLOOKUP(AD$3,ConversionFactors,2,FALSE)/1000</t>
  </si>
  <si>
    <t>-VLOOKUP($B25,RawData,AE$4,FALSE)*VLOOKUP(AE$3,ConversionFactors,2,FALSE)/1000</t>
  </si>
  <si>
    <t>-VLOOKUP($B25,RawData,AF$4,FALSE)*VLOOKUP(AF$3,ConversionFactors,2,FALSE)/1000</t>
  </si>
  <si>
    <t>-VLOOKUP($B25,RawData,AG$4,FALSE)*VLOOKUP(AG$3,ConversionFactors,2,FALSE)/1000</t>
  </si>
  <si>
    <t>-VLOOKUP($B25,RawData,AH$4,FALSE)*VLOOKUP(AH$3,ConversionFactors,2,FALSE)/1000</t>
  </si>
  <si>
    <t>-VLOOKUP($B25,RawData,AI$4,FALSE)*VLOOKUP(AI$3,ConversionFactors,2,FALSE)/1000</t>
  </si>
  <si>
    <t>-VLOOKUP($B25,RawData,AJ$4,FALSE)*VLOOKUP(AJ$3,ConversionFactors,2,FALSE)/1000</t>
  </si>
  <si>
    <t>-VLOOKUP($B25,RawData,AK$4,FALSE)*VLOOKUP(AK$3,ConversionFactors,2,FALSE)/1000</t>
  </si>
  <si>
    <t>-VLOOKUP($B25,RawData,AL$4,FALSE)*VLOOKUP(AL$3,ConversionFactors,2,FALSE)/1000</t>
  </si>
  <si>
    <t>-VLOOKUP($B25,RawData,AM$4,FALSE)*VLOOKUP(AM$3,ConversionFactors,2,FALSE)/1000</t>
  </si>
  <si>
    <t>-VLOOKUP($B25,RawData,AN$4,FALSE)*VLOOKUP(AN$3,ConversionFactors,2,FALSE)/1000</t>
  </si>
  <si>
    <t>-VLOOKUP($B25,RawData,AO$4,FALSE)*VLOOKUP(AO$3,ConversionFactors,2,FALSE)/1000</t>
  </si>
  <si>
    <t>-VLOOKUP($B25,RawData,AP$4,FALSE)*VLOOKUP(AP$3,ConversionFactors,2,FALSE)/1000</t>
  </si>
  <si>
    <t>-VLOOKUP($B25,RawData,AQ$4,FALSE)*VLOOKUP(AQ$3,ConversionFactors,2,FALSE)/1000</t>
  </si>
  <si>
    <t>-VLOOKUP($B25,RawData,AR$4,FALSE)*VLOOKUP(AR$3,ConversionFactors,2,FALSE)/1000</t>
  </si>
  <si>
    <t>-VLOOKUP($B25,RawData,AS$4,FALSE)*VLOOKUP(AS$3,ConversionFactors,2,FALSE)*1</t>
  </si>
  <si>
    <t>-VLOOKUP($B25,RawData,AT$4,FALSE)*1</t>
  </si>
  <si>
    <t>-VLOOKUP($B25,RawData,AU$4,FALSE)*1</t>
  </si>
  <si>
    <t>-VLOOKUP($B25,RawData,AV$4,FALSE)*1</t>
  </si>
  <si>
    <t>-VLOOKUP($B25,RawData,AW$4,FALSE)*1</t>
  </si>
  <si>
    <t>-VLOOKUP($B25,RawData,AX$4,FALSE)*1</t>
  </si>
  <si>
    <t>-VLOOKUP($B25,RawData,AY$4,FALSE)*VLOOKUP(AY$3,ConversionFactors,2,FALSE)/1000</t>
  </si>
  <si>
    <t>-VLOOKUP($B25,RawData,AZ$4,FALSE)*VLOOKUP(AZ$3,ConversionFactors,2,FALSE)/1000</t>
  </si>
  <si>
    <t>-VLOOKUP($B25,RawData,BA$4,FALSE)*VLOOKUP(BA$3,ConversionFactors,2,FALSE)/1000</t>
  </si>
  <si>
    <t>-VLOOKUP($B25,RawData,BB$4,FALSE)*VLOOKUP(BB$3,ConversionFactors,2,FALSE)/1000</t>
  </si>
  <si>
    <t>-VLOOKUP($B25,RawData,BC$4,FALSE)*1</t>
  </si>
  <si>
    <t>-VLOOKUP($B25,RawData,BD$4,FALSE)*VLOOKUP(BD$3,ConversionFactors,2,FALSE)/1000</t>
  </si>
  <si>
    <t>-VLOOKUP($B25,RawData,BG$4,FALSE)*1</t>
  </si>
  <si>
    <t>-VLOOKUP($B25,RawData,BI$4,FALSE)*1</t>
  </si>
  <si>
    <t>-VLOOKUP($B25,RawData,BM$4,FALSE)*3.6</t>
  </si>
  <si>
    <t>-VLOOKUP($B25,RawData,BN$4,FALSE)*1</t>
  </si>
  <si>
    <t>-VLOOKUP($B26,RawData,E$4,FALSE)*VLOOKUP(E$3,ConversionFactors,$D26,FALSE)/1000</t>
  </si>
  <si>
    <t>-VLOOKUP($B26,RawData,F$4,FALSE)*VLOOKUP(F$3,ConversionFactors,$D26,FALSE)/1000</t>
  </si>
  <si>
    <t>-VLOOKUP($B26,RawData,G$4,FALSE)*VLOOKUP(G$3,ConversionFactors,$D26,FALSE)/1000</t>
  </si>
  <si>
    <t>-VLOOKUP($B26,RawData,H$4,FALSE)*VLOOKUP(H$3,ConversionFactors,$D26,FALSE)/1000</t>
  </si>
  <si>
    <t>-VLOOKUP($B26,RawData,I$4,FALSE)*VLOOKUP(I$3,ConversionFactors,$D26,FALSE)/1000</t>
  </si>
  <si>
    <t>-VLOOKUP($B26,RawData,J$4,FALSE)*VLOOKUP(J$3,ConversionFactors,$D26,FALSE)/1000</t>
  </si>
  <si>
    <t>-VLOOKUP($B26,RawData,K$4,FALSE)*VLOOKUP(K$3,ConversionFactors,$D26,FALSE)/1000</t>
  </si>
  <si>
    <t>(VLOOKUP($B5,RawData,L$4,FALSE)*VLOOKUP(L$3,ConversionFactors,D$5,FALSE)+SUM(VLOOKUP("OSNATGAS",RawData,L$4,FALSE),VLOOKUP("OSOIL",RawData,L$4,FALSE),VLOOKUP("OSRENEW",RawData,L$4,FALSE),VLOOKUP("OSNONSPEC",RawData,L$4,FALSE))*VLOOKUP(L$3,ConversionFactors,MATCH("NOTHER",CFHeadings,0),FALSE)-VLOOKUP($B26,RawData,L$4,FALSE)*VLOOKUP(L$3,ConversionFactors,$D26,FALSE))/1000</t>
  </si>
  <si>
    <t>-VLOOKUP($B26,RawData,M$4,FALSE)*VLOOKUP(M$3,ConversionFactors,$D26,FALSE)/1000</t>
  </si>
  <si>
    <t>-VLOOKUP($B26,RawData,N$4,FALSE)*VLOOKUP(N$3,ConversionFactors,$D26,FALSE)/1000</t>
  </si>
  <si>
    <t>(SUM(VLOOKUP($B5,RawData,O$4,FALSE),VLOOKUP("OSCOAL",RawData,O$4,FALSE),VLOOKUP("OSNATGAS",RawData,O$4,FALSE),VLOOKUP("OSOIL",RawData,O$4,FALSE),VLOOKUP("OSRENEW",RawData,O$4,FALSE),VLOOKUP("OSNONSPEC",RawData,O$4,FALSE)-VLOOKUP($B26,RawData,O$4,FALSE))*VLOOKUP(O$3,ConversionFactors,2,FALSE))*1</t>
  </si>
  <si>
    <t>(-VLOOKUP($B26,RawData,P$4,FALSE)*VLOOKUP(P$3,ConversionFactors,2,FALSE))*1</t>
  </si>
  <si>
    <t>(-VLOOKUP($B26,RawData,Q$4,FALSE)*VLOOKUP(Q$3,ConversionFactors,2,FALSE))*1</t>
  </si>
  <si>
    <t>(-VLOOKUP($B26,RawData,R$4,FALSE)*VLOOKUP(R$3,ConversionFactors,2,FALSE))*1</t>
  </si>
  <si>
    <t>-VLOOKUP($B26,RawData,T$4,FALSE)*VLOOKUP(T$3,ConversionFactors,$D26,FALSE)/1000</t>
  </si>
  <si>
    <t>-VLOOKUP($B26,RawData,U$4,FALSE)*VLOOKUP(U$3,ConversionFactors,$D26,FALSE)/1000</t>
  </si>
  <si>
    <t>-VLOOKUP($B26,RawData,V$4,FALSE)*VLOOKUP(V$3,ConversionFactors,$D26,FALSE)/1000</t>
  </si>
  <si>
    <t>-VLOOKUP($B26,RawData,W$4,FALSE)*VLOOKUP(W$3,ConversionFactors,2,FALSE)/1000</t>
  </si>
  <si>
    <t>-VLOOKUP($B26,RawData,X$4,FALSE)*VLOOKUP(X$3,ConversionFactors,2,FALSE)/1000</t>
  </si>
  <si>
    <t>-VLOOKUP($B26,RawData,Y$4,FALSE)*VLOOKUP(Y$3,ConversionFactors,2,FALSE)/1000</t>
  </si>
  <si>
    <t>-VLOOKUP($B26,RawData,Z$4,FALSE)*VLOOKUP(Z$3,ConversionFactors,2,FALSE)/1000</t>
  </si>
  <si>
    <t>-VLOOKUP($B26,RawData,AA$4,FALSE)*VLOOKUP(AA$3,ConversionFactors,2,FALSE)/1000</t>
  </si>
  <si>
    <t>-VLOOKUP($B26,RawData,AB$4,FALSE)*VLOOKUP(AB$3,ConversionFactors,2,FALSE)/1000</t>
  </si>
  <si>
    <t>-VLOOKUP($B26,RawData,AC$4,FALSE)*VLOOKUP(AC$3,ConversionFactors,2,FALSE)/1000</t>
  </si>
  <si>
    <t>-VLOOKUP($B26,RawData,AD$4,FALSE)*VLOOKUP(AD$3,ConversionFactors,2,FALSE)/1000</t>
  </si>
  <si>
    <t>-VLOOKUP($B26,RawData,AE$4,FALSE)*VLOOKUP(AE$3,ConversionFactors,2,FALSE)/1000</t>
  </si>
  <si>
    <t>-VLOOKUP($B26,RawData,AF$4,FALSE)*VLOOKUP(AF$3,ConversionFactors,2,FALSE)/1000</t>
  </si>
  <si>
    <t>-VLOOKUP($B26,RawData,AG$4,FALSE)*VLOOKUP(AG$3,ConversionFactors,2,FALSE)/1000</t>
  </si>
  <si>
    <t>-VLOOKUP($B26,RawData,AH$4,FALSE)*VLOOKUP(AH$3,ConversionFactors,2,FALSE)/1000</t>
  </si>
  <si>
    <t>-VLOOKUP($B26,RawData,AI$4,FALSE)*VLOOKUP(AI$3,ConversionFactors,2,FALSE)/1000</t>
  </si>
  <si>
    <t>-VLOOKUP($B26,RawData,AJ$4,FALSE)*VLOOKUP(AJ$3,ConversionFactors,2,FALSE)/1000</t>
  </si>
  <si>
    <t>-VLOOKUP($B26,RawData,AK$4,FALSE)*VLOOKUP(AK$3,ConversionFactors,2,FALSE)/1000</t>
  </si>
  <si>
    <t>-VLOOKUP($B26,RawData,AL$4,FALSE)*VLOOKUP(AL$3,ConversionFactors,2,FALSE)/1000</t>
  </si>
  <si>
    <t>-VLOOKUP($B26,RawData,AM$4,FALSE)*VLOOKUP(AM$3,ConversionFactors,2,FALSE)/1000</t>
  </si>
  <si>
    <t>-VLOOKUP($B26,RawData,AN$4,FALSE)*VLOOKUP(AN$3,ConversionFactors,2,FALSE)/1000</t>
  </si>
  <si>
    <t>-VLOOKUP($B26,RawData,AO$4,FALSE)*VLOOKUP(AO$3,ConversionFactors,2,FALSE)/1000</t>
  </si>
  <si>
    <t>-VLOOKUP($B26,RawData,AP$4,FALSE)*VLOOKUP(AP$3,ConversionFactors,2,FALSE)/1000</t>
  </si>
  <si>
    <t>-VLOOKUP($B26,RawData,AQ$4,FALSE)*VLOOKUP(AQ$3,ConversionFactors,2,FALSE)/1000</t>
  </si>
  <si>
    <t>-VLOOKUP($B26,RawData,AR$4,FALSE)*VLOOKUP(AR$3,ConversionFactors,2,FALSE)/1000</t>
  </si>
  <si>
    <t>-VLOOKUP($B26,RawData,AS$4,FALSE)*VLOOKUP(AS$3,ConversionFactors,2,FALSE)*1</t>
  </si>
  <si>
    <t>-VLOOKUP($B26,RawData,AT$4,FALSE)*1</t>
  </si>
  <si>
    <t>-VLOOKUP($B26,RawData,AU$4,FALSE)*1</t>
  </si>
  <si>
    <t>-VLOOKUP($B26,RawData,AV$4,FALSE)*1</t>
  </si>
  <si>
    <t>-VLOOKUP($B26,RawData,AW$4,FALSE)*1</t>
  </si>
  <si>
    <t>-VLOOKUP($B26,RawData,AX$4,FALSE)*1</t>
  </si>
  <si>
    <t>-VLOOKUP($B26,RawData,AY$4,FALSE)*VLOOKUP(AY$3,ConversionFactors,2,FALSE)/1000</t>
  </si>
  <si>
    <t>-VLOOKUP($B26,RawData,AZ$4,FALSE)*VLOOKUP(AZ$3,ConversionFactors,2,FALSE)/1000</t>
  </si>
  <si>
    <t>-VLOOKUP($B26,RawData,BA$4,FALSE)*VLOOKUP(BA$3,ConversionFactors,2,FALSE)/1000</t>
  </si>
  <si>
    <t>-VLOOKUP($B26,RawData,BB$4,FALSE)*VLOOKUP(BB$3,ConversionFactors,2,FALSE)/1000</t>
  </si>
  <si>
    <t>-VLOOKUP($B26,RawData,BC$4,FALSE)*1</t>
  </si>
  <si>
    <t>-VLOOKUP($B26,RawData,BD$4,FALSE)*VLOOKUP(BD$3,ConversionFactors,2,FALSE)/1000</t>
  </si>
  <si>
    <t>-VLOOKUP($B26,RawData,BG$4,FALSE)*1</t>
  </si>
  <si>
    <t>-VLOOKUP($B26,RawData,BI$4,FALSE)*1</t>
  </si>
  <si>
    <t>-VLOOKUP($B26,RawData,BM$4,FALSE)*3.6</t>
  </si>
  <si>
    <t>-VLOOKUP($B26,RawData,BN$4,FALSE)*1</t>
  </si>
  <si>
    <t>-VLOOKUP($B27,RawData,E$4,FALSE)*VLOOKUP(E$3,ConversionFactors,$D27,FALSE)/1000</t>
  </si>
  <si>
    <t>-VLOOKUP($B27,RawData,F$4,FALSE)*VLOOKUP(F$3,ConversionFactors,$D27,FALSE)/1000</t>
  </si>
  <si>
    <t>-VLOOKUP($B27,RawData,G$4,FALSE)*VLOOKUP(G$3,ConversionFactors,$D27,FALSE)/1000</t>
  </si>
  <si>
    <t>-VLOOKUP($B27,RawData,H$4,FALSE)*VLOOKUP(H$3,ConversionFactors,$D27,FALSE)/1000</t>
  </si>
  <si>
    <t>-VLOOKUP($B27,RawData,I$4,FALSE)*VLOOKUP(I$3,ConversionFactors,$D27,FALSE)/1000</t>
  </si>
  <si>
    <t>-VLOOKUP($B27,RawData,J$4,FALSE)*VLOOKUP(J$3,ConversionFactors,$D27,FALSE)/1000</t>
  </si>
  <si>
    <t>-VLOOKUP($B27,RawData,K$4,FALSE)*VLOOKUP(K$3,ConversionFactors,$D27,FALSE)/1000</t>
  </si>
  <si>
    <t>-VLOOKUP($B27,RawData,L$4,FALSE)*VLOOKUP(L$3,ConversionFactors,$D27,FALSE)/1000</t>
  </si>
  <si>
    <t>-VLOOKUP($B27,RawData,M$4,FALSE)*VLOOKUP(M$3,ConversionFactors,$D27,FALSE)/1000</t>
  </si>
  <si>
    <t>-VLOOKUP($B27,RawData,N$4,FALSE)*VLOOKUP(N$3,ConversionFactors,$D27,FALSE)/1000</t>
  </si>
  <si>
    <t>(-VLOOKUP($B27,RawData,O$4,FALSE)*VLOOKUP(O$3,ConversionFactors,2,FALSE))*1</t>
  </si>
  <si>
    <t>(-VLOOKUP($B27,RawData,P$4,FALSE)*VLOOKUP(P$3,ConversionFactors,2,FALSE))*1</t>
  </si>
  <si>
    <t>(SUM(VLOOKUP($B5,RawData,Q$4,FALSE),VLOOKUP("OSNATGAS",RawData,Q$4,FALSE),VLOOKUP("OSOIL",RawData,Q$4,FALSE),VLOOKUP("OSRENEW",RawData,Q$4,FALSE),VLOOKUP("OSNONSPEC",RawData,Q$4,FALSE),-VLOOKUP($B27,RawData,Q$4,FALSE))*VLOOKUP(Q$3,ConversionFactors,2,FALSE))*1</t>
  </si>
  <si>
    <t>(SUM(VLOOKUP($B5,RawData,R$4,FALSE),VLOOKUP("OSNATGAS",RawData,R$4,FALSE),VLOOKUP("OSOIL",RawData,R$4,FALSE),VLOOKUP("OSRENEW",RawData,R$4,FALSE),VLOOKUP("OSNONSPEC",RawData,R$4,FALSE),-VLOOKUP($B27,RawData,R$4,FALSE))*VLOOKUP(R$3,ConversionFactors,2,FALSE))*1</t>
  </si>
  <si>
    <t>-VLOOKUP($B27,RawData,T$4,FALSE)*VLOOKUP(T$3,ConversionFactors,$D27,FALSE)/1000</t>
  </si>
  <si>
    <t>-VLOOKUP($B27,RawData,U$4,FALSE)*VLOOKUP(U$3,ConversionFactors,$D27,FALSE)/1000</t>
  </si>
  <si>
    <t>-VLOOKUP($B27,RawData,V$4,FALSE)*VLOOKUP(V$3,ConversionFactors,$D27,FALSE)/1000</t>
  </si>
  <si>
    <t>-VLOOKUP($B27,RawData,W$4,FALSE)*VLOOKUP(W$3,ConversionFactors,2,FALSE)/1000</t>
  </si>
  <si>
    <t>-VLOOKUP($B27,RawData,X$4,FALSE)*VLOOKUP(X$3,ConversionFactors,2,FALSE)/1000</t>
  </si>
  <si>
    <t>-VLOOKUP($B27,RawData,Y$4,FALSE)*VLOOKUP(Y$3,ConversionFactors,2,FALSE)/1000</t>
  </si>
  <si>
    <t>-VLOOKUP($B27,RawData,Z$4,FALSE)*VLOOKUP(Z$3,ConversionFactors,2,FALSE)/1000</t>
  </si>
  <si>
    <t>-VLOOKUP($B27,RawData,AA$4,FALSE)*VLOOKUP(AA$3,ConversionFactors,2,FALSE)/1000</t>
  </si>
  <si>
    <t>-VLOOKUP($B27,RawData,AB$4,FALSE)*VLOOKUP(AB$3,ConversionFactors,2,FALSE)/1000</t>
  </si>
  <si>
    <t>-VLOOKUP($B27,RawData,AC$4,FALSE)*VLOOKUP(AC$3,ConversionFactors,2,FALSE)/1000</t>
  </si>
  <si>
    <t>-VLOOKUP($B27,RawData,AD$4,FALSE)*VLOOKUP(AD$3,ConversionFactors,2,FALSE)/1000</t>
  </si>
  <si>
    <t>-VLOOKUP($B27,RawData,AE$4,FALSE)*VLOOKUP(AE$3,ConversionFactors,2,FALSE)/1000</t>
  </si>
  <si>
    <t>-VLOOKUP($B27,RawData,AF$4,FALSE)*VLOOKUP(AF$3,ConversionFactors,2,FALSE)/1000</t>
  </si>
  <si>
    <t>-VLOOKUP($B27,RawData,AG$4,FALSE)*VLOOKUP(AG$3,ConversionFactors,2,FALSE)/1000</t>
  </si>
  <si>
    <t>-VLOOKUP($B27,RawData,AH$4,FALSE)*VLOOKUP(AH$3,ConversionFactors,2,FALSE)/1000</t>
  </si>
  <si>
    <t>-VLOOKUP($B27,RawData,AI$4,FALSE)*VLOOKUP(AI$3,ConversionFactors,2,FALSE)/1000</t>
  </si>
  <si>
    <t>-VLOOKUP($B27,RawData,AJ$4,FALSE)*VLOOKUP(AJ$3,ConversionFactors,2,FALSE)/1000</t>
  </si>
  <si>
    <t>-VLOOKUP($B27,RawData,AK$4,FALSE)*VLOOKUP(AK$3,ConversionFactors,2,FALSE)/1000</t>
  </si>
  <si>
    <t>-VLOOKUP($B27,RawData,AL$4,FALSE)*VLOOKUP(AL$3,ConversionFactors,2,FALSE)/1000</t>
  </si>
  <si>
    <t>-VLOOKUP($B27,RawData,AM$4,FALSE)*VLOOKUP(AM$3,ConversionFactors,2,FALSE)/1000</t>
  </si>
  <si>
    <t>-VLOOKUP($B27,RawData,AN$4,FALSE)*VLOOKUP(AN$3,ConversionFactors,2,FALSE)/1000</t>
  </si>
  <si>
    <t>-VLOOKUP($B27,RawData,AO$4,FALSE)*VLOOKUP(AO$3,ConversionFactors,2,FALSE)/1000</t>
  </si>
  <si>
    <t>-VLOOKUP($B27,RawData,AP$4,FALSE)*VLOOKUP(AP$3,ConversionFactors,2,FALSE)/1000</t>
  </si>
  <si>
    <t>-VLOOKUP($B27,RawData,AQ$4,FALSE)*VLOOKUP(AQ$3,ConversionFactors,2,FALSE)/1000</t>
  </si>
  <si>
    <t>-VLOOKUP($B27,RawData,AR$4,FALSE)*VLOOKUP(AR$3,ConversionFactors,2,FALSE)/1000</t>
  </si>
  <si>
    <t>-VLOOKUP($B27,RawData,AS$4,FALSE)*VLOOKUP(AS$3,ConversionFactors,2,FALSE)*1</t>
  </si>
  <si>
    <t>-VLOOKUP($B27,RawData,AT$4,FALSE)*1</t>
  </si>
  <si>
    <t>-VLOOKUP($B27,RawData,AU$4,FALSE)*1</t>
  </si>
  <si>
    <t>-VLOOKUP($B27,RawData,AV$4,FALSE)*1</t>
  </si>
  <si>
    <t>-VLOOKUP($B27,RawData,AW$4,FALSE)*1</t>
  </si>
  <si>
    <t>-VLOOKUP($B27,RawData,AX$4,FALSE)*1</t>
  </si>
  <si>
    <t>-VLOOKUP($B27,RawData,AY$4,FALSE)*VLOOKUP(AY$3,ConversionFactors,2,FALSE)/1000</t>
  </si>
  <si>
    <t>-VLOOKUP($B27,RawData,AZ$4,FALSE)*VLOOKUP(AZ$3,ConversionFactors,2,FALSE)/1000</t>
  </si>
  <si>
    <t>-VLOOKUP($B27,RawData,BA$4,FALSE)*VLOOKUP(BA$3,ConversionFactors,2,FALSE)/1000</t>
  </si>
  <si>
    <t>-VLOOKUP($B27,RawData,BB$4,FALSE)*VLOOKUP(BB$3,ConversionFactors,2,FALSE)/1000</t>
  </si>
  <si>
    <t>-VLOOKUP($B27,RawData,BC$4,FALSE)*1</t>
  </si>
  <si>
    <t>-VLOOKUP($B27,RawData,BD$4,FALSE)*VLOOKUP(BD$3,ConversionFactors,2,FALSE)/1000</t>
  </si>
  <si>
    <t>-VLOOKUP($B27,RawData,BG$4,FALSE)*1</t>
  </si>
  <si>
    <t>-VLOOKUP($B27,RawData,BI$4,FALSE)*1</t>
  </si>
  <si>
    <t>-VLOOKUP($B27,RawData,BM$4,FALSE)*3.6</t>
  </si>
  <si>
    <t>-VLOOKUP($B27,RawData,BN$4,FALSE)*1</t>
  </si>
  <si>
    <t>-VLOOKUP($B28,RawData,E$4,FALSE)*VLOOKUP(E$3,ConversionFactors,$D28,FALSE)/1000</t>
  </si>
  <si>
    <t>-VLOOKUP($B28,RawData,F$4,FALSE)*VLOOKUP(F$3,ConversionFactors,$D28,FALSE)/1000</t>
  </si>
  <si>
    <t>-VLOOKUP($B28,RawData,G$4,FALSE)*VLOOKUP(G$3,ConversionFactors,$D28,FALSE)/1000</t>
  </si>
  <si>
    <t>-VLOOKUP($B28,RawData,H$4,FALSE)*VLOOKUP(H$3,ConversionFactors,$D28,FALSE)/1000</t>
  </si>
  <si>
    <t>-VLOOKUP($B28,RawData,I$4,FALSE)*VLOOKUP(I$3,ConversionFactors,$D28,FALSE)/1000</t>
  </si>
  <si>
    <t>-VLOOKUP($B28,RawData,J$4,FALSE)*VLOOKUP(J$3,ConversionFactors,$D28,FALSE)/1000</t>
  </si>
  <si>
    <t>-VLOOKUP($B28,RawData,K$4,FALSE)*VLOOKUP(K$3,ConversionFactors,$D28,FALSE)/1000</t>
  </si>
  <si>
    <t>-VLOOKUP($B28,RawData,L$4,FALSE)*VLOOKUP(L$3,ConversionFactors,$D28,FALSE)/1000</t>
  </si>
  <si>
    <t>-VLOOKUP($B28,RawData,M$4,FALSE)*VLOOKUP(M$3,ConversionFactors,$D28,FALSE)/1000</t>
  </si>
  <si>
    <t>-VLOOKUP($B28,RawData,N$4,FALSE)*VLOOKUP(N$3,ConversionFactors,$D28,FALSE)/1000</t>
  </si>
  <si>
    <t>(-VLOOKUP($B28,RawData,O$4,FALSE)*VLOOKUP(O$3,ConversionFactors,2,FALSE))*1</t>
  </si>
  <si>
    <t>(-VLOOKUP($B28,RawData,P$4,FALSE)*VLOOKUP(P$3,ConversionFactors,2,FALSE))*1</t>
  </si>
  <si>
    <t>(-VLOOKUP($B28,RawData,Q$4,FALSE)*VLOOKUP(Q$3,ConversionFactors,2,FALSE))*1</t>
  </si>
  <si>
    <t>(-VLOOKUP($B28,RawData,R$4,FALSE)*VLOOKUP(R$3,ConversionFactors,2,FALSE))*1</t>
  </si>
  <si>
    <t>-VLOOKUP($B28,RawData,T$4,FALSE)*VLOOKUP(T$3,ConversionFactors,$D28,FALSE)/1000</t>
  </si>
  <si>
    <t>-VLOOKUP($B28,RawData,U$4,FALSE)*VLOOKUP(U$3,ConversionFactors,$D28,FALSE)/1000</t>
  </si>
  <si>
    <t>-VLOOKUP($B28,RawData,V$4,FALSE)*VLOOKUP(V$3,ConversionFactors,$D28,FALSE)/1000</t>
  </si>
  <si>
    <t>-VLOOKUP($B28,RawData,W$4,FALSE)*VLOOKUP(W$3,ConversionFactors,2,FALSE)/1000</t>
  </si>
  <si>
    <t>-VLOOKUP($B28,RawData,X$4,FALSE)*VLOOKUP(X$3,ConversionFactors,2,FALSE)/1000</t>
  </si>
  <si>
    <t>VLOOKUP("OSOIL",RawData,Y$4,FALSE)*VLOOKUP(Y$3,ConversionFactors,2,FALSE)/1000</t>
  </si>
  <si>
    <t>-VLOOKUP($B28,RawData,Z$4,FALSE)*VLOOKUP(Z$3,ConversionFactors,2,FALSE)/1000</t>
  </si>
  <si>
    <t>-VLOOKUP($B28,RawData,AA$4,FALSE)*VLOOKUP(AA$3,ConversionFactors,2,FALSE)/1000</t>
  </si>
  <si>
    <t>-VLOOKUP($B28,RawData,AB$4,FALSE)*VLOOKUP(AB$3,ConversionFactors,2,FALSE)/1000</t>
  </si>
  <si>
    <t>-VLOOKUP($B28,RawData,AC$4,FALSE)*VLOOKUP(AC$3,ConversionFactors,2,FALSE)/1000</t>
  </si>
  <si>
    <t>-VLOOKUP($B28,RawData,AD$4,FALSE)*VLOOKUP(AD$3,ConversionFactors,2,FALSE)/1000</t>
  </si>
  <si>
    <t>-VLOOKUP($B28,RawData,AE$4,FALSE)*VLOOKUP(AE$3,ConversionFactors,2,FALSE)/1000</t>
  </si>
  <si>
    <t>-VLOOKUP($B28,RawData,AF$4,FALSE)*VLOOKUP(AF$3,ConversionFactors,2,FALSE)/1000</t>
  </si>
  <si>
    <t>-VLOOKUP($B28,RawData,AG$4,FALSE)*VLOOKUP(AG$3,ConversionFactors,2,FALSE)/1000</t>
  </si>
  <si>
    <t>-VLOOKUP($B28,RawData,AH$4,FALSE)*VLOOKUP(AH$3,ConversionFactors,2,FALSE)/1000</t>
  </si>
  <si>
    <t>-VLOOKUP($B28,RawData,AI$4,FALSE)*VLOOKUP(AI$3,ConversionFactors,2,FALSE)/1000</t>
  </si>
  <si>
    <t>-VLOOKUP($B28,RawData,AJ$4,FALSE)*VLOOKUP(AJ$3,ConversionFactors,2,FALSE)/1000</t>
  </si>
  <si>
    <t>-VLOOKUP($B28,RawData,AK$4,FALSE)*VLOOKUP(AK$3,ConversionFactors,2,FALSE)/1000</t>
  </si>
  <si>
    <t>-VLOOKUP($B28,RawData,AL$4,FALSE)*VLOOKUP(AL$3,ConversionFactors,2,FALSE)/1000</t>
  </si>
  <si>
    <t>-VLOOKUP($B28,RawData,AM$4,FALSE)*VLOOKUP(AM$3,ConversionFactors,2,FALSE)/1000</t>
  </si>
  <si>
    <t>-VLOOKUP($B28,RawData,AN$4,FALSE)*VLOOKUP(AN$3,ConversionFactors,2,FALSE)/1000</t>
  </si>
  <si>
    <t>-VLOOKUP($B28,RawData,AO$4,FALSE)*VLOOKUP(AO$3,ConversionFactors,2,FALSE)/1000</t>
  </si>
  <si>
    <t>-VLOOKUP($B28,RawData,AP$4,FALSE)*VLOOKUP(AP$3,ConversionFactors,2,FALSE)/1000</t>
  </si>
  <si>
    <t>-VLOOKUP($B28,RawData,AQ$4,FALSE)*VLOOKUP(AQ$3,ConversionFactors,2,FALSE)/1000</t>
  </si>
  <si>
    <t>-VLOOKUP($B28,RawData,AR$4,FALSE)*VLOOKUP(AR$3,ConversionFactors,2,FALSE)/1000</t>
  </si>
  <si>
    <t>-VLOOKUP($B28,RawData,AS$4,FALSE)*VLOOKUP(AS$3,ConversionFactors,2,FALSE)*1</t>
  </si>
  <si>
    <t>-VLOOKUP($B28,RawData,AT$4,FALSE)*1</t>
  </si>
  <si>
    <t>-VLOOKUP($B28,RawData,AU$4,FALSE)*1</t>
  </si>
  <si>
    <t>-VLOOKUP($B28,RawData,AV$4,FALSE)*1</t>
  </si>
  <si>
    <t>-VLOOKUP($B28,RawData,AW$4,FALSE)*1</t>
  </si>
  <si>
    <t>-VLOOKUP($B28,RawData,AX$4,FALSE)*1</t>
  </si>
  <si>
    <t>-VLOOKUP($B28,RawData,AY$4,FALSE)*VLOOKUP(AY$3,ConversionFactors,2,FALSE)/1000</t>
  </si>
  <si>
    <t>-VLOOKUP($B28,RawData,AZ$4,FALSE)*VLOOKUP(AZ$3,ConversionFactors,2,FALSE)/1000</t>
  </si>
  <si>
    <t>-VLOOKUP($B28,RawData,BA$4,FALSE)*VLOOKUP(BA$3,ConversionFactors,2,FALSE)/1000</t>
  </si>
  <si>
    <t>-VLOOKUP($B28,RawData,BB$4,FALSE)*VLOOKUP(BB$3,ConversionFactors,2,FALSE)/1000</t>
  </si>
  <si>
    <t>-VLOOKUP($B28,RawData,BC$4,FALSE)*1</t>
  </si>
  <si>
    <t>-VLOOKUP($B28,RawData,BD$4,FALSE)*VLOOKUP(BD$3,ConversionFactors,2,FALSE)/1000</t>
  </si>
  <si>
    <t>-VLOOKUP($B28,RawData,BG$4,FALSE)*1</t>
  </si>
  <si>
    <t>-VLOOKUP($B28,RawData,BI$4,FALSE)*1</t>
  </si>
  <si>
    <t>-VLOOKUP($B28,RawData,BM$4,FALSE)*3.6</t>
  </si>
  <si>
    <t>-VLOOKUP($B28,RawData,BN$4,FALSE)*1</t>
  </si>
  <si>
    <t>-VLOOKUP($B29,RawData,E$4,FALSE)*VLOOKUP(E$3,ConversionFactors,$D29,FALSE)/1000</t>
  </si>
  <si>
    <t>-VLOOKUP($B29,RawData,F$4,FALSE)*VLOOKUP(F$3,ConversionFactors,$D29,FALSE)/1000</t>
  </si>
  <si>
    <t>-VLOOKUP($B29,RawData,G$4,FALSE)*VLOOKUP(G$3,ConversionFactors,$D29,FALSE)/1000</t>
  </si>
  <si>
    <t>-VLOOKUP($B29,RawData,H$4,FALSE)*VLOOKUP(H$3,ConversionFactors,$D29,FALSE)/1000</t>
  </si>
  <si>
    <t>-VLOOKUP($B29,RawData,I$4,FALSE)*VLOOKUP(I$3,ConversionFactors,$D29,FALSE)/1000</t>
  </si>
  <si>
    <t>-VLOOKUP($B29,RawData,J$4,FALSE)*VLOOKUP(J$3,ConversionFactors,$D29,FALSE)/1000</t>
  </si>
  <si>
    <t>-VLOOKUP($B29,RawData,K$4,FALSE)*VLOOKUP(K$3,ConversionFactors,$D29,FALSE)/1000</t>
  </si>
  <si>
    <t>-VLOOKUP($B29,RawData,L$4,FALSE)*VLOOKUP(L$3,ConversionFactors,$D29,FALSE)/1000</t>
  </si>
  <si>
    <t>-VLOOKUP($B29,RawData,M$4,FALSE)*VLOOKUP(M$3,ConversionFactors,$D29,FALSE)/1000</t>
  </si>
  <si>
    <t>(VLOOKUP($B5,RawData,N$4,FALSE)*VLOOKUP(N$3,ConversionFactors,D$5,FALSE)+SUM(VLOOKUP("OSNATGAS",RawData,N$4,FALSE),VLOOKUP("OSOIL",RawData,N$4,FALSE),VLOOKUP("OSRENEW",RawData,N$4,FALSE),VLOOKUP("OSNONSPEC",RawData,N$4,FALSE))*VLOOKUP(N$3,ConversionFactors,MATCH("NOTHER",CFHeadings,0),FALSE)-VLOOKUP($B29,RawData,N$4,FALSE)*VLOOKUP(N$3,ConversionFactors,$D29,FALSE))/1000</t>
  </si>
  <si>
    <t>(-VLOOKUP($B29,RawData,O$4,FALSE)*VLOOKUP(O$3,ConversionFactors,2,FALSE))*1</t>
  </si>
  <si>
    <t>(-VLOOKUP($B29,RawData,P$4,FALSE)*VLOOKUP(P$3,ConversionFactors,2,FALSE))*1</t>
  </si>
  <si>
    <t>(-VLOOKUP($B29,RawData,Q$4,FALSE)*VLOOKUP(Q$3,ConversionFactors,2,FALSE))*1</t>
  </si>
  <si>
    <t>(-VLOOKUP($B29,RawData,R$4,FALSE)*VLOOKUP(R$3,ConversionFactors,2,FALSE))*1</t>
  </si>
  <si>
    <t>-VLOOKUP($B29,RawData,T$4,FALSE)*VLOOKUP(T$3,ConversionFactors,$D29,FALSE)/1000</t>
  </si>
  <si>
    <t>(VLOOKUP($B5,RawData,U$4,FALSE)*VLOOKUP(U$3,ConversionFactors,D$5,FALSE)+SUM(VLOOKUP("OSNATGAS",RawData,U$4,FALSE),VLOOKUP("OSOIL",RawData,U$4,FALSE),VLOOKUP("OSRENEW",RawData,U$4,FALSE),VLOOKUP("OSNONSPEC",RawData,U$4,FALSE))*VLOOKUP(U$3,ConversionFactors,MATCH("NOTHER",CFHeadings,0),FALSE)-VLOOKUP($B29,RawData,U$4,FALSE)*VLOOKUP(U$3,ConversionFactors,$D29,FALSE))/1000</t>
  </si>
  <si>
    <t>-VLOOKUP($B29,RawData,V$4,FALSE)*VLOOKUP(V$3,ConversionFactors,$D29,FALSE)/1000</t>
  </si>
  <si>
    <t>-VLOOKUP($B29,RawData,W$4,FALSE)*VLOOKUP(W$3,ConversionFactors,2,FALSE)/1000</t>
  </si>
  <si>
    <t>-VLOOKUP($B29,RawData,X$4,FALSE)*VLOOKUP(X$3,ConversionFactors,2,FALSE)/1000</t>
  </si>
  <si>
    <t>-VLOOKUP($B29,RawData,Y$4,FALSE)*VLOOKUP(Y$3,ConversionFactors,2,FALSE)/1000</t>
  </si>
  <si>
    <t>-VLOOKUP($B29,RawData,Z$4,FALSE)*VLOOKUP(Z$3,ConversionFactors,2,FALSE)/1000</t>
  </si>
  <si>
    <t>-VLOOKUP($B29,RawData,AA$4,FALSE)*VLOOKUP(AA$3,ConversionFactors,2,FALSE)/1000</t>
  </si>
  <si>
    <t>-VLOOKUP($B29,RawData,AB$4,FALSE)*VLOOKUP(AB$3,ConversionFactors,2,FALSE)/1000</t>
  </si>
  <si>
    <t>-VLOOKUP($B29,RawData,AC$4,FALSE)*VLOOKUP(AC$3,ConversionFactors,2,FALSE)/1000</t>
  </si>
  <si>
    <t>-VLOOKUP($B29,RawData,AD$4,FALSE)*VLOOKUP(AD$3,ConversionFactors,2,FALSE)/1000</t>
  </si>
  <si>
    <t>-VLOOKUP($B29,RawData,AE$4,FALSE)*VLOOKUP(AE$3,ConversionFactors,2,FALSE)/1000</t>
  </si>
  <si>
    <t>-VLOOKUP($B29,RawData,AF$4,FALSE)*VLOOKUP(AF$3,ConversionFactors,2,FALSE)/1000</t>
  </si>
  <si>
    <t>-VLOOKUP($B29,RawData,AG$4,FALSE)*VLOOKUP(AG$3,ConversionFactors,2,FALSE)/1000</t>
  </si>
  <si>
    <t>-VLOOKUP($B29,RawData,AH$4,FALSE)*VLOOKUP(AH$3,ConversionFactors,2,FALSE)/1000</t>
  </si>
  <si>
    <t>-VLOOKUP($B29,RawData,AI$4,FALSE)*VLOOKUP(AI$3,ConversionFactors,2,FALSE)/1000</t>
  </si>
  <si>
    <t>-VLOOKUP($B29,RawData,AJ$4,FALSE)*VLOOKUP(AJ$3,ConversionFactors,2,FALSE)/1000</t>
  </si>
  <si>
    <t>-VLOOKUP($B29,RawData,AK$4,FALSE)*VLOOKUP(AK$3,ConversionFactors,2,FALSE)/1000</t>
  </si>
  <si>
    <t>-VLOOKUP($B29,RawData,AL$4,FALSE)*VLOOKUP(AL$3,ConversionFactors,2,FALSE)/1000</t>
  </si>
  <si>
    <t>-VLOOKUP($B29,RawData,AM$4,FALSE)*VLOOKUP(AM$3,ConversionFactors,2,FALSE)/1000</t>
  </si>
  <si>
    <t>-VLOOKUP($B29,RawData,AN$4,FALSE)*VLOOKUP(AN$3,ConversionFactors,2,FALSE)/1000</t>
  </si>
  <si>
    <t>-VLOOKUP($B29,RawData,AO$4,FALSE)*VLOOKUP(AO$3,ConversionFactors,2,FALSE)/1000</t>
  </si>
  <si>
    <t>-VLOOKUP($B29,RawData,AP$4,FALSE)*VLOOKUP(AP$3,ConversionFactors,2,FALSE)/1000</t>
  </si>
  <si>
    <t>-VLOOKUP($B29,RawData,AQ$4,FALSE)*VLOOKUP(AQ$3,ConversionFactors,2,FALSE)/1000</t>
  </si>
  <si>
    <t>-VLOOKUP($B29,RawData,AR$4,FALSE)*VLOOKUP(AR$3,ConversionFactors,2,FALSE)/1000</t>
  </si>
  <si>
    <t>-VLOOKUP($B29,RawData,AS$4,FALSE)*VLOOKUP(AS$3,ConversionFactors,2,FALSE)*1</t>
  </si>
  <si>
    <t>-VLOOKUP($B29,RawData,AT$4,FALSE)*1</t>
  </si>
  <si>
    <t>-VLOOKUP($B29,RawData,AU$4,FALSE)*1</t>
  </si>
  <si>
    <t>-VLOOKUP($B29,RawData,AV$4,FALSE)*1</t>
  </si>
  <si>
    <t>-VLOOKUP($B29,RawData,AW$4,FALSE)*1</t>
  </si>
  <si>
    <t>-VLOOKUP($B29,RawData,AX$4,FALSE)*1</t>
  </si>
  <si>
    <t>-VLOOKUP($B29,RawData,AY$4,FALSE)*VLOOKUP(AY$3,ConversionFactors,2,FALSE)/1000</t>
  </si>
  <si>
    <t>-VLOOKUP($B29,RawData,AZ$4,FALSE)*VLOOKUP(AZ$3,ConversionFactors,2,FALSE)/1000</t>
  </si>
  <si>
    <t>-VLOOKUP($B29,RawData,BA$4,FALSE)*VLOOKUP(BA$3,ConversionFactors,2,FALSE)/1000</t>
  </si>
  <si>
    <t>-VLOOKUP($B29,RawData,BB$4,FALSE)*VLOOKUP(BB$3,ConversionFactors,2,FALSE)/1000</t>
  </si>
  <si>
    <t>-VLOOKUP($B29,RawData,BC$4,FALSE)*1</t>
  </si>
  <si>
    <t>-VLOOKUP($B29,RawData,BD$4,FALSE)*VLOOKUP(BD$3,ConversionFactors,2,FALSE)/1000</t>
  </si>
  <si>
    <t>-VLOOKUP($B29,RawData,BG$4,FALSE)*1</t>
  </si>
  <si>
    <t>-VLOOKUP($B29,RawData,BI$4,FALSE)*1</t>
  </si>
  <si>
    <t>-VLOOKUP($B29,RawData,BM$4,FALSE)*3.6</t>
  </si>
  <si>
    <t>-VLOOKUP($B29,RawData,BN$4,FALSE)*1</t>
  </si>
  <si>
    <t>-VLOOKUP($B30,RawData,E$4,FALSE)*VLOOKUP(E$3,ConversionFactors,$D30,FALSE)/1000</t>
  </si>
  <si>
    <t>-VLOOKUP($B30,RawData,F$4,FALSE)*VLOOKUP(F$3,ConversionFactors,$D30,FALSE)/1000</t>
  </si>
  <si>
    <t>-VLOOKUP($B30,RawData,G$4,FALSE)*VLOOKUP(G$3,ConversionFactors,$D30,FALSE)/1000</t>
  </si>
  <si>
    <t>-VLOOKUP($B30,RawData,H$4,FALSE)*VLOOKUP(H$3,ConversionFactors,$D30,FALSE)/1000</t>
  </si>
  <si>
    <t>-VLOOKUP($B30,RawData,I$4,FALSE)*VLOOKUP(I$3,ConversionFactors,$D30,FALSE)/1000</t>
  </si>
  <si>
    <t>-VLOOKUP($B30,RawData,J$4,FALSE)*VLOOKUP(J$3,ConversionFactors,$D30,FALSE)/1000</t>
  </si>
  <si>
    <t>-VLOOKUP($B30,RawData,K$4,FALSE)*VLOOKUP(K$3,ConversionFactors,$D30,FALSE)/1000</t>
  </si>
  <si>
    <t>-VLOOKUP($B30,RawData,L$4,FALSE)*VLOOKUP(L$3,ConversionFactors,$D30,FALSE)/1000</t>
  </si>
  <si>
    <t>-VLOOKUP($B30,RawData,M$4,FALSE)*VLOOKUP(M$3,ConversionFactors,$D30,FALSE)/1000</t>
  </si>
  <si>
    <t>-VLOOKUP($B30,RawData,N$4,FALSE)*VLOOKUP(N$3,ConversionFactors,$D30,FALSE)/1000</t>
  </si>
  <si>
    <t>(-VLOOKUP($B30,RawData,O$4,FALSE)*VLOOKUP(O$3,ConversionFactors,2,FALSE))*1</t>
  </si>
  <si>
    <t>(-VLOOKUP($B30,RawData,P$4,FALSE)*VLOOKUP(P$3,ConversionFactors,2,FALSE))*1</t>
  </si>
  <si>
    <t>(-VLOOKUP($B30,RawData,Q$4,FALSE)*VLOOKUP(Q$3,ConversionFactors,2,FALSE))*1</t>
  </si>
  <si>
    <t>(-VLOOKUP($B30,RawData,R$4,FALSE)*VLOOKUP(R$3,ConversionFactors,2,FALSE))*1</t>
  </si>
  <si>
    <t>-VLOOKUP($B30,RawData,T$4,FALSE)*VLOOKUP(T$3,ConversionFactors,$D30,FALSE)/1000</t>
  </si>
  <si>
    <t>-VLOOKUP($B30,RawData,U$4,FALSE)*VLOOKUP(U$3,ConversionFactors,$D30,FALSE)/1000</t>
  </si>
  <si>
    <t>-VLOOKUP($B30,RawData,V$4,FALSE)*VLOOKUP(V$3,ConversionFactors,$D30,FALSE)/1000</t>
  </si>
  <si>
    <t>-VLOOKUP($B30,RawData,W$4,FALSE)*VLOOKUP(W$3,ConversionFactors,2,FALSE)/1000</t>
  </si>
  <si>
    <t>-VLOOKUP($B30,RawData,X$4,FALSE)*VLOOKUP(X$3,ConversionFactors,2,FALSE)/1000</t>
  </si>
  <si>
    <t>-VLOOKUP($B30,RawData,Y$4,FALSE)*VLOOKUP(Y$3,ConversionFactors,2,FALSE)/1000</t>
  </si>
  <si>
    <t>-VLOOKUP($B30,RawData,Z$4,FALSE)*VLOOKUP(Z$3,ConversionFactors,2,FALSE)/1000</t>
  </si>
  <si>
    <t>-VLOOKUP($B30,RawData,AA$4,FALSE)*VLOOKUP(AA$3,ConversionFactors,2,FALSE)/1000</t>
  </si>
  <si>
    <t>(VLOOKUP($B5,RawData,AB$4,FALSE)-VLOOKUP($B30,RawData,AB$4,FALSE))*VLOOKUP(AB$3,ConversionFactors,2,FALSE)/1000</t>
  </si>
  <si>
    <t>(VLOOKUP($B5,RawData,AC$4,FALSE)-VLOOKUP($B30,RawData,AC$4,FALSE))*VLOOKUP(AC$3,ConversionFactors,2,FALSE)/1000</t>
  </si>
  <si>
    <t>(VLOOKUP($B5,RawData,AD$4,FALSE)-VLOOKUP($B30,RawData,AD$4,FALSE))*VLOOKUP(AD$3,ConversionFactors,2,FALSE)/1000</t>
  </si>
  <si>
    <t>(VLOOKUP($B5,RawData,AE$4,FALSE)-VLOOKUP($B30,RawData,AE$4,FALSE))*VLOOKUP(AE$3,ConversionFactors,2,FALSE)/1000</t>
  </si>
  <si>
    <t>(VLOOKUP($B5,RawData,AF$4,FALSE)-VLOOKUP($B30,RawData,AF$4,FALSE))*VLOOKUP(AF$3,ConversionFactors,2,FALSE)/1000</t>
  </si>
  <si>
    <t>(VLOOKUP($B5,RawData,AG$4,FALSE)-VLOOKUP($B30,RawData,AG$4,FALSE))*VLOOKUP(AG$3,ConversionFactors,2,FALSE)/1000</t>
  </si>
  <si>
    <t>(VLOOKUP($B5,RawData,AH$4,FALSE)-VLOOKUP($B30,RawData,AH$4,FALSE))*VLOOKUP(AH$3,ConversionFactors,2,FALSE)/1000</t>
  </si>
  <si>
    <t>(VLOOKUP($B5,RawData,AI$4,FALSE)-VLOOKUP($B30,RawData,AI$4,FALSE))*VLOOKUP(AI$3,ConversionFactors,2,FALSE)/1000</t>
  </si>
  <si>
    <t>(VLOOKUP($B5,RawData,AJ$4,FALSE)-VLOOKUP($B30,RawData,AJ$4,FALSE))*VLOOKUP(AJ$3,ConversionFactors,2,FALSE)/1000</t>
  </si>
  <si>
    <t>(VLOOKUP($B5,RawData,AK$4,FALSE)-VLOOKUP($B30,RawData,AK$4,FALSE))*VLOOKUP(AK$3,ConversionFactors,2,FALSE)/1000</t>
  </si>
  <si>
    <t>(VLOOKUP($B5,RawData,AL$4,FALSE)-VLOOKUP($B30,RawData,AL$4,FALSE))*VLOOKUP(AL$3,ConversionFactors,2,FALSE)/1000</t>
  </si>
  <si>
    <t>(VLOOKUP($B5,RawData,AM$4,FALSE)-VLOOKUP($B30,RawData,AM$4,FALSE))*VLOOKUP(AM$3,ConversionFactors,2,FALSE)/1000</t>
  </si>
  <si>
    <t>(VLOOKUP($B5,RawData,AN$4,FALSE)-VLOOKUP($B30,RawData,AN$4,FALSE))*VLOOKUP(AN$3,ConversionFactors,2,FALSE)/1000</t>
  </si>
  <si>
    <t>(VLOOKUP($B5,RawData,AO$4,FALSE)-VLOOKUP($B30,RawData,AO$4,FALSE))*VLOOKUP(AO$3,ConversionFactors,2,FALSE)/1000</t>
  </si>
  <si>
    <t>(VLOOKUP($B5,RawData,AP$4,FALSE)-VLOOKUP($B30,RawData,AP$4,FALSE))*VLOOKUP(AP$3,ConversionFactors,2,FALSE)/1000</t>
  </si>
  <si>
    <t>(VLOOKUP($B5,RawData,AQ$4,FALSE)-VLOOKUP($B30,RawData,AQ$4,FALSE))*VLOOKUP(AQ$3,ConversionFactors,2,FALSE)/1000</t>
  </si>
  <si>
    <t>(VLOOKUP($B5,RawData,AR$4,FALSE)-VLOOKUP($B30,RawData,AR$4,FALSE))*VLOOKUP(AR$3,ConversionFactors,2,FALSE)/1000</t>
  </si>
  <si>
    <t>-VLOOKUP($B30,RawData,AS$4,FALSE)*VLOOKUP(AS$3,ConversionFactors,2,FALSE)*1</t>
  </si>
  <si>
    <t>-VLOOKUP($B30,RawData,AT$4,FALSE)*1</t>
  </si>
  <si>
    <t>-VLOOKUP($B30,RawData,AU$4,FALSE)*1</t>
  </si>
  <si>
    <t>-VLOOKUP($B30,RawData,AV$4,FALSE)*1</t>
  </si>
  <si>
    <t>-VLOOKUP($B30,RawData,AW$4,FALSE)*1</t>
  </si>
  <si>
    <t>-VLOOKUP($B30,RawData,AX$4,FALSE)*1</t>
  </si>
  <si>
    <t>-VLOOKUP($B30,RawData,AY$4,FALSE)*VLOOKUP(AY$3,ConversionFactors,2,FALSE)/1000</t>
  </si>
  <si>
    <t>-VLOOKUP($B30,RawData,AZ$4,FALSE)*VLOOKUP(AZ$3,ConversionFactors,2,FALSE)/1000</t>
  </si>
  <si>
    <t>-VLOOKUP($B30,RawData,BA$4,FALSE)*VLOOKUP(BA$3,ConversionFactors,2,FALSE)/1000</t>
  </si>
  <si>
    <t>-VLOOKUP($B30,RawData,BB$4,FALSE)*VLOOKUP(BB$3,ConversionFactors,2,FALSE)/1000</t>
  </si>
  <si>
    <t>-VLOOKUP($B30,RawData,BC$4,FALSE)*1</t>
  </si>
  <si>
    <t>-VLOOKUP($B30,RawData,BD$4,FALSE)*VLOOKUP(BD$3,ConversionFactors,2,FALSE)/1000</t>
  </si>
  <si>
    <t>-VLOOKUP($B30,RawData,BG$4,FALSE)*1</t>
  </si>
  <si>
    <t>-VLOOKUP($B30,RawData,BI$4,FALSE)*1</t>
  </si>
  <si>
    <t>-VLOOKUP($B30,RawData,BM$4,FALSE)*3.6</t>
  </si>
  <si>
    <t>-VLOOKUP($B30,RawData,BN$4,FALSE)*1</t>
  </si>
  <si>
    <t>-VLOOKUP($B31,RawData,E$4,FALSE)*VLOOKUP(E$3,ConversionFactors,$D31,FALSE)/1000</t>
  </si>
  <si>
    <t>-VLOOKUP($B31,RawData,F$4,FALSE)*VLOOKUP(F$3,ConversionFactors,$D31,FALSE)/1000</t>
  </si>
  <si>
    <t>-VLOOKUP($B31,RawData,G$4,FALSE)*VLOOKUP(G$3,ConversionFactors,$D31,FALSE)/1000</t>
  </si>
  <si>
    <t>-VLOOKUP($B31,RawData,H$4,FALSE)*VLOOKUP(H$3,ConversionFactors,$D31,FALSE)/1000</t>
  </si>
  <si>
    <t>-VLOOKUP($B31,RawData,I$4,FALSE)*VLOOKUP(I$3,ConversionFactors,$D31,FALSE)/1000</t>
  </si>
  <si>
    <t>-VLOOKUP($B31,RawData,J$4,FALSE)*VLOOKUP(J$3,ConversionFactors,$D31,FALSE)/1000</t>
  </si>
  <si>
    <t>-VLOOKUP($B31,RawData,K$4,FALSE)*VLOOKUP(K$3,ConversionFactors,$D31,FALSE)/1000</t>
  </si>
  <si>
    <t>-VLOOKUP($B31,RawData,L$4,FALSE)*VLOOKUP(L$3,ConversionFactors,$D31,FALSE)/1000</t>
  </si>
  <si>
    <t>-VLOOKUP($B31,RawData,M$4,FALSE)*VLOOKUP(M$3,ConversionFactors,$D31,FALSE)/1000</t>
  </si>
  <si>
    <t>-VLOOKUP($B31,RawData,N$4,FALSE)*VLOOKUP(N$3,ConversionFactors,$D31,FALSE)/1000</t>
  </si>
  <si>
    <t>(-VLOOKUP($B31,RawData,O$4,FALSE)*VLOOKUP(O$3,ConversionFactors,2,FALSE))*1</t>
  </si>
  <si>
    <t>(-VLOOKUP($B31,RawData,P$4,FALSE)*VLOOKUP(P$3,ConversionFactors,2,FALSE))*1</t>
  </si>
  <si>
    <t>(-VLOOKUP($B31,RawData,Q$4,FALSE)*VLOOKUP(Q$3,ConversionFactors,2,FALSE))*1</t>
  </si>
  <si>
    <t>(-VLOOKUP($B31,RawData,R$4,FALSE)*VLOOKUP(R$3,ConversionFactors,2,FALSE))*1</t>
  </si>
  <si>
    <t>-VLOOKUP($B31,RawData,T$4,FALSE)*VLOOKUP(T$3,ConversionFactors,$D31,FALSE)/1000</t>
  </si>
  <si>
    <t>-VLOOKUP($B31,RawData,U$4,FALSE)*VLOOKUP(U$3,ConversionFactors,$D31,FALSE)/1000</t>
  </si>
  <si>
    <t>-VLOOKUP($B31,RawData,V$4,FALSE)*VLOOKUP(V$3,ConversionFactors,$D31,FALSE)/1000</t>
  </si>
  <si>
    <t>-VLOOKUP($B31,RawData,W$4,FALSE)*VLOOKUP(W$3,ConversionFactors,2,FALSE)/1000</t>
  </si>
  <si>
    <t>-VLOOKUP($B31,RawData,X$4,FALSE)*VLOOKUP(X$3,ConversionFactors,2,FALSE)/1000</t>
  </si>
  <si>
    <t>-VLOOKUP($B31,RawData,Y$4,FALSE)*VLOOKUP(Y$3,ConversionFactors,2,FALSE)/1000</t>
  </si>
  <si>
    <t>-VLOOKUP($B31,RawData,Z$4,FALSE)*VLOOKUP(Z$3,ConversionFactors,2,FALSE)/1000</t>
  </si>
  <si>
    <t>(VLOOKUP("OSCOAL",RawData,AA$4,FALSE)-VLOOKUP($B31,RawData,AA$4,FALSE))*VLOOKUP(AA$3,ConversionFactors,2,FALSE)/1000</t>
  </si>
  <si>
    <t>-VLOOKUP($B31,RawData,AB$4,FALSE)*VLOOKUP(AB$3,ConversionFactors,2,FALSE)/1000</t>
  </si>
  <si>
    <t>-VLOOKUP($B31,RawData,AC$4,FALSE)*VLOOKUP(AC$3,ConversionFactors,2,FALSE)/1000</t>
  </si>
  <si>
    <t>-VLOOKUP($B31,RawData,AD$4,FALSE)*VLOOKUP(AD$3,ConversionFactors,2,FALSE)/1000</t>
  </si>
  <si>
    <t>-VLOOKUP($B31,RawData,AE$4,FALSE)*VLOOKUP(AE$3,ConversionFactors,2,FALSE)/1000</t>
  </si>
  <si>
    <t>-VLOOKUP($B31,RawData,AF$4,FALSE)*VLOOKUP(AF$3,ConversionFactors,2,FALSE)/1000</t>
  </si>
  <si>
    <t>-VLOOKUP($B31,RawData,AG$4,FALSE)*VLOOKUP(AG$3,ConversionFactors,2,FALSE)/1000</t>
  </si>
  <si>
    <t>-VLOOKUP($B31,RawData,AH$4,FALSE)*VLOOKUP(AH$3,ConversionFactors,2,FALSE)/1000</t>
  </si>
  <si>
    <t>-VLOOKUP($B31,RawData,AI$4,FALSE)*VLOOKUP(AI$3,ConversionFactors,2,FALSE)/1000</t>
  </si>
  <si>
    <t>-VLOOKUP($B31,RawData,AJ$4,FALSE)*VLOOKUP(AJ$3,ConversionFactors,2,FALSE)/1000</t>
  </si>
  <si>
    <t>-VLOOKUP($B31,RawData,AK$4,FALSE)*VLOOKUP(AK$3,ConversionFactors,2,FALSE)/1000</t>
  </si>
  <si>
    <t>-VLOOKUP($B31,RawData,AL$4,FALSE)*VLOOKUP(AL$3,ConversionFactors,2,FALSE)/1000</t>
  </si>
  <si>
    <t>-VLOOKUP($B31,RawData,AM$4,FALSE)*VLOOKUP(AM$3,ConversionFactors,2,FALSE)/1000</t>
  </si>
  <si>
    <t>-VLOOKUP($B31,RawData,AN$4,FALSE)*VLOOKUP(AN$3,ConversionFactors,2,FALSE)/1000</t>
  </si>
  <si>
    <t>-VLOOKUP($B31,RawData,AO$4,FALSE)*VLOOKUP(AO$3,ConversionFactors,2,FALSE)/1000</t>
  </si>
  <si>
    <t>-VLOOKUP($B31,RawData,AP$4,FALSE)*VLOOKUP(AP$3,ConversionFactors,2,FALSE)/1000</t>
  </si>
  <si>
    <t>-VLOOKUP($B31,RawData,AQ$4,FALSE)*VLOOKUP(AQ$3,ConversionFactors,2,FALSE)/1000</t>
  </si>
  <si>
    <t>-VLOOKUP($B31,RawData,AR$4,FALSE)*VLOOKUP(AR$3,ConversionFactors,2,FALSE)/1000</t>
  </si>
  <si>
    <t>-VLOOKUP($B31,RawData,AS$4,FALSE)*VLOOKUP(AS$3,ConversionFactors,2,FALSE)*1</t>
  </si>
  <si>
    <t>-VLOOKUP($B31,RawData,AT$4,FALSE)*1</t>
  </si>
  <si>
    <t>-VLOOKUP($B31,RawData,AU$4,FALSE)*1</t>
  </si>
  <si>
    <t>-VLOOKUP($B31,RawData,AV$4,FALSE)*1</t>
  </si>
  <si>
    <t>-VLOOKUP($B31,RawData,AW$4,FALSE)*1</t>
  </si>
  <si>
    <t>-VLOOKUP($B31,RawData,AX$4,FALSE)*1</t>
  </si>
  <si>
    <t>-VLOOKUP($B31,RawData,AY$4,FALSE)*VLOOKUP(AY$3,ConversionFactors,2,FALSE)/1000</t>
  </si>
  <si>
    <t>-VLOOKUP($B31,RawData,AZ$4,FALSE)*VLOOKUP(AZ$3,ConversionFactors,2,FALSE)/1000</t>
  </si>
  <si>
    <t>-VLOOKUP($B31,RawData,BA$4,FALSE)*VLOOKUP(BA$3,ConversionFactors,2,FALSE)/1000</t>
  </si>
  <si>
    <t>-VLOOKUP($B31,RawData,BB$4,FALSE)*VLOOKUP(BB$3,ConversionFactors,2,FALSE)/1000</t>
  </si>
  <si>
    <t>-VLOOKUP($B31,RawData,BC$4,FALSE)*1</t>
  </si>
  <si>
    <t>-VLOOKUP($B31,RawData,BD$4,FALSE)*VLOOKUP(BD$3,ConversionFactors,2,FALSE)/1000</t>
  </si>
  <si>
    <t>-VLOOKUP($B31,RawData,BG$4,FALSE)*1</t>
  </si>
  <si>
    <t>-VLOOKUP($B31,RawData,BI$4,FALSE)*1</t>
  </si>
  <si>
    <t>-VLOOKUP($B31,RawData,BM$4,FALSE)*3.6</t>
  </si>
  <si>
    <t>-VLOOKUP($B31,RawData,BN$4,FALSE)*1</t>
  </si>
  <si>
    <t>-VLOOKUP($B32,RawData,E$4,FALSE)*VLOOKUP(E$3,ConversionFactors,$D32,FALSE)/1000</t>
  </si>
  <si>
    <t>-VLOOKUP($B32,RawData,F$4,FALSE)*VLOOKUP(F$3,ConversionFactors,$D32,FALSE)/1000</t>
  </si>
  <si>
    <t>-VLOOKUP($B32,RawData,G$4,FALSE)*VLOOKUP(G$3,ConversionFactors,$D32,FALSE)/1000</t>
  </si>
  <si>
    <t>-VLOOKUP($B32,RawData,H$4,FALSE)*VLOOKUP(H$3,ConversionFactors,$D32,FALSE)/1000</t>
  </si>
  <si>
    <t>-VLOOKUP($B32,RawData,I$4,FALSE)*VLOOKUP(I$3,ConversionFactors,$D32,FALSE)/1000</t>
  </si>
  <si>
    <t>-VLOOKUP($B32,RawData,J$4,FALSE)*VLOOKUP(J$3,ConversionFactors,$D32,FALSE)/1000</t>
  </si>
  <si>
    <t>-VLOOKUP($B32,RawData,K$4,FALSE)*VLOOKUP(K$3,ConversionFactors,$D32,FALSE)/1000</t>
  </si>
  <si>
    <t>-VLOOKUP($B32,RawData,L$4,FALSE)*VLOOKUP(L$3,ConversionFactors,$D32,FALSE)/1000</t>
  </si>
  <si>
    <t>-VLOOKUP($B32,RawData,M$4,FALSE)*VLOOKUP(M$3,ConversionFactors,$D32,FALSE)/1000</t>
  </si>
  <si>
    <t>-VLOOKUP($B32,RawData,N$4,FALSE)*VLOOKUP(N$3,ConversionFactors,$D32,FALSE)/1000</t>
  </si>
  <si>
    <t>(-VLOOKUP($B32,RawData,O$4,FALSE)*VLOOKUP(O$3,ConversionFactors,2,FALSE))*1</t>
  </si>
  <si>
    <t>(-VLOOKUP($B32,RawData,P$4,FALSE)*VLOOKUP(P$3,ConversionFactors,2,FALSE))*1</t>
  </si>
  <si>
    <t>(-VLOOKUP($B32,RawData,Q$4,FALSE)*VLOOKUP(Q$3,ConversionFactors,2,FALSE))*1</t>
  </si>
  <si>
    <t>(-VLOOKUP($B32,RawData,R$4,FALSE)*VLOOKUP(R$3,ConversionFactors,2,FALSE))*1</t>
  </si>
  <si>
    <t>-VLOOKUP($B32,RawData,T$4,FALSE)*VLOOKUP(T$3,ConversionFactors,$D32,FALSE)/1000</t>
  </si>
  <si>
    <t>-VLOOKUP($B32,RawData,U$4,FALSE)*VLOOKUP(U$3,ConversionFactors,$D32,FALSE)/1000</t>
  </si>
  <si>
    <t>-VLOOKUP($B32,RawData,V$4,FALSE)*VLOOKUP(V$3,ConversionFactors,$D32,FALSE)/1000</t>
  </si>
  <si>
    <t>-VLOOKUP($B32,RawData,W$4,FALSE)*VLOOKUP(W$3,ConversionFactors,2,FALSE)/1000</t>
  </si>
  <si>
    <t>-VLOOKUP($B32,RawData,X$4,FALSE)*VLOOKUP(X$3,ConversionFactors,2,FALSE)/1000</t>
  </si>
  <si>
    <t>-VLOOKUP($B32,RawData,Y$4,FALSE)*VLOOKUP(Y$3,ConversionFactors,2,FALSE)/1000</t>
  </si>
  <si>
    <t>-VLOOKUP($B32,RawData,Z$4,FALSE)*VLOOKUP(Z$3,ConversionFactors,2,FALSE)/1000</t>
  </si>
  <si>
    <t>(VLOOKUP("OSNATGAS",RawData,AA$4,FALSE)-VLOOKUP($B32,RawData,AA$4,FALSE))*VLOOKUP(AA$3,ConversionFactors,2,FALSE)/1000</t>
  </si>
  <si>
    <t>-VLOOKUP($B32,RawData,AB$4,FALSE)*VLOOKUP(AB$3,ConversionFactors,2,FALSE)/1000</t>
  </si>
  <si>
    <t>-VLOOKUP($B32,RawData,AC$4,FALSE)*VLOOKUP(AC$3,ConversionFactors,2,FALSE)/1000</t>
  </si>
  <si>
    <t>-VLOOKUP($B32,RawData,AD$4,FALSE)*VLOOKUP(AD$3,ConversionFactors,2,FALSE)/1000</t>
  </si>
  <si>
    <t>-VLOOKUP($B32,RawData,AE$4,FALSE)*VLOOKUP(AE$3,ConversionFactors,2,FALSE)/1000</t>
  </si>
  <si>
    <t>-VLOOKUP($B32,RawData,AF$4,FALSE)*VLOOKUP(AF$3,ConversionFactors,2,FALSE)/1000</t>
  </si>
  <si>
    <t>-VLOOKUP($B32,RawData,AG$4,FALSE)*VLOOKUP(AG$3,ConversionFactors,2,FALSE)/1000</t>
  </si>
  <si>
    <t>-VLOOKUP($B32,RawData,AH$4,FALSE)*VLOOKUP(AH$3,ConversionFactors,2,FALSE)/1000</t>
  </si>
  <si>
    <t>-VLOOKUP($B32,RawData,AI$4,FALSE)*VLOOKUP(AI$3,ConversionFactors,2,FALSE)/1000</t>
  </si>
  <si>
    <t>-VLOOKUP($B32,RawData,AJ$4,FALSE)*VLOOKUP(AJ$3,ConversionFactors,2,FALSE)/1000</t>
  </si>
  <si>
    <t>-VLOOKUP($B32,RawData,AK$4,FALSE)*VLOOKUP(AK$3,ConversionFactors,2,FALSE)/1000</t>
  </si>
  <si>
    <t>-VLOOKUP($B32,RawData,AL$4,FALSE)*VLOOKUP(AL$3,ConversionFactors,2,FALSE)/1000</t>
  </si>
  <si>
    <t>-VLOOKUP($B32,RawData,AM$4,FALSE)*VLOOKUP(AM$3,ConversionFactors,2,FALSE)/1000</t>
  </si>
  <si>
    <t>-VLOOKUP($B32,RawData,AN$4,FALSE)*VLOOKUP(AN$3,ConversionFactors,2,FALSE)/1000</t>
  </si>
  <si>
    <t>-VLOOKUP($B32,RawData,AO$4,FALSE)*VLOOKUP(AO$3,ConversionFactors,2,FALSE)/1000</t>
  </si>
  <si>
    <t>-VLOOKUP($B32,RawData,AP$4,FALSE)*VLOOKUP(AP$3,ConversionFactors,2,FALSE)/1000</t>
  </si>
  <si>
    <t>-VLOOKUP($B32,RawData,AQ$4,FALSE)*VLOOKUP(AQ$3,ConversionFactors,2,FALSE)/1000</t>
  </si>
  <si>
    <t>-VLOOKUP($B32,RawData,AR$4,FALSE)*VLOOKUP(AR$3,ConversionFactors,2,FALSE)/1000</t>
  </si>
  <si>
    <t>-VLOOKUP($B32,RawData,AS$4,FALSE)*VLOOKUP(AS$3,ConversionFactors,2,FALSE)*1</t>
  </si>
  <si>
    <t>-VLOOKUP($B32,RawData,AT$4,FALSE)*1</t>
  </si>
  <si>
    <t>-VLOOKUP($B32,RawData,AU$4,FALSE)*1</t>
  </si>
  <si>
    <t>-VLOOKUP($B32,RawData,AV$4,FALSE)*1</t>
  </si>
  <si>
    <t>-VLOOKUP($B32,RawData,AW$4,FALSE)*1</t>
  </si>
  <si>
    <t>-VLOOKUP($B32,RawData,AX$4,FALSE)*1</t>
  </si>
  <si>
    <t>-VLOOKUP($B32,RawData,AY$4,FALSE)*VLOOKUP(AY$3,ConversionFactors,2,FALSE)/1000</t>
  </si>
  <si>
    <t>-VLOOKUP($B32,RawData,AZ$4,FALSE)*VLOOKUP(AZ$3,ConversionFactors,2,FALSE)/1000</t>
  </si>
  <si>
    <t>-VLOOKUP($B32,RawData,BA$4,FALSE)*VLOOKUP(BA$3,ConversionFactors,2,FALSE)/1000</t>
  </si>
  <si>
    <t>-VLOOKUP($B32,RawData,BB$4,FALSE)*VLOOKUP(BB$3,ConversionFactors,2,FALSE)/1000</t>
  </si>
  <si>
    <t>-VLOOKUP($B32,RawData,BC$4,FALSE)*1</t>
  </si>
  <si>
    <t>-VLOOKUP($B32,RawData,BD$4,FALSE)*VLOOKUP(BD$3,ConversionFactors,2,FALSE)/1000</t>
  </si>
  <si>
    <t>-VLOOKUP($B32,RawData,BG$4,FALSE)*1</t>
  </si>
  <si>
    <t>-VLOOKUP($B32,RawData,BI$4,FALSE)*1</t>
  </si>
  <si>
    <t>-VLOOKUP($B32,RawData,BM$4,FALSE)*3.6</t>
  </si>
  <si>
    <t>-VLOOKUP($B32,RawData,BN$4,FALSE)*1</t>
  </si>
  <si>
    <t>-VLOOKUP($B33,RawData,E$4,FALSE)*VLOOKUP(E$3,ConversionFactors,$D33,FALSE)/1000</t>
  </si>
  <si>
    <t>-VLOOKUP($B33,RawData,F$4,FALSE)*VLOOKUP(F$3,ConversionFactors,$D33,FALSE)/1000</t>
  </si>
  <si>
    <t>-VLOOKUP($B33,RawData,G$4,FALSE)*VLOOKUP(G$3,ConversionFactors,$D33,FALSE)/1000</t>
  </si>
  <si>
    <t>-VLOOKUP($B33,RawData,H$4,FALSE)*VLOOKUP(H$3,ConversionFactors,$D33,FALSE)/1000</t>
  </si>
  <si>
    <t>-VLOOKUP($B33,RawData,I$4,FALSE)*VLOOKUP(I$3,ConversionFactors,$D33,FALSE)/1000</t>
  </si>
  <si>
    <t>-VLOOKUP($B33,RawData,J$4,FALSE)*VLOOKUP(J$3,ConversionFactors,$D33,FALSE)/1000</t>
  </si>
  <si>
    <t>-VLOOKUP($B33,RawData,K$4,FALSE)*VLOOKUP(K$3,ConversionFactors,$D33,FALSE)/1000</t>
  </si>
  <si>
    <t>-VLOOKUP($B33,RawData,L$4,FALSE)*VLOOKUP(L$3,ConversionFactors,$D33,FALSE)/1000</t>
  </si>
  <si>
    <t>-VLOOKUP($B33,RawData,M$4,FALSE)*VLOOKUP(M$3,ConversionFactors,$D33,FALSE)/1000</t>
  </si>
  <si>
    <t>-VLOOKUP($B33,RawData,N$4,FALSE)*VLOOKUP(N$3,ConversionFactors,$D33,FALSE)/1000</t>
  </si>
  <si>
    <t>(-VLOOKUP($B33,RawData,O$4,FALSE)*VLOOKUP(O$3,ConversionFactors,2,FALSE))*1</t>
  </si>
  <si>
    <t>(-VLOOKUP($B33,RawData,P$4,FALSE)*VLOOKUP(P$3,ConversionFactors,2,FALSE))*1</t>
  </si>
  <si>
    <t>(-VLOOKUP($B33,RawData,Q$4,FALSE)*VLOOKUP(Q$3,ConversionFactors,2,FALSE))*1</t>
  </si>
  <si>
    <t>(-VLOOKUP($B33,RawData,R$4,FALSE)*VLOOKUP(R$3,ConversionFactors,2,FALSE))*1</t>
  </si>
  <si>
    <t>-VLOOKUP($B33,RawData,T$4,FALSE)*VLOOKUP(T$3,ConversionFactors,$D33,FALSE)/1000</t>
  </si>
  <si>
    <t>-VLOOKUP($B33,RawData,U$4,FALSE)*VLOOKUP(U$3,ConversionFactors,$D33,FALSE)/1000</t>
  </si>
  <si>
    <t>-VLOOKUP($B33,RawData,V$4,FALSE)*VLOOKUP(V$3,ConversionFactors,$D33,FALSE)/1000</t>
  </si>
  <si>
    <t>-VLOOKUP($B33,RawData,W$4,FALSE)*VLOOKUP(W$3,ConversionFactors,2,FALSE)/1000</t>
  </si>
  <si>
    <t>-VLOOKUP($B33,RawData,X$4,FALSE)*VLOOKUP(X$3,ConversionFactors,2,FALSE)/1000</t>
  </si>
  <si>
    <t>-VLOOKUP($B33,RawData,Y$4,FALSE)*VLOOKUP(Y$3,ConversionFactors,2,FALSE)/1000</t>
  </si>
  <si>
    <t>-VLOOKUP($B33,RawData,Z$4,FALSE)*VLOOKUP(Z$3,ConversionFactors,2,FALSE)/1000</t>
  </si>
  <si>
    <t>-VLOOKUP($B33,RawData,AA$4,FALSE)*VLOOKUP(AA$3,ConversionFactors,2,FALSE)/1000</t>
  </si>
  <si>
    <t>-VLOOKUP($B33,RawData,AB$4,FALSE)*VLOOKUP(AB$3,ConversionFactors,2,FALSE)/1000</t>
  </si>
  <si>
    <t>-VLOOKUP($B33,RawData,AC$4,FALSE)*VLOOKUP(AC$3,ConversionFactors,2,FALSE)/1000</t>
  </si>
  <si>
    <t>-VLOOKUP($B33,RawData,AD$4,FALSE)*VLOOKUP(AD$3,ConversionFactors,2,FALSE)/1000</t>
  </si>
  <si>
    <t>-VLOOKUP($B33,RawData,AE$4,FALSE)*VLOOKUP(AE$3,ConversionFactors,2,FALSE)/1000</t>
  </si>
  <si>
    <t>-VLOOKUP($B33,RawData,AF$4,FALSE)*VLOOKUP(AF$3,ConversionFactors,2,FALSE)/1000</t>
  </si>
  <si>
    <t>-VLOOKUP($B33,RawData,AG$4,FALSE)*VLOOKUP(AG$3,ConversionFactors,2,FALSE)/1000</t>
  </si>
  <si>
    <t>-VLOOKUP($B33,RawData,AH$4,FALSE)*VLOOKUP(AH$3,ConversionFactors,2,FALSE)/1000</t>
  </si>
  <si>
    <t>-VLOOKUP($B33,RawData,AI$4,FALSE)*VLOOKUP(AI$3,ConversionFactors,2,FALSE)/1000</t>
  </si>
  <si>
    <t>-VLOOKUP($B33,RawData,AJ$4,FALSE)*VLOOKUP(AJ$3,ConversionFactors,2,FALSE)/1000</t>
  </si>
  <si>
    <t>-VLOOKUP($B33,RawData,AK$4,FALSE)*VLOOKUP(AK$3,ConversionFactors,2,FALSE)/1000</t>
  </si>
  <si>
    <t>-VLOOKUP($B33,RawData,AL$4,FALSE)*VLOOKUP(AL$3,ConversionFactors,2,FALSE)/1000</t>
  </si>
  <si>
    <t>-VLOOKUP($B33,RawData,AM$4,FALSE)*VLOOKUP(AM$3,ConversionFactors,2,FALSE)/1000</t>
  </si>
  <si>
    <t>-VLOOKUP($B33,RawData,AN$4,FALSE)*VLOOKUP(AN$3,ConversionFactors,2,FALSE)/1000</t>
  </si>
  <si>
    <t>-VLOOKUP($B33,RawData,AO$4,FALSE)*VLOOKUP(AO$3,ConversionFactors,2,FALSE)/1000</t>
  </si>
  <si>
    <t>-VLOOKUP($B33,RawData,AP$4,FALSE)*VLOOKUP(AP$3,ConversionFactors,2,FALSE)/1000</t>
  </si>
  <si>
    <t>-VLOOKUP($B33,RawData,AQ$4,FALSE)*VLOOKUP(AQ$3,ConversionFactors,2,FALSE)/1000</t>
  </si>
  <si>
    <t>-VLOOKUP($B33,RawData,AR$4,FALSE)*VLOOKUP(AR$3,ConversionFactors,2,FALSE)/1000</t>
  </si>
  <si>
    <t>(SUM(VLOOKUP("OSCOAL",RawData,AS$4,FALSE),VLOOKUP("OSNATGAS",RawData,AS$4,FALSE),VLOOKUP("OSOIL",RawData,AS$4,FALSE),VLOOKUP("OSRENEW",RawData,AS$4,FALSE),VLOOKUP("OSNONSPEC",RawData,AS$4,FALSE),-VLOOKUP($B33,RawData,AS$4,FALSE))*VLOOKUP(AS$3,ConversionFactors,2,FALSE))*1</t>
  </si>
  <si>
    <t>-VLOOKUP($B33,RawData,AT$4,FALSE)*1</t>
  </si>
  <si>
    <t>-VLOOKUP($B33,RawData,AU$4,FALSE)*1</t>
  </si>
  <si>
    <t>-VLOOKUP($B33,RawData,AV$4,FALSE)*1</t>
  </si>
  <si>
    <t>-VLOOKUP($B33,RawData,AW$4,FALSE)*1</t>
  </si>
  <si>
    <t>-VLOOKUP($B33,RawData,AX$4,FALSE)*1</t>
  </si>
  <si>
    <t>-VLOOKUP($B33,RawData,AY$4,FALSE)*VLOOKUP(AY$3,ConversionFactors,2,FALSE)/1000</t>
  </si>
  <si>
    <t>-VLOOKUP($B33,RawData,AZ$4,FALSE)*VLOOKUP(AZ$3,ConversionFactors,2,FALSE)/1000</t>
  </si>
  <si>
    <t>-VLOOKUP($B33,RawData,BA$4,FALSE)*VLOOKUP(BA$3,ConversionFactors,2,FALSE)/1000</t>
  </si>
  <si>
    <t>-VLOOKUP($B33,RawData,BB$4,FALSE)*VLOOKUP(BB$3,ConversionFactors,2,FALSE)/1000</t>
  </si>
  <si>
    <t>-VLOOKUP($B33,RawData,BC$4,FALSE)*1</t>
  </si>
  <si>
    <t>-VLOOKUP($B33,RawData,BD$4,FALSE)*VLOOKUP(BD$3,ConversionFactors,2,FALSE)/1000</t>
  </si>
  <si>
    <t>-VLOOKUP($B33,RawData,BG$4,FALSE)*1</t>
  </si>
  <si>
    <t>-VLOOKUP($B33,RawData,BI$4,FALSE)*1</t>
  </si>
  <si>
    <t>-VLOOKUP($B33,RawData,BM$4,FALSE)*3.6</t>
  </si>
  <si>
    <t>-VLOOKUP($B33,RawData,BN$4,FALSE)*1</t>
  </si>
  <si>
    <t>-VLOOKUP($B34,RawData,E$4,FALSE)*VLOOKUP(E$3,ConversionFactors,$D34,FALSE)/1000</t>
  </si>
  <si>
    <t>-VLOOKUP($B34,RawData,F$4,FALSE)*VLOOKUP(F$3,ConversionFactors,$D34,FALSE)/1000</t>
  </si>
  <si>
    <t>-VLOOKUP($B34,RawData,G$4,FALSE)*VLOOKUP(G$3,ConversionFactors,$D34,FALSE)/1000</t>
  </si>
  <si>
    <t>-VLOOKUP($B34,RawData,H$4,FALSE)*VLOOKUP(H$3,ConversionFactors,$D34,FALSE)/1000</t>
  </si>
  <si>
    <t>-VLOOKUP($B34,RawData,I$4,FALSE)*VLOOKUP(I$3,ConversionFactors,$D34,FALSE)/1000</t>
  </si>
  <si>
    <t>-VLOOKUP($B34,RawData,J$4,FALSE)*VLOOKUP(J$3,ConversionFactors,$D34,FALSE)/1000</t>
  </si>
  <si>
    <t>-VLOOKUP($B34,RawData,K$4,FALSE)*VLOOKUP(K$3,ConversionFactors,$D34,FALSE)/1000</t>
  </si>
  <si>
    <t>-VLOOKUP($B34,RawData,L$4,FALSE)*VLOOKUP(L$3,ConversionFactors,$D34,FALSE)/1000</t>
  </si>
  <si>
    <t>-VLOOKUP($B34,RawData,M$4,FALSE)*VLOOKUP(M$3,ConversionFactors,$D34,FALSE)/1000</t>
  </si>
  <si>
    <t>-VLOOKUP($B34,RawData,N$4,FALSE)*VLOOKUP(N$3,ConversionFactors,$D34,FALSE)/1000</t>
  </si>
  <si>
    <t>(-VLOOKUP($B34,RawData,O$4,FALSE)*VLOOKUP(O$3,ConversionFactors,2,FALSE))*1</t>
  </si>
  <si>
    <t>(-VLOOKUP($B34,RawData,P$4,FALSE)*VLOOKUP(P$3,ConversionFactors,2,FALSE))*1</t>
  </si>
  <si>
    <t>(-VLOOKUP($B34,RawData,Q$4,FALSE)*VLOOKUP(Q$3,ConversionFactors,2,FALSE))*1</t>
  </si>
  <si>
    <t>(-VLOOKUP($B34,RawData,R$4,FALSE)*VLOOKUP(R$3,ConversionFactors,2,FALSE))*1</t>
  </si>
  <si>
    <t>-VLOOKUP($B34,RawData,T$4,FALSE)*VLOOKUP(T$3,ConversionFactors,$D34,FALSE)/1000</t>
  </si>
  <si>
    <t>-VLOOKUP($B34,RawData,U$4,FALSE)*VLOOKUP(U$3,ConversionFactors,$D34,FALSE)/1000</t>
  </si>
  <si>
    <t>-VLOOKUP($B34,RawData,V$4,FALSE)*VLOOKUP(V$3,ConversionFactors,$D34,FALSE)/1000</t>
  </si>
  <si>
    <t>-VLOOKUP($B34,RawData,W$4,FALSE)*VLOOKUP(W$3,ConversionFactors,2,FALSE)/1000</t>
  </si>
  <si>
    <t>-VLOOKUP($B34,RawData,X$4,FALSE)*VLOOKUP(X$3,ConversionFactors,2,FALSE)/1000</t>
  </si>
  <si>
    <t>-VLOOKUP($B34,RawData,Y$4,FALSE)*VLOOKUP(Y$3,ConversionFactors,2,FALSE)/1000</t>
  </si>
  <si>
    <t>-VLOOKUP($B34,RawData,Z$4,FALSE)*VLOOKUP(Z$3,ConversionFactors,2,FALSE)/1000</t>
  </si>
  <si>
    <t>-VLOOKUP($B34,RawData,AA$4,FALSE)*VLOOKUP(AA$3,ConversionFactors,2,FALSE)/1000</t>
  </si>
  <si>
    <t>-VLOOKUP($B34,RawData,AB$4,FALSE)*VLOOKUP(AB$3,ConversionFactors,2,FALSE)/1000</t>
  </si>
  <si>
    <t>-VLOOKUP($B34,RawData,AC$4,FALSE)*VLOOKUP(AC$3,ConversionFactors,2,FALSE)/1000</t>
  </si>
  <si>
    <t>-VLOOKUP($B34,RawData,AD$4,FALSE)*VLOOKUP(AD$3,ConversionFactors,2,FALSE)/1000</t>
  </si>
  <si>
    <t>-VLOOKUP($B34,RawData,AE$4,FALSE)*VLOOKUP(AE$3,ConversionFactors,2,FALSE)/1000</t>
  </si>
  <si>
    <t>-VLOOKUP($B34,RawData,AF$4,FALSE)*VLOOKUP(AF$3,ConversionFactors,2,FALSE)/1000</t>
  </si>
  <si>
    <t>-VLOOKUP($B34,RawData,AG$4,FALSE)*VLOOKUP(AG$3,ConversionFactors,2,FALSE)/1000</t>
  </si>
  <si>
    <t>-VLOOKUP($B34,RawData,AH$4,FALSE)*VLOOKUP(AH$3,ConversionFactors,2,FALSE)/1000</t>
  </si>
  <si>
    <t>-VLOOKUP($B34,RawData,AI$4,FALSE)*VLOOKUP(AI$3,ConversionFactors,2,FALSE)/1000</t>
  </si>
  <si>
    <t>-VLOOKUP($B34,RawData,AJ$4,FALSE)*VLOOKUP(AJ$3,ConversionFactors,2,FALSE)/1000</t>
  </si>
  <si>
    <t>-VLOOKUP($B34,RawData,AK$4,FALSE)*VLOOKUP(AK$3,ConversionFactors,2,FALSE)/1000</t>
  </si>
  <si>
    <t>-VLOOKUP($B34,RawData,AL$4,FALSE)*VLOOKUP(AL$3,ConversionFactors,2,FALSE)/1000</t>
  </si>
  <si>
    <t>-VLOOKUP($B34,RawData,AM$4,FALSE)*VLOOKUP(AM$3,ConversionFactors,2,FALSE)/1000</t>
  </si>
  <si>
    <t>-VLOOKUP($B34,RawData,AN$4,FALSE)*VLOOKUP(AN$3,ConversionFactors,2,FALSE)/1000</t>
  </si>
  <si>
    <t>-VLOOKUP($B34,RawData,AO$4,FALSE)*VLOOKUP(AO$3,ConversionFactors,2,FALSE)/1000</t>
  </si>
  <si>
    <t>-VLOOKUP($B34,RawData,AP$4,FALSE)*VLOOKUP(AP$3,ConversionFactors,2,FALSE)/1000</t>
  </si>
  <si>
    <t>-VLOOKUP($B34,RawData,AQ$4,FALSE)*VLOOKUP(AQ$3,ConversionFactors,2,FALSE)/1000</t>
  </si>
  <si>
    <t>-VLOOKUP($B34,RawData,AR$4,FALSE)*VLOOKUP(AR$3,ConversionFactors,2,FALSE)/1000</t>
  </si>
  <si>
    <t>-VLOOKUP($B34,RawData,AS$4,FALSE)*VLOOKUP(AS$3,ConversionFactors,2,FALSE)*1</t>
  </si>
  <si>
    <t>-VLOOKUP($B34,RawData,AT$4,FALSE)*1</t>
  </si>
  <si>
    <t>-VLOOKUP($B34,RawData,AU$4,FALSE)*1</t>
  </si>
  <si>
    <t>-VLOOKUP($B34,RawData,AV$4,FALSE)*1</t>
  </si>
  <si>
    <t>-VLOOKUP($B34,RawData,AW$4,FALSE)*1</t>
  </si>
  <si>
    <t>-VLOOKUP($B34,RawData,AX$4,FALSE)*1</t>
  </si>
  <si>
    <t>-VLOOKUP($B34,RawData,AY$4,FALSE)*VLOOKUP(AY$3,ConversionFactors,2,FALSE)/1000</t>
  </si>
  <si>
    <t>-VLOOKUP($B34,RawData,AZ$4,FALSE)*VLOOKUP(AZ$3,ConversionFactors,2,FALSE)/1000</t>
  </si>
  <si>
    <t>-VLOOKUP($B34,RawData,BA$4,FALSE)*VLOOKUP(BA$3,ConversionFactors,2,FALSE)/1000</t>
  </si>
  <si>
    <t>-VLOOKUP($B34,RawData,BB$4,FALSE)*VLOOKUP(BB$3,ConversionFactors,2,FALSE)/1000</t>
  </si>
  <si>
    <t>-VLOOKUP($B34,RawData,BC$4,FALSE)*1</t>
  </si>
  <si>
    <t>(VLOOKUP($B5,RawData,BD$4,FALSE)-VLOOKUP($B34,RawData,BD$4,FALSE))*VLOOKUP(BD$3,ConversionFactors,2,FALSE)/1000</t>
  </si>
  <si>
    <t>-VLOOKUP($B34,RawData,BG$4,FALSE)*1</t>
  </si>
  <si>
    <t>-VLOOKUP($B34,RawData,BI$4,FALSE)*1</t>
  </si>
  <si>
    <t>-VLOOKUP($B34,RawData,BM$4,FALSE)*3.6</t>
  </si>
  <si>
    <t>-VLOOKUP($B34,RawData,BN$4,FALSE)*1</t>
  </si>
  <si>
    <t>-VLOOKUP($B35,RawData,E$4,FALSE)*VLOOKUP(E$3,ConversionFactors,$D35,FALSE)/1000</t>
  </si>
  <si>
    <t>-VLOOKUP($B35,RawData,F$4,FALSE)*VLOOKUP(F$3,ConversionFactors,$D35,FALSE)/1000</t>
  </si>
  <si>
    <t>-VLOOKUP($B35,RawData,G$4,FALSE)*VLOOKUP(G$3,ConversionFactors,$D35,FALSE)/1000</t>
  </si>
  <si>
    <t>-VLOOKUP($B35,RawData,H$4,FALSE)*VLOOKUP(H$3,ConversionFactors,$D35,FALSE)/1000</t>
  </si>
  <si>
    <t>-VLOOKUP($B35,RawData,I$4,FALSE)*VLOOKUP(I$3,ConversionFactors,$D35,FALSE)/1000</t>
  </si>
  <si>
    <t>-VLOOKUP($B35,RawData,J$4,FALSE)*VLOOKUP(J$3,ConversionFactors,$D35,FALSE)/1000</t>
  </si>
  <si>
    <t>SUM(VLOOKUP("OSNONSPEC",RawData,K$4,FALSE),-VLOOKUP($B35,RawData,K$4,FALSE))*VLOOKUP(K$3,ConversionFactors,$D35,FALSE)/1000</t>
  </si>
  <si>
    <t>-VLOOKUP($B35,RawData,L$4,FALSE)*VLOOKUP(L$3,ConversionFactors,$D35,FALSE)/1000</t>
  </si>
  <si>
    <t>-VLOOKUP($B35,RawData,M$4,FALSE)*VLOOKUP(M$3,ConversionFactors,$D35,FALSE)/1000</t>
  </si>
  <si>
    <t>-VLOOKUP($B35,RawData,N$4,FALSE)*VLOOKUP(N$3,ConversionFactors,$D35,FALSE)/1000</t>
  </si>
  <si>
    <t>(-VLOOKUP($B35,RawData,O$4,FALSE)*VLOOKUP(O$3,ConversionFactors,2,FALSE))*1</t>
  </si>
  <si>
    <t>(-VLOOKUP($B35,RawData,P$4,FALSE)*VLOOKUP(P$3,ConversionFactors,2,FALSE))*1</t>
  </si>
  <si>
    <t>(-VLOOKUP($B35,RawData,Q$4,FALSE)*VLOOKUP(Q$3,ConversionFactors,2,FALSE))*1</t>
  </si>
  <si>
    <t>(-VLOOKUP($B35,RawData,R$4,FALSE)*VLOOKUP(R$3,ConversionFactors,2,FALSE))*1</t>
  </si>
  <si>
    <t>-VLOOKUP($B35,RawData,T$4,FALSE)*VLOOKUP(T$3,ConversionFactors,$D35,FALSE)/1000</t>
  </si>
  <si>
    <t>-VLOOKUP($B35,RawData,U$4,FALSE)*VLOOKUP(U$3,ConversionFactors,$D35,FALSE)/1000</t>
  </si>
  <si>
    <t>-VLOOKUP($B35,RawData,V$4,FALSE)*VLOOKUP(V$3,ConversionFactors,$D35,FALSE)/1000</t>
  </si>
  <si>
    <t>-VLOOKUP($B35,RawData,W$4,FALSE)*VLOOKUP(W$3,ConversionFactors,2,FALSE)/1000</t>
  </si>
  <si>
    <t>-VLOOKUP($B35,RawData,X$4,FALSE)*VLOOKUP(X$3,ConversionFactors,2,FALSE)/1000</t>
  </si>
  <si>
    <t>-VLOOKUP($B35,RawData,Y$4,FALSE)*VLOOKUP(Y$3,ConversionFactors,2,FALSE)/1000</t>
  </si>
  <si>
    <t>-VLOOKUP($B35,RawData,Z$4,FALSE)*VLOOKUP(Z$3,ConversionFactors,2,FALSE)/1000</t>
  </si>
  <si>
    <t>(VLOOKUP("OSNONSPEC",RawData,AA$4,FALSE)-VLOOKUP($B35,RawData,AA$4,FALSE))*VLOOKUP(AA$3,ConversionFactors,2,FALSE)/1000</t>
  </si>
  <si>
    <t>-VLOOKUP($B35,RawData,AB$4,FALSE)*VLOOKUP(AB$3,ConversionFactors,2,FALSE)/1000</t>
  </si>
  <si>
    <t>-VLOOKUP($B35,RawData,AC$4,FALSE)*VLOOKUP(AC$3,ConversionFactors,2,FALSE)/1000</t>
  </si>
  <si>
    <t>-VLOOKUP($B35,RawData,AD$4,FALSE)*VLOOKUP(AD$3,ConversionFactors,2,FALSE)/1000</t>
  </si>
  <si>
    <t>-VLOOKUP($B35,RawData,AE$4,FALSE)*VLOOKUP(AE$3,ConversionFactors,2,FALSE)/1000</t>
  </si>
  <si>
    <t>-VLOOKUP($B35,RawData,AF$4,FALSE)*VLOOKUP(AF$3,ConversionFactors,2,FALSE)/1000</t>
  </si>
  <si>
    <t>-VLOOKUP($B35,RawData,AG$4,FALSE)*VLOOKUP(AG$3,ConversionFactors,2,FALSE)/1000</t>
  </si>
  <si>
    <t>-VLOOKUP($B35,RawData,AH$4,FALSE)*VLOOKUP(AH$3,ConversionFactors,2,FALSE)/1000</t>
  </si>
  <si>
    <t>-VLOOKUP($B35,RawData,AI$4,FALSE)*VLOOKUP(AI$3,ConversionFactors,2,FALSE)/1000</t>
  </si>
  <si>
    <t>-VLOOKUP($B35,RawData,AJ$4,FALSE)*VLOOKUP(AJ$3,ConversionFactors,2,FALSE)/1000</t>
  </si>
  <si>
    <t>-VLOOKUP($B35,RawData,AK$4,FALSE)*VLOOKUP(AK$3,ConversionFactors,2,FALSE)/1000</t>
  </si>
  <si>
    <t>-VLOOKUP($B35,RawData,AL$4,FALSE)*VLOOKUP(AL$3,ConversionFactors,2,FALSE)/1000</t>
  </si>
  <si>
    <t>-VLOOKUP($B35,RawData,AM$4,FALSE)*VLOOKUP(AM$3,ConversionFactors,2,FALSE)/1000</t>
  </si>
  <si>
    <t>-VLOOKUP($B35,RawData,AN$4,FALSE)*VLOOKUP(AN$3,ConversionFactors,2,FALSE)/1000</t>
  </si>
  <si>
    <t>-VLOOKUP($B35,RawData,AO$4,FALSE)*VLOOKUP(AO$3,ConversionFactors,2,FALSE)/1000</t>
  </si>
  <si>
    <t>-VLOOKUP($B35,RawData,AP$4,FALSE)*VLOOKUP(AP$3,ConversionFactors,2,FALSE)/1000</t>
  </si>
  <si>
    <t>-VLOOKUP($B35,RawData,AQ$4,FALSE)*VLOOKUP(AQ$3,ConversionFactors,2,FALSE)/1000</t>
  </si>
  <si>
    <t>-VLOOKUP($B35,RawData,AR$4,FALSE)*VLOOKUP(AR$3,ConversionFactors,2,FALSE)/1000</t>
  </si>
  <si>
    <t>-VLOOKUP($B35,RawData,AS$4,FALSE)*VLOOKUP(AS$3,ConversionFactors,2,FALSE)*1</t>
  </si>
  <si>
    <t>-VLOOKUP($B35,RawData,AT$4,FALSE)*1</t>
  </si>
  <si>
    <t>-VLOOKUP($B35,RawData,AU$4,FALSE)*1</t>
  </si>
  <si>
    <t>-VLOOKUP($B35,RawData,AV$4,FALSE)*1</t>
  </si>
  <si>
    <t>-VLOOKUP($B35,RawData,AW$4,FALSE)*1</t>
  </si>
  <si>
    <t>-VLOOKUP($B35,RawData,AX$4,FALSE)*1</t>
  </si>
  <si>
    <t>-VLOOKUP($B35,RawData,AY$4,FALSE)*VLOOKUP(AY$3,ConversionFactors,2,FALSE)/1000</t>
  </si>
  <si>
    <t>-VLOOKUP($B35,RawData,AZ$4,FALSE)*VLOOKUP(AZ$3,ConversionFactors,2,FALSE)/1000</t>
  </si>
  <si>
    <t>-VLOOKUP($B35,RawData,BA$4,FALSE)*VLOOKUP(BA$3,ConversionFactors,2,FALSE)/1000</t>
  </si>
  <si>
    <t>-VLOOKUP($B35,RawData,BB$4,FALSE)*VLOOKUP(BB$3,ConversionFactors,2,FALSE)/1000</t>
  </si>
  <si>
    <t>-VLOOKUP($B35,RawData,BC$4,FALSE)*1</t>
  </si>
  <si>
    <t>-VLOOKUP($B35,RawData,BD$4,FALSE)*VLOOKUP(BD$3,ConversionFactors,2,FALSE)/1000</t>
  </si>
  <si>
    <t>-VLOOKUP($B35,RawData,BG$4,FALSE)*1</t>
  </si>
  <si>
    <t>-VLOOKUP($B35,RawData,BI$4,FALSE)*1</t>
  </si>
  <si>
    <t>-VLOOKUP($B35,RawData,BM$4,FALSE)*3.6</t>
  </si>
  <si>
    <t>-VLOOKUP($B35,RawData,BN$4,FALSE)*1</t>
  </si>
  <si>
    <t>SUM(E37:E53)</t>
  </si>
  <si>
    <t>SUM(F37:F53)</t>
  </si>
  <si>
    <t>SUM(G37:G53)</t>
  </si>
  <si>
    <t>SUM(H37:H53)</t>
  </si>
  <si>
    <t>SUM(I37:I53)</t>
  </si>
  <si>
    <t>SUM(J37:J53)</t>
  </si>
  <si>
    <t>SUM(K37:K53)</t>
  </si>
  <si>
    <t>SUM(L37:L53)</t>
  </si>
  <si>
    <t>SUM(M37:M53)</t>
  </si>
  <si>
    <t>SUM(N37:N53)</t>
  </si>
  <si>
    <t>SUM(O37:O53)</t>
  </si>
  <si>
    <t>SUM(P37:P53)</t>
  </si>
  <si>
    <t>SUM(Q37:Q53)</t>
  </si>
  <si>
    <t>SUM(R37:R53)</t>
  </si>
  <si>
    <t>SUM(T37:T53)</t>
  </si>
  <si>
    <t>SUM(U37:U53)</t>
  </si>
  <si>
    <t>SUM(V37:V53)</t>
  </si>
  <si>
    <t>SUM(W37:W53)</t>
  </si>
  <si>
    <t>SUM(X37:X53)</t>
  </si>
  <si>
    <t>SUM(Y37:Y53)</t>
  </si>
  <si>
    <t>SUM(Z37:Z53)</t>
  </si>
  <si>
    <t>SUM(AA37:AA53)</t>
  </si>
  <si>
    <t>SUM(AB37:AB53)</t>
  </si>
  <si>
    <t>SUM(AC37:AC53)</t>
  </si>
  <si>
    <t>SUM(AD37:AD53)</t>
  </si>
  <si>
    <t>SUM(AE37:AE53)</t>
  </si>
  <si>
    <t>SUM(AF37:AF53)</t>
  </si>
  <si>
    <t>SUM(AG37:AG53)</t>
  </si>
  <si>
    <t>SUM(AH37:AH53)</t>
  </si>
  <si>
    <t>SUM(AI37:AI53)</t>
  </si>
  <si>
    <t>SUM(AJ37:AJ53)</t>
  </si>
  <si>
    <t>SUM(AK37:AK53)</t>
  </si>
  <si>
    <t>SUM(AL37:AL53)</t>
  </si>
  <si>
    <t>SUM(AM37:AM53)</t>
  </si>
  <si>
    <t>SUM(AN37:AN53)</t>
  </si>
  <si>
    <t>SUM(AO37:AO53)</t>
  </si>
  <si>
    <t>SUM(AP37:AP53)</t>
  </si>
  <si>
    <t>SUM(AQ37:AQ53)</t>
  </si>
  <si>
    <t>SUM(AR37:AR53)</t>
  </si>
  <si>
    <t>SUM(AS37:AS53)</t>
  </si>
  <si>
    <t>SUM(AT37:AT53)</t>
  </si>
  <si>
    <t>SUM(AU37:AU53)</t>
  </si>
  <si>
    <t>SUM(AV37:AV53)</t>
  </si>
  <si>
    <t>SUM(AW37:AW53)</t>
  </si>
  <si>
    <t>SUM(AX37:AX53)</t>
  </si>
  <si>
    <t>SUM(AY37:AY53)</t>
  </si>
  <si>
    <t>SUM(AZ37:AZ53)</t>
  </si>
  <si>
    <t>SUM(BA37:BA53)</t>
  </si>
  <si>
    <t>SUM(BB37:BB53)</t>
  </si>
  <si>
    <t>SUM(BC37:BC53)</t>
  </si>
  <si>
    <t>SUM(BD37:BD53)</t>
  </si>
  <si>
    <t>SUM(BE37:BE53)</t>
  </si>
  <si>
    <t>SUM(BF37:BF53)</t>
  </si>
  <si>
    <t>SUM(BG37:BG53)</t>
  </si>
  <si>
    <t>SUM(BH37:BH53)</t>
  </si>
  <si>
    <t>SUM(BI37:BI53)</t>
  </si>
  <si>
    <t>SUM(BJ37:BJ53)</t>
  </si>
  <si>
    <t>SUM(BK37:BK53)</t>
  </si>
  <si>
    <t>SUM(BL37:BL53)</t>
  </si>
  <si>
    <t>SUM(BM37:BM53)</t>
  </si>
  <si>
    <t>SUM(BN37:BN53)</t>
  </si>
  <si>
    <t>-VLOOKUP($B37,RawData,E$4,FALSE)*VLOOKUP(E$3,ConversionFactors,$D37,FALSE)/1000</t>
  </si>
  <si>
    <t>-VLOOKUP($B37,RawData,F$4,FALSE)*VLOOKUP(F$3,ConversionFactors,$D37,FALSE)/1000</t>
  </si>
  <si>
    <t>-VLOOKUP($B37,RawData,G$4,FALSE)*VLOOKUP(G$3,ConversionFactors,$D37,FALSE)/1000</t>
  </si>
  <si>
    <t>-VLOOKUP($B37,RawData,H$4,FALSE)*VLOOKUP(H$3,ConversionFactors,$D37,FALSE)/1000</t>
  </si>
  <si>
    <t>-VLOOKUP($B37,RawData,I$4,FALSE)*VLOOKUP(I$3,ConversionFactors,$D37,FALSE)/1000</t>
  </si>
  <si>
    <t>-VLOOKUP($B37,RawData,J$4,FALSE)*VLOOKUP(J$3,ConversionFactors,$D37,FALSE)/1000</t>
  </si>
  <si>
    <t>-VLOOKUP($B37,RawData,K$4,FALSE)*VLOOKUP(K$3,ConversionFactors,$D37,FALSE)/1000</t>
  </si>
  <si>
    <t>-VLOOKUP($B37,RawData,L$4,FALSE)*VLOOKUP(L$3,ConversionFactors,$D37,FALSE)/1000</t>
  </si>
  <si>
    <t>-VLOOKUP($B37,RawData,M$4,FALSE)*VLOOKUP(M$3,ConversionFactors,$D37,FALSE)/1000</t>
  </si>
  <si>
    <t>-VLOOKUP($B37,RawData,N$4,FALSE)*VLOOKUP(N$3,ConversionFactors,$D37,FALSE)/1000</t>
  </si>
  <si>
    <t>-VLOOKUP($B37,RawData,O$4,FALSE)*VLOOKUP(O$3,ConversionFactors,2,FALSE)*1</t>
  </si>
  <si>
    <t>-VLOOKUP($B37,RawData,P$4,FALSE)*VLOOKUP(P$3,ConversionFactors,2,FALSE)*1</t>
  </si>
  <si>
    <t>-VLOOKUP($B37,RawData,Q$4,FALSE)*VLOOKUP(Q$3,ConversionFactors,2,FALSE)*1</t>
  </si>
  <si>
    <t>-VLOOKUP($B37,RawData,R$4,FALSE)*VLOOKUP(R$3,ConversionFactors,2,FALSE)*1</t>
  </si>
  <si>
    <t>-VLOOKUP($B37,RawData,T$4,FALSE)*VLOOKUP(T$3,ConversionFactors,$D37,FALSE)/1000</t>
  </si>
  <si>
    <t>-VLOOKUP($B37,RawData,U$4,FALSE)*VLOOKUP(U$3,ConversionFactors,$D37,FALSE)/1000</t>
  </si>
  <si>
    <t>-VLOOKUP($B37,RawData,V$4,FALSE)*VLOOKUP(V$3,ConversionFactors,$D37,FALSE)/1000</t>
  </si>
  <si>
    <t>-VLOOKUP($B37,RawData,W$4,FALSE)*VLOOKUP(W$3,ConversionFactors,2,FALSE)/1000</t>
  </si>
  <si>
    <t>-VLOOKUP($B37,RawData,X$4,FALSE)*VLOOKUP(X$3,ConversionFactors,2,FALSE)/1000</t>
  </si>
  <si>
    <t>-VLOOKUP($B37,RawData,Y$4,FALSE)*VLOOKUP(Y$3,ConversionFactors,2,FALSE)/1000</t>
  </si>
  <si>
    <t>-VLOOKUP($B37,RawData,Z$4,FALSE)*VLOOKUP(Z$3,ConversionFactors,2,FALSE)/1000</t>
  </si>
  <si>
    <t>-VLOOKUP($B37,RawData,AA$4,FALSE)*VLOOKUP(AA$3,ConversionFactors,2,FALSE)/1000</t>
  </si>
  <si>
    <t>-VLOOKUP($B37,RawData,AB$4,FALSE)*VLOOKUP(AB$3,ConversionFactors,2,FALSE)/1000</t>
  </si>
  <si>
    <t>-VLOOKUP($B37,RawData,AC$4,FALSE)*VLOOKUP(AC$3,ConversionFactors,2,FALSE)/1000</t>
  </si>
  <si>
    <t>-VLOOKUP($B37,RawData,AD$4,FALSE)*VLOOKUP(AD$3,ConversionFactors,2,FALSE)/1000</t>
  </si>
  <si>
    <t>-VLOOKUP($B37,RawData,AE$4,FALSE)*VLOOKUP(AE$3,ConversionFactors,2,FALSE)/1000</t>
  </si>
  <si>
    <t>-VLOOKUP($B37,RawData,AF$4,FALSE)*VLOOKUP(AF$3,ConversionFactors,2,FALSE)/1000</t>
  </si>
  <si>
    <t>-VLOOKUP($B37,RawData,AG$4,FALSE)*VLOOKUP(AG$3,ConversionFactors,2,FALSE)/1000</t>
  </si>
  <si>
    <t>-VLOOKUP($B37,RawData,AH$4,FALSE)*VLOOKUP(AH$3,ConversionFactors,2,FALSE)/1000</t>
  </si>
  <si>
    <t>-VLOOKUP($B37,RawData,AI$4,FALSE)*VLOOKUP(AI$3,ConversionFactors,2,FALSE)/1000</t>
  </si>
  <si>
    <t>-VLOOKUP($B37,RawData,AJ$4,FALSE)*VLOOKUP(AJ$3,ConversionFactors,2,FALSE)/1000</t>
  </si>
  <si>
    <t>-VLOOKUP($B37,RawData,AK$4,FALSE)*VLOOKUP(AK$3,ConversionFactors,2,FALSE)/1000</t>
  </si>
  <si>
    <t>-VLOOKUP($B37,RawData,AL$4,FALSE)*VLOOKUP(AL$3,ConversionFactors,2,FALSE)/1000</t>
  </si>
  <si>
    <t>-VLOOKUP($B37,RawData,AM$4,FALSE)*VLOOKUP(AM$3,ConversionFactors,2,FALSE)/1000</t>
  </si>
  <si>
    <t>-VLOOKUP($B37,RawData,AN$4,FALSE)*VLOOKUP(AN$3,ConversionFactors,2,FALSE)/1000</t>
  </si>
  <si>
    <t>-VLOOKUP($B37,RawData,AO$4,FALSE)*VLOOKUP(AO$3,ConversionFactors,2,FALSE)/1000</t>
  </si>
  <si>
    <t>-VLOOKUP($B37,RawData,AP$4,FALSE)*VLOOKUP(AP$3,ConversionFactors,2,FALSE)/1000</t>
  </si>
  <si>
    <t>-VLOOKUP($B37,RawData,AQ$4,FALSE)*VLOOKUP(AQ$3,ConversionFactors,2,FALSE)/1000</t>
  </si>
  <si>
    <t>-VLOOKUP($B37,RawData,AR$4,FALSE)*VLOOKUP(AR$3,ConversionFactors,2,FALSE)/1000</t>
  </si>
  <si>
    <t>-VLOOKUP($B37,RawData,AS$4,FALSE)*VLOOKUP(AS$3,ConversionFactors,2,FALSE)*1</t>
  </si>
  <si>
    <t>-VLOOKUP($B37,RawData,AT$4,FALSE)*1</t>
  </si>
  <si>
    <t>-VLOOKUP($B37,RawData,AU$4,FALSE)*1</t>
  </si>
  <si>
    <t>-VLOOKUP($B37,RawData,AV$4,FALSE)*1</t>
  </si>
  <si>
    <t>-VLOOKUP($B37,RawData,AW$4,FALSE)*1</t>
  </si>
  <si>
    <t>-VLOOKUP($B37,RawData,AX$4,FALSE)*1</t>
  </si>
  <si>
    <t>-VLOOKUP($B37,RawData,AY$4,FALSE)*VLOOKUP(AY$3,ConversionFactors,2,FALSE)/1000</t>
  </si>
  <si>
    <t>-VLOOKUP($B37,RawData,AZ$4,FALSE)*VLOOKUP(AZ$3,ConversionFactors,2,FALSE)/1000</t>
  </si>
  <si>
    <t>-VLOOKUP($B37,RawData,BA$4,FALSE)*VLOOKUP(BA$3,ConversionFactors,2,FALSE)/1000</t>
  </si>
  <si>
    <t>-VLOOKUP($B37,RawData,BB$4,FALSE)*VLOOKUP(BB$3,ConversionFactors,2,FALSE)/1000</t>
  </si>
  <si>
    <t>-VLOOKUP($B37,RawData,BC$4,FALSE)*1</t>
  </si>
  <si>
    <t>-VLOOKUP($B37,RawData,BD$4,FALSE)*VLOOKUP(BD$3,ConversionFactors,2,FALSE)/1000</t>
  </si>
  <si>
    <t>-VLOOKUP($B37,RawData,BG$4,FALSE)*1</t>
  </si>
  <si>
    <t>-VLOOKUP($B37,RawData,BI$4,FALSE)*1</t>
  </si>
  <si>
    <t>-VLOOKUP($B37,RawData,BM$4,FALSE)*3.6</t>
  </si>
  <si>
    <t>-VLOOKUP($B37,RawData,BN$4,FALSE)*1</t>
  </si>
  <si>
    <t>-VLOOKUP($B38,RawData,E$4,FALSE)*VLOOKUP(E$3,ConversionFactors,$D38,FALSE)/1000</t>
  </si>
  <si>
    <t>-VLOOKUP($B38,RawData,F$4,FALSE)*VLOOKUP(F$3,ConversionFactors,$D38,FALSE)/1000</t>
  </si>
  <si>
    <t>-VLOOKUP($B38,RawData,G$4,FALSE)*VLOOKUP(G$3,ConversionFactors,$D38,FALSE)/1000</t>
  </si>
  <si>
    <t>-VLOOKUP($B38,RawData,H$4,FALSE)*VLOOKUP(H$3,ConversionFactors,$D38,FALSE)/1000</t>
  </si>
  <si>
    <t>-VLOOKUP($B38,RawData,I$4,FALSE)*VLOOKUP(I$3,ConversionFactors,$D38,FALSE)/1000</t>
  </si>
  <si>
    <t>-VLOOKUP($B38,RawData,J$4,FALSE)*VLOOKUP(J$3,ConversionFactors,$D38,FALSE)/1000</t>
  </si>
  <si>
    <t>-VLOOKUP($B38,RawData,K$4,FALSE)*VLOOKUP(K$3,ConversionFactors,$D38,FALSE)/1000</t>
  </si>
  <si>
    <t>-VLOOKUP($B38,RawData,L$4,FALSE)*VLOOKUP(L$3,ConversionFactors,$D38,FALSE)/1000</t>
  </si>
  <si>
    <t>-VLOOKUP($B38,RawData,M$4,FALSE)*VLOOKUP(M$3,ConversionFactors,$D38,FALSE)/1000</t>
  </si>
  <si>
    <t>-VLOOKUP($B38,RawData,N$4,FALSE)*VLOOKUP(N$3,ConversionFactors,$D38,FALSE)/1000</t>
  </si>
  <si>
    <t>-VLOOKUP($B38,RawData,O$4,FALSE)*VLOOKUP(O$3,ConversionFactors,2,FALSE)*1</t>
  </si>
  <si>
    <t>-VLOOKUP($B38,RawData,P$4,FALSE)*VLOOKUP(P$3,ConversionFactors,2,FALSE)*1</t>
  </si>
  <si>
    <t>-VLOOKUP($B38,RawData,Q$4,FALSE)*VLOOKUP(Q$3,ConversionFactors,2,FALSE)*1</t>
  </si>
  <si>
    <t>-VLOOKUP($B38,RawData,R$4,FALSE)*VLOOKUP(R$3,ConversionFactors,2,FALSE)*1</t>
  </si>
  <si>
    <t>-VLOOKUP($B38,RawData,T$4,FALSE)*VLOOKUP(T$3,ConversionFactors,$D38,FALSE)/1000</t>
  </si>
  <si>
    <t>-VLOOKUP($B38,RawData,U$4,FALSE)*VLOOKUP(U$3,ConversionFactors,$D38,FALSE)/1000</t>
  </si>
  <si>
    <t>-VLOOKUP($B38,RawData,V$4,FALSE)*VLOOKUP(V$3,ConversionFactors,$D38,FALSE)/1000</t>
  </si>
  <si>
    <t>-VLOOKUP($B38,RawData,W$4,FALSE)*VLOOKUP(W$3,ConversionFactors,2,FALSE)/1000</t>
  </si>
  <si>
    <t>-VLOOKUP($B38,RawData,X$4,FALSE)*VLOOKUP(X$3,ConversionFactors,2,FALSE)/1000</t>
  </si>
  <si>
    <t>-VLOOKUP($B38,RawData,Y$4,FALSE)*VLOOKUP(Y$3,ConversionFactors,2,FALSE)/1000</t>
  </si>
  <si>
    <t>-VLOOKUP($B38,RawData,Z$4,FALSE)*VLOOKUP(Z$3,ConversionFactors,2,FALSE)/1000</t>
  </si>
  <si>
    <t>-VLOOKUP($B38,RawData,AA$4,FALSE)*VLOOKUP(AA$3,ConversionFactors,2,FALSE)/1000</t>
  </si>
  <si>
    <t>-VLOOKUP($B38,RawData,AB$4,FALSE)*VLOOKUP(AB$3,ConversionFactors,2,FALSE)/1000</t>
  </si>
  <si>
    <t>-VLOOKUP($B38,RawData,AC$4,FALSE)*VLOOKUP(AC$3,ConversionFactors,2,FALSE)/1000</t>
  </si>
  <si>
    <t>-VLOOKUP($B38,RawData,AD$4,FALSE)*VLOOKUP(AD$3,ConversionFactors,2,FALSE)/1000</t>
  </si>
  <si>
    <t>-VLOOKUP($B38,RawData,AE$4,FALSE)*VLOOKUP(AE$3,ConversionFactors,2,FALSE)/1000</t>
  </si>
  <si>
    <t>-VLOOKUP($B38,RawData,AF$4,FALSE)*VLOOKUP(AF$3,ConversionFactors,2,FALSE)/1000</t>
  </si>
  <si>
    <t>-VLOOKUP($B38,RawData,AG$4,FALSE)*VLOOKUP(AG$3,ConversionFactors,2,FALSE)/1000</t>
  </si>
  <si>
    <t>-VLOOKUP($B38,RawData,AH$4,FALSE)*VLOOKUP(AH$3,ConversionFactors,2,FALSE)/1000</t>
  </si>
  <si>
    <t>-VLOOKUP($B38,RawData,AI$4,FALSE)*VLOOKUP(AI$3,ConversionFactors,2,FALSE)/1000</t>
  </si>
  <si>
    <t>-VLOOKUP($B38,RawData,AJ$4,FALSE)*VLOOKUP(AJ$3,ConversionFactors,2,FALSE)/1000</t>
  </si>
  <si>
    <t>-VLOOKUP($B38,RawData,AK$4,FALSE)*VLOOKUP(AK$3,ConversionFactors,2,FALSE)/1000</t>
  </si>
  <si>
    <t>-VLOOKUP($B38,RawData,AL$4,FALSE)*VLOOKUP(AL$3,ConversionFactors,2,FALSE)/1000</t>
  </si>
  <si>
    <t>-VLOOKUP($B38,RawData,AM$4,FALSE)*VLOOKUP(AM$3,ConversionFactors,2,FALSE)/1000</t>
  </si>
  <si>
    <t>-VLOOKUP($B38,RawData,AN$4,FALSE)*VLOOKUP(AN$3,ConversionFactors,2,FALSE)/1000</t>
  </si>
  <si>
    <t>-VLOOKUP($B38,RawData,AO$4,FALSE)*VLOOKUP(AO$3,ConversionFactors,2,FALSE)/1000</t>
  </si>
  <si>
    <t>-VLOOKUP($B38,RawData,AP$4,FALSE)*VLOOKUP(AP$3,ConversionFactors,2,FALSE)/1000</t>
  </si>
  <si>
    <t>-VLOOKUP($B38,RawData,AQ$4,FALSE)*VLOOKUP(AQ$3,ConversionFactors,2,FALSE)/1000</t>
  </si>
  <si>
    <t>-VLOOKUP($B38,RawData,AR$4,FALSE)*VLOOKUP(AR$3,ConversionFactors,2,FALSE)/1000</t>
  </si>
  <si>
    <t>-VLOOKUP($B38,RawData,AS$4,FALSE)*VLOOKUP(AS$3,ConversionFactors,2,FALSE)*1</t>
  </si>
  <si>
    <t>-VLOOKUP($B38,RawData,AT$4,FALSE)*1</t>
  </si>
  <si>
    <t>-VLOOKUP($B38,RawData,AU$4,FALSE)*1</t>
  </si>
  <si>
    <t>-VLOOKUP($B38,RawData,AV$4,FALSE)*1</t>
  </si>
  <si>
    <t>-VLOOKUP($B38,RawData,AW$4,FALSE)*1</t>
  </si>
  <si>
    <t>-VLOOKUP($B38,RawData,AX$4,FALSE)*1</t>
  </si>
  <si>
    <t>-VLOOKUP($B38,RawData,AY$4,FALSE)*VLOOKUP(AY$3,ConversionFactors,2,FALSE)/1000</t>
  </si>
  <si>
    <t>-VLOOKUP($B38,RawData,AZ$4,FALSE)*VLOOKUP(AZ$3,ConversionFactors,2,FALSE)/1000</t>
  </si>
  <si>
    <t>-VLOOKUP($B38,RawData,BA$4,FALSE)*VLOOKUP(BA$3,ConversionFactors,2,FALSE)/1000</t>
  </si>
  <si>
    <t>-VLOOKUP($B38,RawData,BB$4,FALSE)*VLOOKUP(BB$3,ConversionFactors,2,FALSE)/1000</t>
  </si>
  <si>
    <t>-VLOOKUP($B38,RawData,BC$4,FALSE)*1</t>
  </si>
  <si>
    <t>-VLOOKUP($B38,RawData,BD$4,FALSE)*VLOOKUP(BD$3,ConversionFactors,2,FALSE)/1000</t>
  </si>
  <si>
    <t>-VLOOKUP($B38,RawData,BG$4,FALSE)*1</t>
  </si>
  <si>
    <t>-VLOOKUP($B38,RawData,BI$4,FALSE)*1</t>
  </si>
  <si>
    <t>-VLOOKUP($B38,RawData,BM$4,FALSE)*3.6</t>
  </si>
  <si>
    <t>-VLOOKUP($B38,RawData,BN$4,FALSE)*1</t>
  </si>
  <si>
    <t>-VLOOKUP($B39,RawData,E$4,FALSE)*VLOOKUP(E$3,ConversionFactors,$D39,FALSE)/1000</t>
  </si>
  <si>
    <t>-VLOOKUP($B39,RawData,F$4,FALSE)*VLOOKUP(F$3,ConversionFactors,$D39,FALSE)/1000</t>
  </si>
  <si>
    <t>-VLOOKUP($B39,RawData,G$4,FALSE)*VLOOKUP(G$3,ConversionFactors,$D39,FALSE)/1000</t>
  </si>
  <si>
    <t>-VLOOKUP($B39,RawData,H$4,FALSE)*VLOOKUP(H$3,ConversionFactors,$D39,FALSE)/1000</t>
  </si>
  <si>
    <t>-VLOOKUP($B39,RawData,I$4,FALSE)*VLOOKUP(I$3,ConversionFactors,$D39,FALSE)/1000</t>
  </si>
  <si>
    <t>-VLOOKUP($B39,RawData,J$4,FALSE)*VLOOKUP(J$3,ConversionFactors,$D39,FALSE)/1000</t>
  </si>
  <si>
    <t>-VLOOKUP($B39,RawData,K$4,FALSE)*VLOOKUP(K$3,ConversionFactors,$D39,FALSE)/1000</t>
  </si>
  <si>
    <t>-VLOOKUP($B39,RawData,L$4,FALSE)*VLOOKUP(L$3,ConversionFactors,$D39,FALSE)/1000</t>
  </si>
  <si>
    <t>-VLOOKUP($B39,RawData,M$4,FALSE)*VLOOKUP(M$3,ConversionFactors,$D39,FALSE)/1000</t>
  </si>
  <si>
    <t>-VLOOKUP($B39,RawData,N$4,FALSE)*VLOOKUP(N$3,ConversionFactors,$D39,FALSE)/1000</t>
  </si>
  <si>
    <t>-VLOOKUP($B39,RawData,O$4,FALSE)*VLOOKUP(O$3,ConversionFactors,2,FALSE)*1</t>
  </si>
  <si>
    <t>-VLOOKUP($B39,RawData,P$4,FALSE)*VLOOKUP(P$3,ConversionFactors,2,FALSE)*1</t>
  </si>
  <si>
    <t>-VLOOKUP($B39,RawData,Q$4,FALSE)*VLOOKUP(Q$3,ConversionFactors,2,FALSE)*1</t>
  </si>
  <si>
    <t>-VLOOKUP($B39,RawData,R$4,FALSE)*VLOOKUP(R$3,ConversionFactors,2,FALSE)*1</t>
  </si>
  <si>
    <t>-VLOOKUP($B39,RawData,T$4,FALSE)*VLOOKUP(T$3,ConversionFactors,$D39,FALSE)/1000</t>
  </si>
  <si>
    <t>-VLOOKUP($B39,RawData,U$4,FALSE)*VLOOKUP(U$3,ConversionFactors,$D39,FALSE)/1000</t>
  </si>
  <si>
    <t>-VLOOKUP($B39,RawData,V$4,FALSE)*VLOOKUP(V$3,ConversionFactors,$D39,FALSE)/1000</t>
  </si>
  <si>
    <t>-VLOOKUP($B39,RawData,W$4,FALSE)*VLOOKUP(W$3,ConversionFactors,2,FALSE)/1000</t>
  </si>
  <si>
    <t>-VLOOKUP($B39,RawData,X$4,FALSE)*VLOOKUP(X$3,ConversionFactors,2,FALSE)/1000</t>
  </si>
  <si>
    <t>-VLOOKUP($B39,RawData,Y$4,FALSE)*VLOOKUP(Y$3,ConversionFactors,2,FALSE)/1000</t>
  </si>
  <si>
    <t>-VLOOKUP($B39,RawData,Z$4,FALSE)*VLOOKUP(Z$3,ConversionFactors,2,FALSE)/1000</t>
  </si>
  <si>
    <t>-VLOOKUP($B39,RawData,AA$4,FALSE)*VLOOKUP(AA$3,ConversionFactors,2,FALSE)/1000</t>
  </si>
  <si>
    <t>-VLOOKUP($B39,RawData,AB$4,FALSE)*VLOOKUP(AB$3,ConversionFactors,2,FALSE)/1000</t>
  </si>
  <si>
    <t>-VLOOKUP($B39,RawData,AC$4,FALSE)*VLOOKUP(AC$3,ConversionFactors,2,FALSE)/1000</t>
  </si>
  <si>
    <t>-VLOOKUP($B39,RawData,AD$4,FALSE)*VLOOKUP(AD$3,ConversionFactors,2,FALSE)/1000</t>
  </si>
  <si>
    <t>-VLOOKUP($B39,RawData,AE$4,FALSE)*VLOOKUP(AE$3,ConversionFactors,2,FALSE)/1000</t>
  </si>
  <si>
    <t>-VLOOKUP($B39,RawData,AF$4,FALSE)*VLOOKUP(AF$3,ConversionFactors,2,FALSE)/1000</t>
  </si>
  <si>
    <t>-VLOOKUP($B39,RawData,AG$4,FALSE)*VLOOKUP(AG$3,ConversionFactors,2,FALSE)/1000</t>
  </si>
  <si>
    <t>-VLOOKUP($B39,RawData,AH$4,FALSE)*VLOOKUP(AH$3,ConversionFactors,2,FALSE)/1000</t>
  </si>
  <si>
    <t>-VLOOKUP($B39,RawData,AI$4,FALSE)*VLOOKUP(AI$3,ConversionFactors,2,FALSE)/1000</t>
  </si>
  <si>
    <t>-VLOOKUP($B39,RawData,AJ$4,FALSE)*VLOOKUP(AJ$3,ConversionFactors,2,FALSE)/1000</t>
  </si>
  <si>
    <t>-VLOOKUP($B39,RawData,AK$4,FALSE)*VLOOKUP(AK$3,ConversionFactors,2,FALSE)/1000</t>
  </si>
  <si>
    <t>-VLOOKUP($B39,RawData,AL$4,FALSE)*VLOOKUP(AL$3,ConversionFactors,2,FALSE)/1000</t>
  </si>
  <si>
    <t>-VLOOKUP($B39,RawData,AM$4,FALSE)*VLOOKUP(AM$3,ConversionFactors,2,FALSE)/1000</t>
  </si>
  <si>
    <t>-VLOOKUP($B39,RawData,AN$4,FALSE)*VLOOKUP(AN$3,ConversionFactors,2,FALSE)/1000</t>
  </si>
  <si>
    <t>-VLOOKUP($B39,RawData,AO$4,FALSE)*VLOOKUP(AO$3,ConversionFactors,2,FALSE)/1000</t>
  </si>
  <si>
    <t>-VLOOKUP($B39,RawData,AP$4,FALSE)*VLOOKUP(AP$3,ConversionFactors,2,FALSE)/1000</t>
  </si>
  <si>
    <t>-VLOOKUP($B39,RawData,AQ$4,FALSE)*VLOOKUP(AQ$3,ConversionFactors,2,FALSE)/1000</t>
  </si>
  <si>
    <t>-VLOOKUP($B39,RawData,AR$4,FALSE)*VLOOKUP(AR$3,ConversionFactors,2,FALSE)/1000</t>
  </si>
  <si>
    <t>-VLOOKUP($B39,RawData,AS$4,FALSE)*VLOOKUP(AS$3,ConversionFactors,2,FALSE)*1</t>
  </si>
  <si>
    <t>-VLOOKUP($B39,RawData,AT$4,FALSE)*1</t>
  </si>
  <si>
    <t>-VLOOKUP($B39,RawData,AU$4,FALSE)*1</t>
  </si>
  <si>
    <t>-VLOOKUP($B39,RawData,AV$4,FALSE)*1</t>
  </si>
  <si>
    <t>-VLOOKUP($B39,RawData,AW$4,FALSE)*1</t>
  </si>
  <si>
    <t>-VLOOKUP($B39,RawData,AX$4,FALSE)*1</t>
  </si>
  <si>
    <t>-VLOOKUP($B39,RawData,AY$4,FALSE)*VLOOKUP(AY$3,ConversionFactors,2,FALSE)/1000</t>
  </si>
  <si>
    <t>-VLOOKUP($B39,RawData,AZ$4,FALSE)*VLOOKUP(AZ$3,ConversionFactors,2,FALSE)/1000</t>
  </si>
  <si>
    <t>-VLOOKUP($B39,RawData,BA$4,FALSE)*VLOOKUP(BA$3,ConversionFactors,2,FALSE)/1000</t>
  </si>
  <si>
    <t>-VLOOKUP($B39,RawData,BB$4,FALSE)*VLOOKUP(BB$3,ConversionFactors,2,FALSE)/1000</t>
  </si>
  <si>
    <t>-VLOOKUP($B39,RawData,BC$4,FALSE)*1</t>
  </si>
  <si>
    <t>-VLOOKUP($B39,RawData,BD$4,FALSE)*VLOOKUP(BD$3,ConversionFactors,2,FALSE)/1000</t>
  </si>
  <si>
    <t>-VLOOKUP($B39,RawData,BG$4,FALSE)*1</t>
  </si>
  <si>
    <t>-VLOOKUP($B39,RawData,BI$4,FALSE)*1</t>
  </si>
  <si>
    <t>-VLOOKUP($B39,RawData,BM$4,FALSE)*3.6</t>
  </si>
  <si>
    <t>-VLOOKUP($B39,RawData,BN$4,FALSE)*1</t>
  </si>
  <si>
    <t>-VLOOKUP($B40,RawData,E$4,FALSE)*VLOOKUP(E$3,ConversionFactors,$D40,FALSE)/1000</t>
  </si>
  <si>
    <t>-VLOOKUP($B40,RawData,F$4,FALSE)*VLOOKUP(F$3,ConversionFactors,$D40,FALSE)/1000</t>
  </si>
  <si>
    <t>-VLOOKUP($B40,RawData,G$4,FALSE)*VLOOKUP(G$3,ConversionFactors,$D40,FALSE)/1000</t>
  </si>
  <si>
    <t>-VLOOKUP($B40,RawData,H$4,FALSE)*VLOOKUP(H$3,ConversionFactors,$D40,FALSE)/1000</t>
  </si>
  <si>
    <t>-VLOOKUP($B40,RawData,I$4,FALSE)*VLOOKUP(I$3,ConversionFactors,$D40,FALSE)/1000</t>
  </si>
  <si>
    <t>-VLOOKUP($B40,RawData,J$4,FALSE)*VLOOKUP(J$3,ConversionFactors,$D40,FALSE)/1000</t>
  </si>
  <si>
    <t>-VLOOKUP($B40,RawData,K$4,FALSE)*VLOOKUP(K$3,ConversionFactors,$D40,FALSE)/1000</t>
  </si>
  <si>
    <t>-VLOOKUP($B40,RawData,L$4,FALSE)*VLOOKUP(L$3,ConversionFactors,$D40,FALSE)/1000</t>
  </si>
  <si>
    <t>-VLOOKUP($B40,RawData,M$4,FALSE)*VLOOKUP(M$3,ConversionFactors,$D40,FALSE)/1000</t>
  </si>
  <si>
    <t>-VLOOKUP($B40,RawData,N$4,FALSE)*VLOOKUP(N$3,ConversionFactors,$D40,FALSE)/1000</t>
  </si>
  <si>
    <t>-VLOOKUP($B40,RawData,O$4,FALSE)*VLOOKUP(O$3,ConversionFactors,2,FALSE)*1</t>
  </si>
  <si>
    <t>-VLOOKUP($B40,RawData,P$4,FALSE)*VLOOKUP(P$3,ConversionFactors,2,FALSE)*1</t>
  </si>
  <si>
    <t>-VLOOKUP($B40,RawData,Q$4,FALSE)*VLOOKUP(Q$3,ConversionFactors,2,FALSE)*1</t>
  </si>
  <si>
    <t>-VLOOKUP($B40,RawData,R$4,FALSE)*VLOOKUP(R$3,ConversionFactors,2,FALSE)*1</t>
  </si>
  <si>
    <t>-VLOOKUP($B40,RawData,T$4,FALSE)*VLOOKUP(T$3,ConversionFactors,$D40,FALSE)/1000</t>
  </si>
  <si>
    <t>-VLOOKUP($B40,RawData,U$4,FALSE)*VLOOKUP(U$3,ConversionFactors,$D40,FALSE)/1000</t>
  </si>
  <si>
    <t>-VLOOKUP($B40,RawData,V$4,FALSE)*VLOOKUP(V$3,ConversionFactors,$D40,FALSE)/1000</t>
  </si>
  <si>
    <t>-VLOOKUP($B40,RawData,W$4,FALSE)*VLOOKUP(W$3,ConversionFactors,2,FALSE)/1000</t>
  </si>
  <si>
    <t>-VLOOKUP($B40,RawData,X$4,FALSE)*VLOOKUP(X$3,ConversionFactors,2,FALSE)/1000</t>
  </si>
  <si>
    <t>-VLOOKUP($B40,RawData,Y$4,FALSE)*VLOOKUP(Y$3,ConversionFactors,2,FALSE)/1000</t>
  </si>
  <si>
    <t>-VLOOKUP($B40,RawData,Z$4,FALSE)*VLOOKUP(Z$3,ConversionFactors,2,FALSE)/1000</t>
  </si>
  <si>
    <t>-VLOOKUP($B40,RawData,AA$4,FALSE)*VLOOKUP(AA$3,ConversionFactors,2,FALSE)/1000</t>
  </si>
  <si>
    <t>-VLOOKUP($B40,RawData,AB$4,FALSE)*VLOOKUP(AB$3,ConversionFactors,2,FALSE)/1000</t>
  </si>
  <si>
    <t>-VLOOKUP($B40,RawData,AC$4,FALSE)*VLOOKUP(AC$3,ConversionFactors,2,FALSE)/1000</t>
  </si>
  <si>
    <t>-VLOOKUP($B40,RawData,AD$4,FALSE)*VLOOKUP(AD$3,ConversionFactors,2,FALSE)/1000</t>
  </si>
  <si>
    <t>-VLOOKUP($B40,RawData,AE$4,FALSE)*VLOOKUP(AE$3,ConversionFactors,2,FALSE)/1000</t>
  </si>
  <si>
    <t>-VLOOKUP($B40,RawData,AF$4,FALSE)*VLOOKUP(AF$3,ConversionFactors,2,FALSE)/1000</t>
  </si>
  <si>
    <t>-VLOOKUP($B40,RawData,AG$4,FALSE)*VLOOKUP(AG$3,ConversionFactors,2,FALSE)/1000</t>
  </si>
  <si>
    <t>-VLOOKUP($B40,RawData,AH$4,FALSE)*VLOOKUP(AH$3,ConversionFactors,2,FALSE)/1000</t>
  </si>
  <si>
    <t>-VLOOKUP($B40,RawData,AI$4,FALSE)*VLOOKUP(AI$3,ConversionFactors,2,FALSE)/1000</t>
  </si>
  <si>
    <t>-VLOOKUP($B40,RawData,AJ$4,FALSE)*VLOOKUP(AJ$3,ConversionFactors,2,FALSE)/1000</t>
  </si>
  <si>
    <t>-VLOOKUP($B40,RawData,AK$4,FALSE)*VLOOKUP(AK$3,ConversionFactors,2,FALSE)/1000</t>
  </si>
  <si>
    <t>-VLOOKUP($B40,RawData,AL$4,FALSE)*VLOOKUP(AL$3,ConversionFactors,2,FALSE)/1000</t>
  </si>
  <si>
    <t>-VLOOKUP($B40,RawData,AM$4,FALSE)*VLOOKUP(AM$3,ConversionFactors,2,FALSE)/1000</t>
  </si>
  <si>
    <t>-VLOOKUP($B40,RawData,AN$4,FALSE)*VLOOKUP(AN$3,ConversionFactors,2,FALSE)/1000</t>
  </si>
  <si>
    <t>-VLOOKUP($B40,RawData,AO$4,FALSE)*VLOOKUP(AO$3,ConversionFactors,2,FALSE)/1000</t>
  </si>
  <si>
    <t>-VLOOKUP($B40,RawData,AP$4,FALSE)*VLOOKUP(AP$3,ConversionFactors,2,FALSE)/1000</t>
  </si>
  <si>
    <t>-VLOOKUP($B40,RawData,AQ$4,FALSE)*VLOOKUP(AQ$3,ConversionFactors,2,FALSE)/1000</t>
  </si>
  <si>
    <t>-VLOOKUP($B40,RawData,AR$4,FALSE)*VLOOKUP(AR$3,ConversionFactors,2,FALSE)/1000</t>
  </si>
  <si>
    <t>-VLOOKUP($B40,RawData,AS$4,FALSE)*VLOOKUP(AS$3,ConversionFactors,2,FALSE)*1</t>
  </si>
  <si>
    <t>-VLOOKUP($B40,RawData,AT$4,FALSE)*1</t>
  </si>
  <si>
    <t>-VLOOKUP($B40,RawData,AU$4,FALSE)*1</t>
  </si>
  <si>
    <t>-VLOOKUP($B40,RawData,AV$4,FALSE)*1</t>
  </si>
  <si>
    <t>-VLOOKUP($B40,RawData,AW$4,FALSE)*1</t>
  </si>
  <si>
    <t>-VLOOKUP($B40,RawData,AX$4,FALSE)*1</t>
  </si>
  <si>
    <t>-VLOOKUP($B40,RawData,AY$4,FALSE)*VLOOKUP(AY$3,ConversionFactors,2,FALSE)/1000</t>
  </si>
  <si>
    <t>-VLOOKUP($B40,RawData,AZ$4,FALSE)*VLOOKUP(AZ$3,ConversionFactors,2,FALSE)/1000</t>
  </si>
  <si>
    <t>-VLOOKUP($B40,RawData,BA$4,FALSE)*VLOOKUP(BA$3,ConversionFactors,2,FALSE)/1000</t>
  </si>
  <si>
    <t>-VLOOKUP($B40,RawData,BB$4,FALSE)*VLOOKUP(BB$3,ConversionFactors,2,FALSE)/1000</t>
  </si>
  <si>
    <t>-VLOOKUP($B40,RawData,BC$4,FALSE)*1</t>
  </si>
  <si>
    <t>-VLOOKUP($B40,RawData,BD$4,FALSE)*VLOOKUP(BD$3,ConversionFactors,2,FALSE)/1000</t>
  </si>
  <si>
    <t>-VLOOKUP($B40,RawData,BG$4,FALSE)*1</t>
  </si>
  <si>
    <t>-VLOOKUP($B40,RawData,BI$4,FALSE)*1</t>
  </si>
  <si>
    <t>-VLOOKUP($B40,RawData,BM$4,FALSE)*3.6</t>
  </si>
  <si>
    <t>-VLOOKUP($B40,RawData,BN$4,FALSE)*1</t>
  </si>
  <si>
    <t>-VLOOKUP($B41,RawData,E$4,FALSE)*VLOOKUP(E$3,ConversionFactors,$D41,FALSE)/1000</t>
  </si>
  <si>
    <t>-VLOOKUP($B41,RawData,F$4,FALSE)*VLOOKUP(F$3,ConversionFactors,$D41,FALSE)/1000</t>
  </si>
  <si>
    <t>-VLOOKUP($B41,RawData,G$4,FALSE)*VLOOKUP(G$3,ConversionFactors,$D41,FALSE)/1000</t>
  </si>
  <si>
    <t>-VLOOKUP($B41,RawData,H$4,FALSE)*VLOOKUP(H$3,ConversionFactors,$D41,FALSE)/1000</t>
  </si>
  <si>
    <t>-VLOOKUP($B41,RawData,I$4,FALSE)*VLOOKUP(I$3,ConversionFactors,$D41,FALSE)/1000</t>
  </si>
  <si>
    <t>-VLOOKUP($B41,RawData,J$4,FALSE)*VLOOKUP(J$3,ConversionFactors,$D41,FALSE)/1000</t>
  </si>
  <si>
    <t>-VLOOKUP($B41,RawData,K$4,FALSE)*VLOOKUP(K$3,ConversionFactors,$D41,FALSE)/1000</t>
  </si>
  <si>
    <t>-VLOOKUP($B41,RawData,L$4,FALSE)*VLOOKUP(L$3,ConversionFactors,$D41,FALSE)/1000</t>
  </si>
  <si>
    <t>-VLOOKUP($B41,RawData,M$4,FALSE)*VLOOKUP(M$3,ConversionFactors,$D41,FALSE)/1000</t>
  </si>
  <si>
    <t>-VLOOKUP($B41,RawData,N$4,FALSE)*VLOOKUP(N$3,ConversionFactors,$D41,FALSE)/1000</t>
  </si>
  <si>
    <t>-VLOOKUP($B41,RawData,O$4,FALSE)*VLOOKUP(O$3,ConversionFactors,2,FALSE)*1</t>
  </si>
  <si>
    <t>-VLOOKUP($B41,RawData,P$4,FALSE)*VLOOKUP(P$3,ConversionFactors,2,FALSE)*1</t>
  </si>
  <si>
    <t>-VLOOKUP($B41,RawData,Q$4,FALSE)*VLOOKUP(Q$3,ConversionFactors,2,FALSE)*1</t>
  </si>
  <si>
    <t>-VLOOKUP($B41,RawData,R$4,FALSE)*VLOOKUP(R$3,ConversionFactors,2,FALSE)*1</t>
  </si>
  <si>
    <t>-VLOOKUP($B41,RawData,T$4,FALSE)*VLOOKUP(T$3,ConversionFactors,$D41,FALSE)/1000</t>
  </si>
  <si>
    <t>-VLOOKUP($B41,RawData,U$4,FALSE)*VLOOKUP(U$3,ConversionFactors,$D41,FALSE)/1000</t>
  </si>
  <si>
    <t>-VLOOKUP($B41,RawData,V$4,FALSE)*VLOOKUP(V$3,ConversionFactors,$D41,FALSE)/1000</t>
  </si>
  <si>
    <t>-VLOOKUP($B41,RawData,W$4,FALSE)*VLOOKUP(W$3,ConversionFactors,2,FALSE)/1000</t>
  </si>
  <si>
    <t>-VLOOKUP($B41,RawData,X$4,FALSE)*VLOOKUP(X$3,ConversionFactors,2,FALSE)/1000</t>
  </si>
  <si>
    <t>-VLOOKUP($B41,RawData,Y$4,FALSE)*VLOOKUP(Y$3,ConversionFactors,2,FALSE)/1000</t>
  </si>
  <si>
    <t>-VLOOKUP($B41,RawData,Z$4,FALSE)*VLOOKUP(Z$3,ConversionFactors,2,FALSE)/1000</t>
  </si>
  <si>
    <t>-VLOOKUP($B41,RawData,AA$4,FALSE)*VLOOKUP(AA$3,ConversionFactors,2,FALSE)/1000</t>
  </si>
  <si>
    <t>-VLOOKUP($B41,RawData,AB$4,FALSE)*VLOOKUP(AB$3,ConversionFactors,2,FALSE)/1000</t>
  </si>
  <si>
    <t>-VLOOKUP($B41,RawData,AC$4,FALSE)*VLOOKUP(AC$3,ConversionFactors,2,FALSE)/1000</t>
  </si>
  <si>
    <t>-VLOOKUP($B41,RawData,AD$4,FALSE)*VLOOKUP(AD$3,ConversionFactors,2,FALSE)/1000</t>
  </si>
  <si>
    <t>-VLOOKUP($B41,RawData,AE$4,FALSE)*VLOOKUP(AE$3,ConversionFactors,2,FALSE)/1000</t>
  </si>
  <si>
    <t>-VLOOKUP($B41,RawData,AF$4,FALSE)*VLOOKUP(AF$3,ConversionFactors,2,FALSE)/1000</t>
  </si>
  <si>
    <t>-VLOOKUP($B41,RawData,AG$4,FALSE)*VLOOKUP(AG$3,ConversionFactors,2,FALSE)/1000</t>
  </si>
  <si>
    <t>-VLOOKUP($B41,RawData,AH$4,FALSE)*VLOOKUP(AH$3,ConversionFactors,2,FALSE)/1000</t>
  </si>
  <si>
    <t>-VLOOKUP($B41,RawData,AI$4,FALSE)*VLOOKUP(AI$3,ConversionFactors,2,FALSE)/1000</t>
  </si>
  <si>
    <t>-VLOOKUP($B41,RawData,AJ$4,FALSE)*VLOOKUP(AJ$3,ConversionFactors,2,FALSE)/1000</t>
  </si>
  <si>
    <t>-VLOOKUP($B41,RawData,AK$4,FALSE)*VLOOKUP(AK$3,ConversionFactors,2,FALSE)/1000</t>
  </si>
  <si>
    <t>-VLOOKUP($B41,RawData,AL$4,FALSE)*VLOOKUP(AL$3,ConversionFactors,2,FALSE)/1000</t>
  </si>
  <si>
    <t>-VLOOKUP($B41,RawData,AM$4,FALSE)*VLOOKUP(AM$3,ConversionFactors,2,FALSE)/1000</t>
  </si>
  <si>
    <t>-VLOOKUP($B41,RawData,AN$4,FALSE)*VLOOKUP(AN$3,ConversionFactors,2,FALSE)/1000</t>
  </si>
  <si>
    <t>-VLOOKUP($B41,RawData,AO$4,FALSE)*VLOOKUP(AO$3,ConversionFactors,2,FALSE)/1000</t>
  </si>
  <si>
    <t>-VLOOKUP($B41,RawData,AP$4,FALSE)*VLOOKUP(AP$3,ConversionFactors,2,FALSE)/1000</t>
  </si>
  <si>
    <t>-VLOOKUP($B41,RawData,AQ$4,FALSE)*VLOOKUP(AQ$3,ConversionFactors,2,FALSE)/1000</t>
  </si>
  <si>
    <t>-VLOOKUP($B41,RawData,AR$4,FALSE)*VLOOKUP(AR$3,ConversionFactors,2,FALSE)/1000</t>
  </si>
  <si>
    <t>-VLOOKUP($B41,RawData,AS$4,FALSE)*VLOOKUP(AS$3,ConversionFactors,2,FALSE)*1</t>
  </si>
  <si>
    <t>-VLOOKUP($B41,RawData,AT$4,FALSE)*1</t>
  </si>
  <si>
    <t>-VLOOKUP($B41,RawData,AU$4,FALSE)*1</t>
  </si>
  <si>
    <t>-VLOOKUP($B41,RawData,AV$4,FALSE)*1</t>
  </si>
  <si>
    <t>-VLOOKUP($B41,RawData,AW$4,FALSE)*1</t>
  </si>
  <si>
    <t>-VLOOKUP($B41,RawData,AX$4,FALSE)*1</t>
  </si>
  <si>
    <t>-VLOOKUP($B41,RawData,AY$4,FALSE)*VLOOKUP(AY$3,ConversionFactors,2,FALSE)/1000</t>
  </si>
  <si>
    <t>-VLOOKUP($B41,RawData,AZ$4,FALSE)*VLOOKUP(AZ$3,ConversionFactors,2,FALSE)/1000</t>
  </si>
  <si>
    <t>-VLOOKUP($B41,RawData,BA$4,FALSE)*VLOOKUP(BA$3,ConversionFactors,2,FALSE)/1000</t>
  </si>
  <si>
    <t>-VLOOKUP($B41,RawData,BB$4,FALSE)*VLOOKUP(BB$3,ConversionFactors,2,FALSE)/1000</t>
  </si>
  <si>
    <t>-VLOOKUP($B41,RawData,BC$4,FALSE)*1</t>
  </si>
  <si>
    <t>-VLOOKUP($B41,RawData,BD$4,FALSE)*VLOOKUP(BD$3,ConversionFactors,2,FALSE)/1000</t>
  </si>
  <si>
    <t>-VLOOKUP($B41,RawData,BG$4,FALSE)*1</t>
  </si>
  <si>
    <t>-VLOOKUP($B41,RawData,BI$4,FALSE)*1</t>
  </si>
  <si>
    <t>-VLOOKUP($B41,RawData,BM$4,FALSE)*3.6</t>
  </si>
  <si>
    <t>-VLOOKUP($B41,RawData,BN$4,FALSE)*1</t>
  </si>
  <si>
    <t>-VLOOKUP($B42,RawData,E$4,FALSE)*VLOOKUP(E$3,ConversionFactors,$D42,FALSE)/1000</t>
  </si>
  <si>
    <t>-VLOOKUP($B42,RawData,F$4,FALSE)*VLOOKUP(F$3,ConversionFactors,$D42,FALSE)/1000</t>
  </si>
  <si>
    <t>-VLOOKUP($B42,RawData,G$4,FALSE)*VLOOKUP(G$3,ConversionFactors,$D42,FALSE)/1000</t>
  </si>
  <si>
    <t>-VLOOKUP($B42,RawData,H$4,FALSE)*VLOOKUP(H$3,ConversionFactors,$D42,FALSE)/1000</t>
  </si>
  <si>
    <t>-VLOOKUP($B42,RawData,I$4,FALSE)*VLOOKUP(I$3,ConversionFactors,$D42,FALSE)/1000</t>
  </si>
  <si>
    <t>-VLOOKUP($B42,RawData,J$4,FALSE)*VLOOKUP(J$3,ConversionFactors,$D42,FALSE)/1000</t>
  </si>
  <si>
    <t>-VLOOKUP($B42,RawData,K$4,FALSE)*VLOOKUP(K$3,ConversionFactors,$D42,FALSE)/1000</t>
  </si>
  <si>
    <t>-VLOOKUP($B42,RawData,L$4,FALSE)*VLOOKUP(L$3,ConversionFactors,$D42,FALSE)/1000</t>
  </si>
  <si>
    <t>-VLOOKUP($B42,RawData,M$4,FALSE)*VLOOKUP(M$3,ConversionFactors,$D42,FALSE)/1000</t>
  </si>
  <si>
    <t>-VLOOKUP($B42,RawData,N$4,FALSE)*VLOOKUP(N$3,ConversionFactors,$D42,FALSE)/1000</t>
  </si>
  <si>
    <t>-VLOOKUP($B42,RawData,O$4,FALSE)*VLOOKUP(O$3,ConversionFactors,2,FALSE)*1</t>
  </si>
  <si>
    <t>-VLOOKUP($B42,RawData,P$4,FALSE)*VLOOKUP(P$3,ConversionFactors,2,FALSE)*1</t>
  </si>
  <si>
    <t>-VLOOKUP($B42,RawData,Q$4,FALSE)*VLOOKUP(Q$3,ConversionFactors,2,FALSE)*1</t>
  </si>
  <si>
    <t>-VLOOKUP($B42,RawData,R$4,FALSE)*VLOOKUP(R$3,ConversionFactors,2,FALSE)*1</t>
  </si>
  <si>
    <t>-VLOOKUP($B42,RawData,T$4,FALSE)*VLOOKUP(T$3,ConversionFactors,$D42,FALSE)/1000</t>
  </si>
  <si>
    <t>-VLOOKUP($B42,RawData,U$4,FALSE)*VLOOKUP(U$3,ConversionFactors,$D42,FALSE)/1000</t>
  </si>
  <si>
    <t>-VLOOKUP($B42,RawData,V$4,FALSE)*VLOOKUP(V$3,ConversionFactors,$D42,FALSE)/1000</t>
  </si>
  <si>
    <t>-VLOOKUP($B42,RawData,W$4,FALSE)*VLOOKUP(W$3,ConversionFactors,2,FALSE)/1000</t>
  </si>
  <si>
    <t>-VLOOKUP($B42,RawData,X$4,FALSE)*VLOOKUP(X$3,ConversionFactors,2,FALSE)/1000</t>
  </si>
  <si>
    <t>-VLOOKUP($B42,RawData,Y$4,FALSE)*VLOOKUP(Y$3,ConversionFactors,2,FALSE)/1000</t>
  </si>
  <si>
    <t>-VLOOKUP($B42,RawData,Z$4,FALSE)*VLOOKUP(Z$3,ConversionFactors,2,FALSE)/1000</t>
  </si>
  <si>
    <t>-VLOOKUP($B42,RawData,AA$4,FALSE)*VLOOKUP(AA$3,ConversionFactors,2,FALSE)/1000</t>
  </si>
  <si>
    <t>-VLOOKUP($B42,RawData,AB$4,FALSE)*VLOOKUP(AB$3,ConversionFactors,2,FALSE)/1000</t>
  </si>
  <si>
    <t>-VLOOKUP($B42,RawData,AC$4,FALSE)*VLOOKUP(AC$3,ConversionFactors,2,FALSE)/1000</t>
  </si>
  <si>
    <t>-VLOOKUP($B42,RawData,AD$4,FALSE)*VLOOKUP(AD$3,ConversionFactors,2,FALSE)/1000</t>
  </si>
  <si>
    <t>-VLOOKUP($B42,RawData,AE$4,FALSE)*VLOOKUP(AE$3,ConversionFactors,2,FALSE)/1000</t>
  </si>
  <si>
    <t>-VLOOKUP($B42,RawData,AF$4,FALSE)*VLOOKUP(AF$3,ConversionFactors,2,FALSE)/1000</t>
  </si>
  <si>
    <t>-VLOOKUP($B42,RawData,AG$4,FALSE)*VLOOKUP(AG$3,ConversionFactors,2,FALSE)/1000</t>
  </si>
  <si>
    <t>-VLOOKUP($B42,RawData,AH$4,FALSE)*VLOOKUP(AH$3,ConversionFactors,2,FALSE)/1000</t>
  </si>
  <si>
    <t>-VLOOKUP($B42,RawData,AI$4,FALSE)*VLOOKUP(AI$3,ConversionFactors,2,FALSE)/1000</t>
  </si>
  <si>
    <t>-VLOOKUP($B42,RawData,AJ$4,FALSE)*VLOOKUP(AJ$3,ConversionFactors,2,FALSE)/1000</t>
  </si>
  <si>
    <t>-VLOOKUP($B42,RawData,AK$4,FALSE)*VLOOKUP(AK$3,ConversionFactors,2,FALSE)/1000</t>
  </si>
  <si>
    <t>-VLOOKUP($B42,RawData,AL$4,FALSE)*VLOOKUP(AL$3,ConversionFactors,2,FALSE)/1000</t>
  </si>
  <si>
    <t>-VLOOKUP($B42,RawData,AM$4,FALSE)*VLOOKUP(AM$3,ConversionFactors,2,FALSE)/1000</t>
  </si>
  <si>
    <t>-VLOOKUP($B42,RawData,AN$4,FALSE)*VLOOKUP(AN$3,ConversionFactors,2,FALSE)/1000</t>
  </si>
  <si>
    <t>-VLOOKUP($B42,RawData,AO$4,FALSE)*VLOOKUP(AO$3,ConversionFactors,2,FALSE)/1000</t>
  </si>
  <si>
    <t>-VLOOKUP($B42,RawData,AP$4,FALSE)*VLOOKUP(AP$3,ConversionFactors,2,FALSE)/1000</t>
  </si>
  <si>
    <t>-VLOOKUP($B42,RawData,AQ$4,FALSE)*VLOOKUP(AQ$3,ConversionFactors,2,FALSE)/1000</t>
  </si>
  <si>
    <t>-VLOOKUP($B42,RawData,AR$4,FALSE)*VLOOKUP(AR$3,ConversionFactors,2,FALSE)/1000</t>
  </si>
  <si>
    <t>-VLOOKUP($B42,RawData,AS$4,FALSE)*VLOOKUP(AS$3,ConversionFactors,2,FALSE)*1</t>
  </si>
  <si>
    <t>-VLOOKUP($B42,RawData,AT$4,FALSE)*1</t>
  </si>
  <si>
    <t>-VLOOKUP($B42,RawData,AU$4,FALSE)*1</t>
  </si>
  <si>
    <t>-VLOOKUP($B42,RawData,AV$4,FALSE)*1</t>
  </si>
  <si>
    <t>-VLOOKUP($B42,RawData,AW$4,FALSE)*1</t>
  </si>
  <si>
    <t>-VLOOKUP($B42,RawData,AX$4,FALSE)*1</t>
  </si>
  <si>
    <t>-VLOOKUP($B42,RawData,AY$4,FALSE)*VLOOKUP(AY$3,ConversionFactors,2,FALSE)/1000</t>
  </si>
  <si>
    <t>-VLOOKUP($B42,RawData,AZ$4,FALSE)*VLOOKUP(AZ$3,ConversionFactors,2,FALSE)/1000</t>
  </si>
  <si>
    <t>-VLOOKUP($B42,RawData,BA$4,FALSE)*VLOOKUP(BA$3,ConversionFactors,2,FALSE)/1000</t>
  </si>
  <si>
    <t>-VLOOKUP($B42,RawData,BB$4,FALSE)*VLOOKUP(BB$3,ConversionFactors,2,FALSE)/1000</t>
  </si>
  <si>
    <t>-VLOOKUP($B42,RawData,BC$4,FALSE)*1</t>
  </si>
  <si>
    <t>-VLOOKUP($B42,RawData,BD$4,FALSE)*VLOOKUP(BD$3,ConversionFactors,2,FALSE)/1000</t>
  </si>
  <si>
    <t>-VLOOKUP($B42,RawData,BG$4,FALSE)*1</t>
  </si>
  <si>
    <t>-VLOOKUP($B42,RawData,BI$4,FALSE)*1</t>
  </si>
  <si>
    <t>-VLOOKUP($B42,RawData,BM$4,FALSE)*3.6</t>
  </si>
  <si>
    <t>-VLOOKUP($B42,RawData,BN$4,FALSE)*1</t>
  </si>
  <si>
    <t>-VLOOKUP($B43,RawData,E$4,FALSE)*VLOOKUP(E$3,ConversionFactors,$D43,FALSE)/1000</t>
  </si>
  <si>
    <t>-VLOOKUP($B43,RawData,F$4,FALSE)*VLOOKUP(F$3,ConversionFactors,$D43,FALSE)/1000</t>
  </si>
  <si>
    <t>-VLOOKUP($B43,RawData,G$4,FALSE)*VLOOKUP(G$3,ConversionFactors,$D43,FALSE)/1000</t>
  </si>
  <si>
    <t>-VLOOKUP($B43,RawData,H$4,FALSE)*VLOOKUP(H$3,ConversionFactors,$D43,FALSE)/1000</t>
  </si>
  <si>
    <t>-VLOOKUP($B43,RawData,I$4,FALSE)*VLOOKUP(I$3,ConversionFactors,$D43,FALSE)/1000</t>
  </si>
  <si>
    <t>-VLOOKUP($B43,RawData,J$4,FALSE)*VLOOKUP(J$3,ConversionFactors,$D43,FALSE)/1000</t>
  </si>
  <si>
    <t>-VLOOKUP($B43,RawData,K$4,FALSE)*VLOOKUP(K$3,ConversionFactors,$D43,FALSE)/1000</t>
  </si>
  <si>
    <t>-VLOOKUP($B43,RawData,L$4,FALSE)*VLOOKUP(L$3,ConversionFactors,$D43,FALSE)/1000</t>
  </si>
  <si>
    <t>-VLOOKUP($B43,RawData,M$4,FALSE)*VLOOKUP(M$3,ConversionFactors,$D43,FALSE)/1000</t>
  </si>
  <si>
    <t>-VLOOKUP($B43,RawData,N$4,FALSE)*VLOOKUP(N$3,ConversionFactors,$D43,FALSE)/1000</t>
  </si>
  <si>
    <t>-VLOOKUP($B43,RawData,O$4,FALSE)*VLOOKUP(O$3,ConversionFactors,2,FALSE)*1</t>
  </si>
  <si>
    <t>-VLOOKUP($B43,RawData,P$4,FALSE)*VLOOKUP(P$3,ConversionFactors,2,FALSE)*1</t>
  </si>
  <si>
    <t>-VLOOKUP($B43,RawData,Q$4,FALSE)*VLOOKUP(Q$3,ConversionFactors,2,FALSE)*1</t>
  </si>
  <si>
    <t>-VLOOKUP($B43,RawData,R$4,FALSE)*VLOOKUP(R$3,ConversionFactors,2,FALSE)*1</t>
  </si>
  <si>
    <t>-VLOOKUP($B43,RawData,T$4,FALSE)*VLOOKUP(T$3,ConversionFactors,$D43,FALSE)/1000</t>
  </si>
  <si>
    <t>-VLOOKUP($B43,RawData,U$4,FALSE)*VLOOKUP(U$3,ConversionFactors,$D43,FALSE)/1000</t>
  </si>
  <si>
    <t>-VLOOKUP($B43,RawData,V$4,FALSE)*VLOOKUP(V$3,ConversionFactors,$D43,FALSE)/1000</t>
  </si>
  <si>
    <t>-VLOOKUP($B43,RawData,W$4,FALSE)*VLOOKUP(W$3,ConversionFactors,2,FALSE)/1000</t>
  </si>
  <si>
    <t>-VLOOKUP($B43,RawData,X$4,FALSE)*VLOOKUP(X$3,ConversionFactors,2,FALSE)/1000</t>
  </si>
  <si>
    <t>-VLOOKUP($B43,RawData,Y$4,FALSE)*VLOOKUP(Y$3,ConversionFactors,2,FALSE)/1000</t>
  </si>
  <si>
    <t>-VLOOKUP($B43,RawData,Z$4,FALSE)*VLOOKUP(Z$3,ConversionFactors,2,FALSE)/1000</t>
  </si>
  <si>
    <t>-VLOOKUP($B43,RawData,AA$4,FALSE)*VLOOKUP(AA$3,ConversionFactors,2,FALSE)/1000</t>
  </si>
  <si>
    <t>-VLOOKUP($B43,RawData,AB$4,FALSE)*VLOOKUP(AB$3,ConversionFactors,2,FALSE)/1000</t>
  </si>
  <si>
    <t>-VLOOKUP($B43,RawData,AC$4,FALSE)*VLOOKUP(AC$3,ConversionFactors,2,FALSE)/1000</t>
  </si>
  <si>
    <t>-VLOOKUP($B43,RawData,AD$4,FALSE)*VLOOKUP(AD$3,ConversionFactors,2,FALSE)/1000</t>
  </si>
  <si>
    <t>-VLOOKUP($B43,RawData,AE$4,FALSE)*VLOOKUP(AE$3,ConversionFactors,2,FALSE)/1000</t>
  </si>
  <si>
    <t>-VLOOKUP($B43,RawData,AF$4,FALSE)*VLOOKUP(AF$3,ConversionFactors,2,FALSE)/1000</t>
  </si>
  <si>
    <t>-VLOOKUP($B43,RawData,AG$4,FALSE)*VLOOKUP(AG$3,ConversionFactors,2,FALSE)/1000</t>
  </si>
  <si>
    <t>-VLOOKUP($B43,RawData,AH$4,FALSE)*VLOOKUP(AH$3,ConversionFactors,2,FALSE)/1000</t>
  </si>
  <si>
    <t>-VLOOKUP($B43,RawData,AI$4,FALSE)*VLOOKUP(AI$3,ConversionFactors,2,FALSE)/1000</t>
  </si>
  <si>
    <t>-VLOOKUP($B43,RawData,AJ$4,FALSE)*VLOOKUP(AJ$3,ConversionFactors,2,FALSE)/1000</t>
  </si>
  <si>
    <t>-VLOOKUP($B43,RawData,AK$4,FALSE)*VLOOKUP(AK$3,ConversionFactors,2,FALSE)/1000</t>
  </si>
  <si>
    <t>-VLOOKUP($B43,RawData,AL$4,FALSE)*VLOOKUP(AL$3,ConversionFactors,2,FALSE)/1000</t>
  </si>
  <si>
    <t>-VLOOKUP($B43,RawData,AM$4,FALSE)*VLOOKUP(AM$3,ConversionFactors,2,FALSE)/1000</t>
  </si>
  <si>
    <t>-VLOOKUP($B43,RawData,AN$4,FALSE)*VLOOKUP(AN$3,ConversionFactors,2,FALSE)/1000</t>
  </si>
  <si>
    <t>-VLOOKUP($B43,RawData,AO$4,FALSE)*VLOOKUP(AO$3,ConversionFactors,2,FALSE)/1000</t>
  </si>
  <si>
    <t>-VLOOKUP($B43,RawData,AP$4,FALSE)*VLOOKUP(AP$3,ConversionFactors,2,FALSE)/1000</t>
  </si>
  <si>
    <t>-VLOOKUP($B43,RawData,AQ$4,FALSE)*VLOOKUP(AQ$3,ConversionFactors,2,FALSE)/1000</t>
  </si>
  <si>
    <t>-VLOOKUP($B43,RawData,AR$4,FALSE)*VLOOKUP(AR$3,ConversionFactors,2,FALSE)/1000</t>
  </si>
  <si>
    <t>-VLOOKUP($B43,RawData,AS$4,FALSE)*VLOOKUP(AS$3,ConversionFactors,2,FALSE)*1</t>
  </si>
  <si>
    <t>-VLOOKUP($B43,RawData,AT$4,FALSE)*1</t>
  </si>
  <si>
    <t>-VLOOKUP($B43,RawData,AU$4,FALSE)*1</t>
  </si>
  <si>
    <t>-VLOOKUP($B43,RawData,AV$4,FALSE)*1</t>
  </si>
  <si>
    <t>-VLOOKUP($B43,RawData,AW$4,FALSE)*1</t>
  </si>
  <si>
    <t>-VLOOKUP($B43,RawData,AX$4,FALSE)*1</t>
  </si>
  <si>
    <t>-VLOOKUP($B43,RawData,AY$4,FALSE)*VLOOKUP(AY$3,ConversionFactors,2,FALSE)/1000</t>
  </si>
  <si>
    <t>-VLOOKUP($B43,RawData,AZ$4,FALSE)*VLOOKUP(AZ$3,ConversionFactors,2,FALSE)/1000</t>
  </si>
  <si>
    <t>-VLOOKUP($B43,RawData,BA$4,FALSE)*VLOOKUP(BA$3,ConversionFactors,2,FALSE)/1000</t>
  </si>
  <si>
    <t>-VLOOKUP($B43,RawData,BB$4,FALSE)*VLOOKUP(BB$3,ConversionFactors,2,FALSE)/1000</t>
  </si>
  <si>
    <t>-VLOOKUP($B43,RawData,BC$4,FALSE)*1</t>
  </si>
  <si>
    <t>-VLOOKUP($B43,RawData,BD$4,FALSE)*VLOOKUP(BD$3,ConversionFactors,2,FALSE)/1000</t>
  </si>
  <si>
    <t>-VLOOKUP($B43,RawData,BG$4,FALSE)*1</t>
  </si>
  <si>
    <t>-VLOOKUP($B43,RawData,BI$4,FALSE)*1</t>
  </si>
  <si>
    <t>-VLOOKUP($B43,RawData,BM$4,FALSE)*3.6</t>
  </si>
  <si>
    <t>-VLOOKUP($B43,RawData,BN$4,FALSE)*1</t>
  </si>
  <si>
    <t>-VLOOKUP($B44,RawData,E$4,FALSE)*VLOOKUP(E$3,ConversionFactors,$D44,FALSE)/1000</t>
  </si>
  <si>
    <t>-VLOOKUP($B44,RawData,F$4,FALSE)*VLOOKUP(F$3,ConversionFactors,$D44,FALSE)/1000</t>
  </si>
  <si>
    <t>-VLOOKUP($B44,RawData,G$4,FALSE)*VLOOKUP(G$3,ConversionFactors,$D44,FALSE)/1000</t>
  </si>
  <si>
    <t>-VLOOKUP($B44,RawData,H$4,FALSE)*VLOOKUP(H$3,ConversionFactors,$D44,FALSE)/1000</t>
  </si>
  <si>
    <t>-VLOOKUP($B44,RawData,I$4,FALSE)*VLOOKUP(I$3,ConversionFactors,$D44,FALSE)/1000</t>
  </si>
  <si>
    <t>-VLOOKUP($B44,RawData,J$4,FALSE)*VLOOKUP(J$3,ConversionFactors,$D44,FALSE)/1000</t>
  </si>
  <si>
    <t>-VLOOKUP($B44,RawData,K$4,FALSE)*VLOOKUP(K$3,ConversionFactors,$D44,FALSE)/1000</t>
  </si>
  <si>
    <t>-VLOOKUP($B44,RawData,L$4,FALSE)*VLOOKUP(L$3,ConversionFactors,$D44,FALSE)/1000</t>
  </si>
  <si>
    <t>-VLOOKUP($B44,RawData,M$4,FALSE)*VLOOKUP(M$3,ConversionFactors,$D44,FALSE)/1000</t>
  </si>
  <si>
    <t>-VLOOKUP($B44,RawData,N$4,FALSE)*VLOOKUP(N$3,ConversionFactors,$D44,FALSE)/1000</t>
  </si>
  <si>
    <t>-VLOOKUP($B44,RawData,O$4,FALSE)*VLOOKUP(O$3,ConversionFactors,2,FALSE)*1</t>
  </si>
  <si>
    <t>-VLOOKUP($B44,RawData,P$4,FALSE)*VLOOKUP(P$3,ConversionFactors,2,FALSE)*1</t>
  </si>
  <si>
    <t>-VLOOKUP($B44,RawData,Q$4,FALSE)*VLOOKUP(Q$3,ConversionFactors,2,FALSE)*1</t>
  </si>
  <si>
    <t>-VLOOKUP($B44,RawData,R$4,FALSE)*VLOOKUP(R$3,ConversionFactors,2,FALSE)*1</t>
  </si>
  <si>
    <t>-VLOOKUP($B44,RawData,T$4,FALSE)*VLOOKUP(T$3,ConversionFactors,$D44,FALSE)/1000</t>
  </si>
  <si>
    <t>-VLOOKUP($B44,RawData,U$4,FALSE)*VLOOKUP(U$3,ConversionFactors,$D44,FALSE)/1000</t>
  </si>
  <si>
    <t>-VLOOKUP($B44,RawData,V$4,FALSE)*VLOOKUP(V$3,ConversionFactors,$D44,FALSE)/1000</t>
  </si>
  <si>
    <t>-VLOOKUP($B44,RawData,W$4,FALSE)*VLOOKUP(W$3,ConversionFactors,2,FALSE)/1000</t>
  </si>
  <si>
    <t>-VLOOKUP($B44,RawData,X$4,FALSE)*VLOOKUP(X$3,ConversionFactors,2,FALSE)/1000</t>
  </si>
  <si>
    <t>-VLOOKUP($B44,RawData,Y$4,FALSE)*VLOOKUP(Y$3,ConversionFactors,2,FALSE)/1000</t>
  </si>
  <si>
    <t>-VLOOKUP($B44,RawData,Z$4,FALSE)*VLOOKUP(Z$3,ConversionFactors,2,FALSE)/1000</t>
  </si>
  <si>
    <t>-VLOOKUP($B44,RawData,AA$4,FALSE)*VLOOKUP(AA$3,ConversionFactors,2,FALSE)/1000</t>
  </si>
  <si>
    <t>-VLOOKUP($B44,RawData,AB$4,FALSE)*VLOOKUP(AB$3,ConversionFactors,2,FALSE)/1000</t>
  </si>
  <si>
    <t>-VLOOKUP($B44,RawData,AC$4,FALSE)*VLOOKUP(AC$3,ConversionFactors,2,FALSE)/1000</t>
  </si>
  <si>
    <t>-VLOOKUP($B44,RawData,AD$4,FALSE)*VLOOKUP(AD$3,ConversionFactors,2,FALSE)/1000</t>
  </si>
  <si>
    <t>-VLOOKUP($B44,RawData,AE$4,FALSE)*VLOOKUP(AE$3,ConversionFactors,2,FALSE)/1000</t>
  </si>
  <si>
    <t>-VLOOKUP($B44,RawData,AF$4,FALSE)*VLOOKUP(AF$3,ConversionFactors,2,FALSE)/1000</t>
  </si>
  <si>
    <t>-VLOOKUP($B44,RawData,AG$4,FALSE)*VLOOKUP(AG$3,ConversionFactors,2,FALSE)/1000</t>
  </si>
  <si>
    <t>-VLOOKUP($B44,RawData,AH$4,FALSE)*VLOOKUP(AH$3,ConversionFactors,2,FALSE)/1000</t>
  </si>
  <si>
    <t>-VLOOKUP($B44,RawData,AI$4,FALSE)*VLOOKUP(AI$3,ConversionFactors,2,FALSE)/1000</t>
  </si>
  <si>
    <t>-VLOOKUP($B44,RawData,AJ$4,FALSE)*VLOOKUP(AJ$3,ConversionFactors,2,FALSE)/1000</t>
  </si>
  <si>
    <t>-VLOOKUP($B44,RawData,AK$4,FALSE)*VLOOKUP(AK$3,ConversionFactors,2,FALSE)/1000</t>
  </si>
  <si>
    <t>-VLOOKUP($B44,RawData,AL$4,FALSE)*VLOOKUP(AL$3,ConversionFactors,2,FALSE)/1000</t>
  </si>
  <si>
    <t>-VLOOKUP($B44,RawData,AM$4,FALSE)*VLOOKUP(AM$3,ConversionFactors,2,FALSE)/1000</t>
  </si>
  <si>
    <t>-VLOOKUP($B44,RawData,AN$4,FALSE)*VLOOKUP(AN$3,ConversionFactors,2,FALSE)/1000</t>
  </si>
  <si>
    <t>-VLOOKUP($B44,RawData,AO$4,FALSE)*VLOOKUP(AO$3,ConversionFactors,2,FALSE)/1000</t>
  </si>
  <si>
    <t>-VLOOKUP($B44,RawData,AP$4,FALSE)*VLOOKUP(AP$3,ConversionFactors,2,FALSE)/1000</t>
  </si>
  <si>
    <t>-VLOOKUP($B44,RawData,AQ$4,FALSE)*VLOOKUP(AQ$3,ConversionFactors,2,FALSE)/1000</t>
  </si>
  <si>
    <t>-VLOOKUP($B44,RawData,AR$4,FALSE)*VLOOKUP(AR$3,ConversionFactors,2,FALSE)/1000</t>
  </si>
  <si>
    <t>-VLOOKUP($B44,RawData,AS$4,FALSE)*VLOOKUP(AS$3,ConversionFactors,2,FALSE)*1</t>
  </si>
  <si>
    <t>-VLOOKUP($B44,RawData,AT$4,FALSE)*1</t>
  </si>
  <si>
    <t>-VLOOKUP($B44,RawData,AU$4,FALSE)*1</t>
  </si>
  <si>
    <t>-VLOOKUP($B44,RawData,AV$4,FALSE)*1</t>
  </si>
  <si>
    <t>-VLOOKUP($B44,RawData,AW$4,FALSE)*1</t>
  </si>
  <si>
    <t>-VLOOKUP($B44,RawData,AX$4,FALSE)*1</t>
  </si>
  <si>
    <t>-VLOOKUP($B44,RawData,AY$4,FALSE)*VLOOKUP(AY$3,ConversionFactors,2,FALSE)/1000</t>
  </si>
  <si>
    <t>-VLOOKUP($B44,RawData,AZ$4,FALSE)*VLOOKUP(AZ$3,ConversionFactors,2,FALSE)/1000</t>
  </si>
  <si>
    <t>-VLOOKUP($B44,RawData,BA$4,FALSE)*VLOOKUP(BA$3,ConversionFactors,2,FALSE)/1000</t>
  </si>
  <si>
    <t>-VLOOKUP($B44,RawData,BB$4,FALSE)*VLOOKUP(BB$3,ConversionFactors,2,FALSE)/1000</t>
  </si>
  <si>
    <t>-VLOOKUP($B44,RawData,BC$4,FALSE)*1</t>
  </si>
  <si>
    <t>-VLOOKUP($B44,RawData,BD$4,FALSE)*VLOOKUP(BD$3,ConversionFactors,2,FALSE)/1000</t>
  </si>
  <si>
    <t>-VLOOKUP($B44,RawData,BG$4,FALSE)*1</t>
  </si>
  <si>
    <t>-VLOOKUP($B44,RawData,BI$4,FALSE)*1</t>
  </si>
  <si>
    <t>-VLOOKUP($B44,RawData,BM$4,FALSE)*3.6</t>
  </si>
  <si>
    <t>-VLOOKUP($B44,RawData,BN$4,FALSE)*1</t>
  </si>
  <si>
    <t>-VLOOKUP($B45,RawData,E$4,FALSE)*VLOOKUP(E$3,ConversionFactors,$D45,FALSE)/1000</t>
  </si>
  <si>
    <t>-VLOOKUP($B45,RawData,F$4,FALSE)*VLOOKUP(F$3,ConversionFactors,$D45,FALSE)/1000</t>
  </si>
  <si>
    <t>-VLOOKUP($B45,RawData,G$4,FALSE)*VLOOKUP(G$3,ConversionFactors,$D45,FALSE)/1000</t>
  </si>
  <si>
    <t>-VLOOKUP($B45,RawData,H$4,FALSE)*VLOOKUP(H$3,ConversionFactors,$D45,FALSE)/1000</t>
  </si>
  <si>
    <t>-VLOOKUP($B45,RawData,I$4,FALSE)*VLOOKUP(I$3,ConversionFactors,$D45,FALSE)/1000</t>
  </si>
  <si>
    <t>-VLOOKUP($B45,RawData,J$4,FALSE)*VLOOKUP(J$3,ConversionFactors,$D45,FALSE)/1000</t>
  </si>
  <si>
    <t>-VLOOKUP($B45,RawData,K$4,FALSE)*VLOOKUP(K$3,ConversionFactors,$D45,FALSE)/1000</t>
  </si>
  <si>
    <t>-VLOOKUP($B45,RawData,L$4,FALSE)*VLOOKUP(L$3,ConversionFactors,$D45,FALSE)/1000</t>
  </si>
  <si>
    <t>-VLOOKUP($B45,RawData,M$4,FALSE)*VLOOKUP(M$3,ConversionFactors,$D45,FALSE)/1000</t>
  </si>
  <si>
    <t>-VLOOKUP($B45,RawData,N$4,FALSE)*VLOOKUP(N$3,ConversionFactors,$D45,FALSE)/1000</t>
  </si>
  <si>
    <t>-VLOOKUP($B45,RawData,O$4,FALSE)*VLOOKUP(O$3,ConversionFactors,2,FALSE)*1</t>
  </si>
  <si>
    <t>-VLOOKUP($B45,RawData,P$4,FALSE)*VLOOKUP(P$3,ConversionFactors,2,FALSE)*1</t>
  </si>
  <si>
    <t>-VLOOKUP($B45,RawData,Q$4,FALSE)*VLOOKUP(Q$3,ConversionFactors,2,FALSE)*1</t>
  </si>
  <si>
    <t>-VLOOKUP($B45,RawData,R$4,FALSE)*VLOOKUP(R$3,ConversionFactors,2,FALSE)*1</t>
  </si>
  <si>
    <t>-VLOOKUP($B45,RawData,T$4,FALSE)*VLOOKUP(T$3,ConversionFactors,$D45,FALSE)/1000</t>
  </si>
  <si>
    <t>-VLOOKUP($B45,RawData,U$4,FALSE)*VLOOKUP(U$3,ConversionFactors,$D45,FALSE)/1000</t>
  </si>
  <si>
    <t>-VLOOKUP($B45,RawData,V$4,FALSE)*VLOOKUP(V$3,ConversionFactors,$D45,FALSE)/1000</t>
  </si>
  <si>
    <t>-VLOOKUP($B45,RawData,W$4,FALSE)*VLOOKUP(W$3,ConversionFactors,2,FALSE)/1000</t>
  </si>
  <si>
    <t>-VLOOKUP($B45,RawData,X$4,FALSE)*VLOOKUP(X$3,ConversionFactors,2,FALSE)/1000</t>
  </si>
  <si>
    <t>-VLOOKUP($B45,RawData,Y$4,FALSE)*VLOOKUP(Y$3,ConversionFactors,2,FALSE)/1000</t>
  </si>
  <si>
    <t>-VLOOKUP($B45,RawData,Z$4,FALSE)*VLOOKUP(Z$3,ConversionFactors,2,FALSE)/1000</t>
  </si>
  <si>
    <t>-VLOOKUP($B45,RawData,AA$4,FALSE)*VLOOKUP(AA$3,ConversionFactors,2,FALSE)/1000</t>
  </si>
  <si>
    <t>-VLOOKUP($B45,RawData,AB$4,FALSE)*VLOOKUP(AB$3,ConversionFactors,2,FALSE)/1000</t>
  </si>
  <si>
    <t>-VLOOKUP($B45,RawData,AC$4,FALSE)*VLOOKUP(AC$3,ConversionFactors,2,FALSE)/1000</t>
  </si>
  <si>
    <t>-VLOOKUP($B45,RawData,AD$4,FALSE)*VLOOKUP(AD$3,ConversionFactors,2,FALSE)/1000</t>
  </si>
  <si>
    <t>-VLOOKUP($B45,RawData,AE$4,FALSE)*VLOOKUP(AE$3,ConversionFactors,2,FALSE)/1000</t>
  </si>
  <si>
    <t>-VLOOKUP($B45,RawData,AF$4,FALSE)*VLOOKUP(AF$3,ConversionFactors,2,FALSE)/1000</t>
  </si>
  <si>
    <t>-VLOOKUP($B45,RawData,AG$4,FALSE)*VLOOKUP(AG$3,ConversionFactors,2,FALSE)/1000</t>
  </si>
  <si>
    <t>-VLOOKUP($B45,RawData,AH$4,FALSE)*VLOOKUP(AH$3,ConversionFactors,2,FALSE)/1000</t>
  </si>
  <si>
    <t>-VLOOKUP($B45,RawData,AI$4,FALSE)*VLOOKUP(AI$3,ConversionFactors,2,FALSE)/1000</t>
  </si>
  <si>
    <t>-VLOOKUP($B45,RawData,AJ$4,FALSE)*VLOOKUP(AJ$3,ConversionFactors,2,FALSE)/1000</t>
  </si>
  <si>
    <t>-VLOOKUP($B45,RawData,AK$4,FALSE)*VLOOKUP(AK$3,ConversionFactors,2,FALSE)/1000</t>
  </si>
  <si>
    <t>-VLOOKUP($B45,RawData,AL$4,FALSE)*VLOOKUP(AL$3,ConversionFactors,2,FALSE)/1000</t>
  </si>
  <si>
    <t>-VLOOKUP($B45,RawData,AM$4,FALSE)*VLOOKUP(AM$3,ConversionFactors,2,FALSE)/1000</t>
  </si>
  <si>
    <t>-VLOOKUP($B45,RawData,AN$4,FALSE)*VLOOKUP(AN$3,ConversionFactors,2,FALSE)/1000</t>
  </si>
  <si>
    <t>-VLOOKUP($B45,RawData,AO$4,FALSE)*VLOOKUP(AO$3,ConversionFactors,2,FALSE)/1000</t>
  </si>
  <si>
    <t>-VLOOKUP($B45,RawData,AP$4,FALSE)*VLOOKUP(AP$3,ConversionFactors,2,FALSE)/1000</t>
  </si>
  <si>
    <t>-VLOOKUP($B45,RawData,AQ$4,FALSE)*VLOOKUP(AQ$3,ConversionFactors,2,FALSE)/1000</t>
  </si>
  <si>
    <t>-VLOOKUP($B45,RawData,AR$4,FALSE)*VLOOKUP(AR$3,ConversionFactors,2,FALSE)/1000</t>
  </si>
  <si>
    <t>-VLOOKUP($B45,RawData,AS$4,FALSE)*VLOOKUP(AS$3,ConversionFactors,2,FALSE)*1</t>
  </si>
  <si>
    <t>-VLOOKUP($B45,RawData,AT$4,FALSE)*1</t>
  </si>
  <si>
    <t>-VLOOKUP($B45,RawData,AU$4,FALSE)*1</t>
  </si>
  <si>
    <t>-VLOOKUP($B45,RawData,AV$4,FALSE)*1</t>
  </si>
  <si>
    <t>-VLOOKUP($B45,RawData,AW$4,FALSE)*1</t>
  </si>
  <si>
    <t>-VLOOKUP($B45,RawData,AX$4,FALSE)*1</t>
  </si>
  <si>
    <t>-VLOOKUP($B45,RawData,AY$4,FALSE)*VLOOKUP(AY$3,ConversionFactors,2,FALSE)/1000</t>
  </si>
  <si>
    <t>-VLOOKUP($B45,RawData,AZ$4,FALSE)*VLOOKUP(AZ$3,ConversionFactors,2,FALSE)/1000</t>
  </si>
  <si>
    <t>-VLOOKUP($B45,RawData,BA$4,FALSE)*VLOOKUP(BA$3,ConversionFactors,2,FALSE)/1000</t>
  </si>
  <si>
    <t>-VLOOKUP($B45,RawData,BB$4,FALSE)*VLOOKUP(BB$3,ConversionFactors,2,FALSE)/1000</t>
  </si>
  <si>
    <t>-VLOOKUP($B45,RawData,BC$4,FALSE)*1</t>
  </si>
  <si>
    <t>-VLOOKUP($B45,RawData,BD$4,FALSE)*VLOOKUP(BD$3,ConversionFactors,2,FALSE)/1000</t>
  </si>
  <si>
    <t>-VLOOKUP($B45,RawData,BG$4,FALSE)*1</t>
  </si>
  <si>
    <t>-VLOOKUP($B45,RawData,BI$4,FALSE)*1</t>
  </si>
  <si>
    <t>-VLOOKUP($B45,RawData,BM$4,FALSE)*3.6</t>
  </si>
  <si>
    <t>-VLOOKUP($B45,RawData,BN$4,FALSE)*1</t>
  </si>
  <si>
    <t>-VLOOKUP($B46,RawData,E$4,FALSE)*VLOOKUP(E$3,ConversionFactors,$D46,FALSE)/1000</t>
  </si>
  <si>
    <t>-VLOOKUP($B46,RawData,F$4,FALSE)*VLOOKUP(F$3,ConversionFactors,$D46,FALSE)/1000</t>
  </si>
  <si>
    <t>-VLOOKUP($B46,RawData,G$4,FALSE)*VLOOKUP(G$3,ConversionFactors,$D46,FALSE)/1000</t>
  </si>
  <si>
    <t>-VLOOKUP($B46,RawData,H$4,FALSE)*VLOOKUP(H$3,ConversionFactors,$D46,FALSE)/1000</t>
  </si>
  <si>
    <t>-VLOOKUP($B46,RawData,I$4,FALSE)*VLOOKUP(I$3,ConversionFactors,$D46,FALSE)/1000</t>
  </si>
  <si>
    <t>-VLOOKUP($B46,RawData,J$4,FALSE)*VLOOKUP(J$3,ConversionFactors,$D46,FALSE)/1000</t>
  </si>
  <si>
    <t>-VLOOKUP($B46,RawData,K$4,FALSE)*VLOOKUP(K$3,ConversionFactors,$D46,FALSE)/1000</t>
  </si>
  <si>
    <t>-VLOOKUP($B46,RawData,L$4,FALSE)*VLOOKUP(L$3,ConversionFactors,$D46,FALSE)/1000</t>
  </si>
  <si>
    <t>-VLOOKUP($B46,RawData,M$4,FALSE)*VLOOKUP(M$3,ConversionFactors,$D46,FALSE)/1000</t>
  </si>
  <si>
    <t>-VLOOKUP($B46,RawData,N$4,FALSE)*VLOOKUP(N$3,ConversionFactors,$D46,FALSE)/1000</t>
  </si>
  <si>
    <t>-VLOOKUP($B46,RawData,O$4,FALSE)*VLOOKUP(O$3,ConversionFactors,2,FALSE)*1</t>
  </si>
  <si>
    <t>-VLOOKUP($B46,RawData,P$4,FALSE)*VLOOKUP(P$3,ConversionFactors,2,FALSE)*1</t>
  </si>
  <si>
    <t>-VLOOKUP($B46,RawData,Q$4,FALSE)*VLOOKUP(Q$3,ConversionFactors,2,FALSE)*1</t>
  </si>
  <si>
    <t>-VLOOKUP($B46,RawData,R$4,FALSE)*VLOOKUP(R$3,ConversionFactors,2,FALSE)*1</t>
  </si>
  <si>
    <t>-VLOOKUP($B46,RawData,T$4,FALSE)*VLOOKUP(T$3,ConversionFactors,$D46,FALSE)/1000</t>
  </si>
  <si>
    <t>-VLOOKUP($B46,RawData,U$4,FALSE)*VLOOKUP(U$3,ConversionFactors,$D46,FALSE)/1000</t>
  </si>
  <si>
    <t>-VLOOKUP($B46,RawData,V$4,FALSE)*VLOOKUP(V$3,ConversionFactors,$D46,FALSE)/1000</t>
  </si>
  <si>
    <t>-VLOOKUP($B46,RawData,W$4,FALSE)*VLOOKUP(W$3,ConversionFactors,2,FALSE)/1000</t>
  </si>
  <si>
    <t>-VLOOKUP($B46,RawData,X$4,FALSE)*VLOOKUP(X$3,ConversionFactors,2,FALSE)/1000</t>
  </si>
  <si>
    <t>-VLOOKUP($B46,RawData,Y$4,FALSE)*VLOOKUP(Y$3,ConversionFactors,2,FALSE)/1000</t>
  </si>
  <si>
    <t>-VLOOKUP($B46,RawData,Z$4,FALSE)*VLOOKUP(Z$3,ConversionFactors,2,FALSE)/1000</t>
  </si>
  <si>
    <t>-VLOOKUP($B46,RawData,AA$4,FALSE)*VLOOKUP(AA$3,ConversionFactors,2,FALSE)/1000</t>
  </si>
  <si>
    <t>-VLOOKUP($B46,RawData,AB$4,FALSE)*VLOOKUP(AB$3,ConversionFactors,2,FALSE)/1000</t>
  </si>
  <si>
    <t>-VLOOKUP($B46,RawData,AC$4,FALSE)*VLOOKUP(AC$3,ConversionFactors,2,FALSE)/1000</t>
  </si>
  <si>
    <t>-VLOOKUP($B46,RawData,AD$4,FALSE)*VLOOKUP(AD$3,ConversionFactors,2,FALSE)/1000</t>
  </si>
  <si>
    <t>-VLOOKUP($B46,RawData,AE$4,FALSE)*VLOOKUP(AE$3,ConversionFactors,2,FALSE)/1000</t>
  </si>
  <si>
    <t>-VLOOKUP($B46,RawData,AF$4,FALSE)*VLOOKUP(AF$3,ConversionFactors,2,FALSE)/1000</t>
  </si>
  <si>
    <t>-VLOOKUP($B46,RawData,AG$4,FALSE)*VLOOKUP(AG$3,ConversionFactors,2,FALSE)/1000</t>
  </si>
  <si>
    <t>-VLOOKUP($B46,RawData,AH$4,FALSE)*VLOOKUP(AH$3,ConversionFactors,2,FALSE)/1000</t>
  </si>
  <si>
    <t>-VLOOKUP($B46,RawData,AI$4,FALSE)*VLOOKUP(AI$3,ConversionFactors,2,FALSE)/1000</t>
  </si>
  <si>
    <t>-VLOOKUP($B46,RawData,AJ$4,FALSE)*VLOOKUP(AJ$3,ConversionFactors,2,FALSE)/1000</t>
  </si>
  <si>
    <t>-VLOOKUP($B46,RawData,AK$4,FALSE)*VLOOKUP(AK$3,ConversionFactors,2,FALSE)/1000</t>
  </si>
  <si>
    <t>-VLOOKUP($B46,RawData,AL$4,FALSE)*VLOOKUP(AL$3,ConversionFactors,2,FALSE)/1000</t>
  </si>
  <si>
    <t>-VLOOKUP($B46,RawData,AM$4,FALSE)*VLOOKUP(AM$3,ConversionFactors,2,FALSE)/1000</t>
  </si>
  <si>
    <t>-VLOOKUP($B46,RawData,AN$4,FALSE)*VLOOKUP(AN$3,ConversionFactors,2,FALSE)/1000</t>
  </si>
  <si>
    <t>-VLOOKUP($B46,RawData,AO$4,FALSE)*VLOOKUP(AO$3,ConversionFactors,2,FALSE)/1000</t>
  </si>
  <si>
    <t>-VLOOKUP($B46,RawData,AP$4,FALSE)*VLOOKUP(AP$3,ConversionFactors,2,FALSE)/1000</t>
  </si>
  <si>
    <t>-VLOOKUP($B46,RawData,AQ$4,FALSE)*VLOOKUP(AQ$3,ConversionFactors,2,FALSE)/1000</t>
  </si>
  <si>
    <t>-VLOOKUP($B46,RawData,AR$4,FALSE)*VLOOKUP(AR$3,ConversionFactors,2,FALSE)/1000</t>
  </si>
  <si>
    <t>-VLOOKUP($B46,RawData,AS$4,FALSE)*VLOOKUP(AS$3,ConversionFactors,2,FALSE)*1</t>
  </si>
  <si>
    <t>-VLOOKUP($B46,RawData,AT$4,FALSE)*1</t>
  </si>
  <si>
    <t>-VLOOKUP($B46,RawData,AU$4,FALSE)*1</t>
  </si>
  <si>
    <t>-VLOOKUP($B46,RawData,AV$4,FALSE)*1</t>
  </si>
  <si>
    <t>-VLOOKUP($B46,RawData,AW$4,FALSE)*1</t>
  </si>
  <si>
    <t>-VLOOKUP($B46,RawData,AX$4,FALSE)*1</t>
  </si>
  <si>
    <t>-VLOOKUP($B46,RawData,AY$4,FALSE)*VLOOKUP(AY$3,ConversionFactors,2,FALSE)/1000</t>
  </si>
  <si>
    <t>-VLOOKUP($B46,RawData,AZ$4,FALSE)*VLOOKUP(AZ$3,ConversionFactors,2,FALSE)/1000</t>
  </si>
  <si>
    <t>-VLOOKUP($B46,RawData,BA$4,FALSE)*VLOOKUP(BA$3,ConversionFactors,2,FALSE)/1000</t>
  </si>
  <si>
    <t>-VLOOKUP($B46,RawData,BB$4,FALSE)*VLOOKUP(BB$3,ConversionFactors,2,FALSE)/1000</t>
  </si>
  <si>
    <t>-VLOOKUP($B46,RawData,BC$4,FALSE)*1</t>
  </si>
  <si>
    <t>-VLOOKUP($B46,RawData,BD$4,FALSE)*VLOOKUP(BD$3,ConversionFactors,2,FALSE)/1000</t>
  </si>
  <si>
    <t>-VLOOKUP($B46,RawData,BG$4,FALSE)*1</t>
  </si>
  <si>
    <t>-VLOOKUP($B46,RawData,BI$4,FALSE)*1</t>
  </si>
  <si>
    <t>-VLOOKUP($B46,RawData,BM$4,FALSE)*3.6</t>
  </si>
  <si>
    <t>-VLOOKUP($B46,RawData,BN$4,FALSE)*1</t>
  </si>
  <si>
    <t>-VLOOKUP($B47,RawData,E$4,FALSE)*VLOOKUP(E$3,ConversionFactors,$D47,FALSE)/1000</t>
  </si>
  <si>
    <t>-VLOOKUP($B47,RawData,F$4,FALSE)*VLOOKUP(F$3,ConversionFactors,$D47,FALSE)/1000</t>
  </si>
  <si>
    <t>-VLOOKUP($B47,RawData,G$4,FALSE)*VLOOKUP(G$3,ConversionFactors,$D47,FALSE)/1000</t>
  </si>
  <si>
    <t>-VLOOKUP($B47,RawData,H$4,FALSE)*VLOOKUP(H$3,ConversionFactors,$D47,FALSE)/1000</t>
  </si>
  <si>
    <t>-VLOOKUP($B47,RawData,I$4,FALSE)*VLOOKUP(I$3,ConversionFactors,$D47,FALSE)/1000</t>
  </si>
  <si>
    <t>-VLOOKUP($B47,RawData,J$4,FALSE)*VLOOKUP(J$3,ConversionFactors,$D47,FALSE)/1000</t>
  </si>
  <si>
    <t>-VLOOKUP($B47,RawData,K$4,FALSE)*VLOOKUP(K$3,ConversionFactors,$D47,FALSE)/1000</t>
  </si>
  <si>
    <t>-VLOOKUP($B47,RawData,L$4,FALSE)*VLOOKUP(L$3,ConversionFactors,$D47,FALSE)/1000</t>
  </si>
  <si>
    <t>-VLOOKUP($B47,RawData,M$4,FALSE)*VLOOKUP(M$3,ConversionFactors,$D47,FALSE)/1000</t>
  </si>
  <si>
    <t>-VLOOKUP($B47,RawData,N$4,FALSE)*VLOOKUP(N$3,ConversionFactors,$D47,FALSE)/1000</t>
  </si>
  <si>
    <t>-VLOOKUP($B47,RawData,O$4,FALSE)*VLOOKUP(O$3,ConversionFactors,2,FALSE)*1</t>
  </si>
  <si>
    <t>-VLOOKUP($B47,RawData,P$4,FALSE)*VLOOKUP(P$3,ConversionFactors,2,FALSE)*1</t>
  </si>
  <si>
    <t>-VLOOKUP($B47,RawData,Q$4,FALSE)*VLOOKUP(Q$3,ConversionFactors,2,FALSE)*1</t>
  </si>
  <si>
    <t>-VLOOKUP($B47,RawData,R$4,FALSE)*VLOOKUP(R$3,ConversionFactors,2,FALSE)*1</t>
  </si>
  <si>
    <t>-VLOOKUP($B47,RawData,T$4,FALSE)*VLOOKUP(T$3,ConversionFactors,$D47,FALSE)/1000</t>
  </si>
  <si>
    <t>-VLOOKUP($B47,RawData,U$4,FALSE)*VLOOKUP(U$3,ConversionFactors,$D47,FALSE)/1000</t>
  </si>
  <si>
    <t>-VLOOKUP($B47,RawData,V$4,FALSE)*VLOOKUP(V$3,ConversionFactors,$D47,FALSE)/1000</t>
  </si>
  <si>
    <t>-VLOOKUP($B47,RawData,W$4,FALSE)*VLOOKUP(W$3,ConversionFactors,2,FALSE)/1000</t>
  </si>
  <si>
    <t>-VLOOKUP($B47,RawData,X$4,FALSE)*VLOOKUP(X$3,ConversionFactors,2,FALSE)/1000</t>
  </si>
  <si>
    <t>-VLOOKUP($B47,RawData,Y$4,FALSE)*VLOOKUP(Y$3,ConversionFactors,2,FALSE)/1000</t>
  </si>
  <si>
    <t>-VLOOKUP($B47,RawData,Z$4,FALSE)*VLOOKUP(Z$3,ConversionFactors,2,FALSE)/1000</t>
  </si>
  <si>
    <t>-VLOOKUP($B47,RawData,AA$4,FALSE)*VLOOKUP(AA$3,ConversionFactors,2,FALSE)/1000</t>
  </si>
  <si>
    <t>-VLOOKUP($B47,RawData,AB$4,FALSE)*VLOOKUP(AB$3,ConversionFactors,2,FALSE)/1000</t>
  </si>
  <si>
    <t>-VLOOKUP($B47,RawData,AC$4,FALSE)*VLOOKUP(AC$3,ConversionFactors,2,FALSE)/1000</t>
  </si>
  <si>
    <t>-VLOOKUP($B47,RawData,AD$4,FALSE)*VLOOKUP(AD$3,ConversionFactors,2,FALSE)/1000</t>
  </si>
  <si>
    <t>-VLOOKUP($B47,RawData,AE$4,FALSE)*VLOOKUP(AE$3,ConversionFactors,2,FALSE)/1000</t>
  </si>
  <si>
    <t>-VLOOKUP($B47,RawData,AF$4,FALSE)*VLOOKUP(AF$3,ConversionFactors,2,FALSE)/1000</t>
  </si>
  <si>
    <t>-VLOOKUP($B47,RawData,AG$4,FALSE)*VLOOKUP(AG$3,ConversionFactors,2,FALSE)/1000</t>
  </si>
  <si>
    <t>-VLOOKUP($B47,RawData,AH$4,FALSE)*VLOOKUP(AH$3,ConversionFactors,2,FALSE)/1000</t>
  </si>
  <si>
    <t>-VLOOKUP($B47,RawData,AI$4,FALSE)*VLOOKUP(AI$3,ConversionFactors,2,FALSE)/1000</t>
  </si>
  <si>
    <t>-VLOOKUP($B47,RawData,AJ$4,FALSE)*VLOOKUP(AJ$3,ConversionFactors,2,FALSE)/1000</t>
  </si>
  <si>
    <t>-VLOOKUP($B47,RawData,AK$4,FALSE)*VLOOKUP(AK$3,ConversionFactors,2,FALSE)/1000</t>
  </si>
  <si>
    <t>-VLOOKUP($B47,RawData,AL$4,FALSE)*VLOOKUP(AL$3,ConversionFactors,2,FALSE)/1000</t>
  </si>
  <si>
    <t>-VLOOKUP($B47,RawData,AM$4,FALSE)*VLOOKUP(AM$3,ConversionFactors,2,FALSE)/1000</t>
  </si>
  <si>
    <t>-VLOOKUP($B47,RawData,AN$4,FALSE)*VLOOKUP(AN$3,ConversionFactors,2,FALSE)/1000</t>
  </si>
  <si>
    <t>-VLOOKUP($B47,RawData,AO$4,FALSE)*VLOOKUP(AO$3,ConversionFactors,2,FALSE)/1000</t>
  </si>
  <si>
    <t>-VLOOKUP($B47,RawData,AP$4,FALSE)*VLOOKUP(AP$3,ConversionFactors,2,FALSE)/1000</t>
  </si>
  <si>
    <t>-VLOOKUP($B47,RawData,AQ$4,FALSE)*VLOOKUP(AQ$3,ConversionFactors,2,FALSE)/1000</t>
  </si>
  <si>
    <t>-VLOOKUP($B47,RawData,AR$4,FALSE)*VLOOKUP(AR$3,ConversionFactors,2,FALSE)/1000</t>
  </si>
  <si>
    <t>-VLOOKUP($B47,RawData,AS$4,FALSE)*VLOOKUP(AS$3,ConversionFactors,2,FALSE)*1</t>
  </si>
  <si>
    <t>-VLOOKUP($B47,RawData,AT$4,FALSE)*1</t>
  </si>
  <si>
    <t>-VLOOKUP($B47,RawData,AU$4,FALSE)*1</t>
  </si>
  <si>
    <t>-VLOOKUP($B47,RawData,AV$4,FALSE)*1</t>
  </si>
  <si>
    <t>-VLOOKUP($B47,RawData,AW$4,FALSE)*1</t>
  </si>
  <si>
    <t>-VLOOKUP($B47,RawData,AX$4,FALSE)*1</t>
  </si>
  <si>
    <t>-VLOOKUP($B47,RawData,AY$4,FALSE)*VLOOKUP(AY$3,ConversionFactors,2,FALSE)/1000</t>
  </si>
  <si>
    <t>-VLOOKUP($B47,RawData,AZ$4,FALSE)*VLOOKUP(AZ$3,ConversionFactors,2,FALSE)/1000</t>
  </si>
  <si>
    <t>-VLOOKUP($B47,RawData,BA$4,FALSE)*VLOOKUP(BA$3,ConversionFactors,2,FALSE)/1000</t>
  </si>
  <si>
    <t>-VLOOKUP($B47,RawData,BB$4,FALSE)*VLOOKUP(BB$3,ConversionFactors,2,FALSE)/1000</t>
  </si>
  <si>
    <t>-VLOOKUP($B47,RawData,BC$4,FALSE)*1</t>
  </si>
  <si>
    <t>-VLOOKUP($B47,RawData,BD$4,FALSE)*VLOOKUP(BD$3,ConversionFactors,2,FALSE)/1000</t>
  </si>
  <si>
    <t>-VLOOKUP($B47,RawData,BG$4,FALSE)*1</t>
  </si>
  <si>
    <t>-VLOOKUP($B47,RawData,BI$4,FALSE)*1</t>
  </si>
  <si>
    <t>-VLOOKUP($B47,RawData,BM$4,FALSE)*3.6</t>
  </si>
  <si>
    <t>-VLOOKUP($B47,RawData,BN$4,FALSE)*1</t>
  </si>
  <si>
    <t>-VLOOKUP($B48,RawData,E$4,FALSE)*VLOOKUP(E$3,ConversionFactors,$D48,FALSE)/1000</t>
  </si>
  <si>
    <t>-VLOOKUP($B48,RawData,F$4,FALSE)*VLOOKUP(F$3,ConversionFactors,$D48,FALSE)/1000</t>
  </si>
  <si>
    <t>-VLOOKUP($B48,RawData,G$4,FALSE)*VLOOKUP(G$3,ConversionFactors,$D48,FALSE)/1000</t>
  </si>
  <si>
    <t>-VLOOKUP($B48,RawData,H$4,FALSE)*VLOOKUP(H$3,ConversionFactors,$D48,FALSE)/1000</t>
  </si>
  <si>
    <t>-VLOOKUP($B48,RawData,I$4,FALSE)*VLOOKUP(I$3,ConversionFactors,$D48,FALSE)/1000</t>
  </si>
  <si>
    <t>-VLOOKUP($B48,RawData,J$4,FALSE)*VLOOKUP(J$3,ConversionFactors,$D48,FALSE)/1000</t>
  </si>
  <si>
    <t>-VLOOKUP($B48,RawData,K$4,FALSE)*VLOOKUP(K$3,ConversionFactors,$D48,FALSE)/1000</t>
  </si>
  <si>
    <t>-VLOOKUP($B48,RawData,L$4,FALSE)*VLOOKUP(L$3,ConversionFactors,$D48,FALSE)/1000</t>
  </si>
  <si>
    <t>-VLOOKUP($B48,RawData,M$4,FALSE)*VLOOKUP(M$3,ConversionFactors,$D48,FALSE)/1000</t>
  </si>
  <si>
    <t>-VLOOKUP($B48,RawData,N$4,FALSE)*VLOOKUP(N$3,ConversionFactors,$D48,FALSE)/1000</t>
  </si>
  <si>
    <t>-VLOOKUP($B48,RawData,O$4,FALSE)*VLOOKUP(O$3,ConversionFactors,2,FALSE)*1</t>
  </si>
  <si>
    <t>-VLOOKUP($B48,RawData,P$4,FALSE)*VLOOKUP(P$3,ConversionFactors,2,FALSE)*1</t>
  </si>
  <si>
    <t>-VLOOKUP($B48,RawData,Q$4,FALSE)*VLOOKUP(Q$3,ConversionFactors,2,FALSE)*1</t>
  </si>
  <si>
    <t>-VLOOKUP($B48,RawData,R$4,FALSE)*VLOOKUP(R$3,ConversionFactors,2,FALSE)*1</t>
  </si>
  <si>
    <t>-VLOOKUP($B48,RawData,T$4,FALSE)*VLOOKUP(T$3,ConversionFactors,$D48,FALSE)/1000</t>
  </si>
  <si>
    <t>-VLOOKUP($B48,RawData,U$4,FALSE)*VLOOKUP(U$3,ConversionFactors,$D48,FALSE)/1000</t>
  </si>
  <si>
    <t>-VLOOKUP($B48,RawData,V$4,FALSE)*VLOOKUP(V$3,ConversionFactors,$D48,FALSE)/1000</t>
  </si>
  <si>
    <t>-VLOOKUP($B48,RawData,W$4,FALSE)*VLOOKUP(W$3,ConversionFactors,2,FALSE)/1000</t>
  </si>
  <si>
    <t>-VLOOKUP($B48,RawData,X$4,FALSE)*VLOOKUP(X$3,ConversionFactors,2,FALSE)/1000</t>
  </si>
  <si>
    <t>-VLOOKUP($B48,RawData,Y$4,FALSE)*VLOOKUP(Y$3,ConversionFactors,2,FALSE)/1000</t>
  </si>
  <si>
    <t>-VLOOKUP($B48,RawData,Z$4,FALSE)*VLOOKUP(Z$3,ConversionFactors,2,FALSE)/1000</t>
  </si>
  <si>
    <t>-VLOOKUP($B48,RawData,AA$4,FALSE)*VLOOKUP(AA$3,ConversionFactors,2,FALSE)/1000</t>
  </si>
  <si>
    <t>-VLOOKUP($B48,RawData,AB$4,FALSE)*VLOOKUP(AB$3,ConversionFactors,2,FALSE)/1000</t>
  </si>
  <si>
    <t>-VLOOKUP($B48,RawData,AC$4,FALSE)*VLOOKUP(AC$3,ConversionFactors,2,FALSE)/1000</t>
  </si>
  <si>
    <t>-VLOOKUP($B48,RawData,AD$4,FALSE)*VLOOKUP(AD$3,ConversionFactors,2,FALSE)/1000</t>
  </si>
  <si>
    <t>-VLOOKUP($B48,RawData,AE$4,FALSE)*VLOOKUP(AE$3,ConversionFactors,2,FALSE)/1000</t>
  </si>
  <si>
    <t>-VLOOKUP($B48,RawData,AF$4,FALSE)*VLOOKUP(AF$3,ConversionFactors,2,FALSE)/1000</t>
  </si>
  <si>
    <t>-VLOOKUP($B48,RawData,AG$4,FALSE)*VLOOKUP(AG$3,ConversionFactors,2,FALSE)/1000</t>
  </si>
  <si>
    <t>-VLOOKUP($B48,RawData,AH$4,FALSE)*VLOOKUP(AH$3,ConversionFactors,2,FALSE)/1000</t>
  </si>
  <si>
    <t>-VLOOKUP($B48,RawData,AI$4,FALSE)*VLOOKUP(AI$3,ConversionFactors,2,FALSE)/1000</t>
  </si>
  <si>
    <t>-VLOOKUP($B48,RawData,AJ$4,FALSE)*VLOOKUP(AJ$3,ConversionFactors,2,FALSE)/1000</t>
  </si>
  <si>
    <t>-VLOOKUP($B48,RawData,AK$4,FALSE)*VLOOKUP(AK$3,ConversionFactors,2,FALSE)/1000</t>
  </si>
  <si>
    <t>-VLOOKUP($B48,RawData,AL$4,FALSE)*VLOOKUP(AL$3,ConversionFactors,2,FALSE)/1000</t>
  </si>
  <si>
    <t>-VLOOKUP($B48,RawData,AM$4,FALSE)*VLOOKUP(AM$3,ConversionFactors,2,FALSE)/1000</t>
  </si>
  <si>
    <t>-VLOOKUP($B48,RawData,AN$4,FALSE)*VLOOKUP(AN$3,ConversionFactors,2,FALSE)/1000</t>
  </si>
  <si>
    <t>-VLOOKUP($B48,RawData,AO$4,FALSE)*VLOOKUP(AO$3,ConversionFactors,2,FALSE)/1000</t>
  </si>
  <si>
    <t>-VLOOKUP($B48,RawData,AP$4,FALSE)*VLOOKUP(AP$3,ConversionFactors,2,FALSE)/1000</t>
  </si>
  <si>
    <t>-VLOOKUP($B48,RawData,AQ$4,FALSE)*VLOOKUP(AQ$3,ConversionFactors,2,FALSE)/1000</t>
  </si>
  <si>
    <t>-VLOOKUP($B48,RawData,AR$4,FALSE)*VLOOKUP(AR$3,ConversionFactors,2,FALSE)/1000</t>
  </si>
  <si>
    <t>-VLOOKUP($B48,RawData,AS$4,FALSE)*VLOOKUP(AS$3,ConversionFactors,2,FALSE)*1</t>
  </si>
  <si>
    <t>-VLOOKUP($B48,RawData,AT$4,FALSE)*1</t>
  </si>
  <si>
    <t>-VLOOKUP($B48,RawData,AU$4,FALSE)*1</t>
  </si>
  <si>
    <t>-VLOOKUP($B48,RawData,AV$4,FALSE)*1</t>
  </si>
  <si>
    <t>-VLOOKUP($B48,RawData,AW$4,FALSE)*1</t>
  </si>
  <si>
    <t>-VLOOKUP($B48,RawData,AX$4,FALSE)*1</t>
  </si>
  <si>
    <t>-VLOOKUP($B48,RawData,AY$4,FALSE)*VLOOKUP(AY$3,ConversionFactors,2,FALSE)/1000</t>
  </si>
  <si>
    <t>-VLOOKUP($B48,RawData,AZ$4,FALSE)*VLOOKUP(AZ$3,ConversionFactors,2,FALSE)/1000</t>
  </si>
  <si>
    <t>-VLOOKUP($B48,RawData,BA$4,FALSE)*VLOOKUP(BA$3,ConversionFactors,2,FALSE)/1000</t>
  </si>
  <si>
    <t>-VLOOKUP($B48,RawData,BB$4,FALSE)*VLOOKUP(BB$3,ConversionFactors,2,FALSE)/1000</t>
  </si>
  <si>
    <t>-VLOOKUP($B48,RawData,BC$4,FALSE)*1</t>
  </si>
  <si>
    <t>-VLOOKUP($B48,RawData,BD$4,FALSE)*VLOOKUP(BD$3,ConversionFactors,2,FALSE)/1000</t>
  </si>
  <si>
    <t>-VLOOKUP($B48,RawData,BG$4,FALSE)*1</t>
  </si>
  <si>
    <t>-VLOOKUP($B48,RawData,BI$4,FALSE)*1</t>
  </si>
  <si>
    <t>-VLOOKUP($B48,RawData,BM$4,FALSE)*3.6</t>
  </si>
  <si>
    <t>-VLOOKUP($B48,RawData,BN$4,FALSE)*1</t>
  </si>
  <si>
    <t>-VLOOKUP($B49,RawData,E$4,FALSE)*VLOOKUP(E$3,ConversionFactors,$D49,FALSE)/1000</t>
  </si>
  <si>
    <t>-VLOOKUP($B49,RawData,F$4,FALSE)*VLOOKUP(F$3,ConversionFactors,$D49,FALSE)/1000</t>
  </si>
  <si>
    <t>-VLOOKUP($B49,RawData,G$4,FALSE)*VLOOKUP(G$3,ConversionFactors,$D49,FALSE)/1000</t>
  </si>
  <si>
    <t>-VLOOKUP($B49,RawData,H$4,FALSE)*VLOOKUP(H$3,ConversionFactors,$D49,FALSE)/1000</t>
  </si>
  <si>
    <t>-VLOOKUP($B49,RawData,I$4,FALSE)*VLOOKUP(I$3,ConversionFactors,$D49,FALSE)/1000</t>
  </si>
  <si>
    <t>-VLOOKUP($B49,RawData,J$4,FALSE)*VLOOKUP(J$3,ConversionFactors,$D49,FALSE)/1000</t>
  </si>
  <si>
    <t>-VLOOKUP($B49,RawData,K$4,FALSE)*VLOOKUP(K$3,ConversionFactors,$D49,FALSE)/1000</t>
  </si>
  <si>
    <t>-VLOOKUP($B49,RawData,L$4,FALSE)*VLOOKUP(L$3,ConversionFactors,$D49,FALSE)/1000</t>
  </si>
  <si>
    <t>-VLOOKUP($B49,RawData,M$4,FALSE)*VLOOKUP(M$3,ConversionFactors,$D49,FALSE)/1000</t>
  </si>
  <si>
    <t>-VLOOKUP($B49,RawData,N$4,FALSE)*VLOOKUP(N$3,ConversionFactors,$D49,FALSE)/1000</t>
  </si>
  <si>
    <t>-VLOOKUP($B49,RawData,O$4,FALSE)*VLOOKUP(O$3,ConversionFactors,2,FALSE)*1</t>
  </si>
  <si>
    <t>-VLOOKUP($B49,RawData,P$4,FALSE)*VLOOKUP(P$3,ConversionFactors,2,FALSE)*1</t>
  </si>
  <si>
    <t>-VLOOKUP($B49,RawData,Q$4,FALSE)*VLOOKUP(Q$3,ConversionFactors,2,FALSE)*1</t>
  </si>
  <si>
    <t>-VLOOKUP($B49,RawData,R$4,FALSE)*VLOOKUP(R$3,ConversionFactors,2,FALSE)*1</t>
  </si>
  <si>
    <t>-VLOOKUP($B49,RawData,T$4,FALSE)*VLOOKUP(T$3,ConversionFactors,$D49,FALSE)/1000</t>
  </si>
  <si>
    <t>-VLOOKUP($B49,RawData,U$4,FALSE)*VLOOKUP(U$3,ConversionFactors,$D49,FALSE)/1000</t>
  </si>
  <si>
    <t>-VLOOKUP($B49,RawData,V$4,FALSE)*VLOOKUP(V$3,ConversionFactors,$D49,FALSE)/1000</t>
  </si>
  <si>
    <t>-VLOOKUP($B49,RawData,W$4,FALSE)*VLOOKUP(W$3,ConversionFactors,2,FALSE)/1000</t>
  </si>
  <si>
    <t>-VLOOKUP($B49,RawData,X$4,FALSE)*VLOOKUP(X$3,ConversionFactors,2,FALSE)/1000</t>
  </si>
  <si>
    <t>-VLOOKUP($B49,RawData,Y$4,FALSE)*VLOOKUP(Y$3,ConversionFactors,2,FALSE)/1000</t>
  </si>
  <si>
    <t>-VLOOKUP($B49,RawData,Z$4,FALSE)*VLOOKUP(Z$3,ConversionFactors,2,FALSE)/1000</t>
  </si>
  <si>
    <t>-VLOOKUP($B49,RawData,AA$4,FALSE)*VLOOKUP(AA$3,ConversionFactors,2,FALSE)/1000</t>
  </si>
  <si>
    <t>-VLOOKUP($B49,RawData,AB$4,FALSE)*VLOOKUP(AB$3,ConversionFactors,2,FALSE)/1000</t>
  </si>
  <si>
    <t>-VLOOKUP($B49,RawData,AC$4,FALSE)*VLOOKUP(AC$3,ConversionFactors,2,FALSE)/1000</t>
  </si>
  <si>
    <t>-VLOOKUP($B49,RawData,AD$4,FALSE)*VLOOKUP(AD$3,ConversionFactors,2,FALSE)/1000</t>
  </si>
  <si>
    <t>-VLOOKUP($B49,RawData,AE$4,FALSE)*VLOOKUP(AE$3,ConversionFactors,2,FALSE)/1000</t>
  </si>
  <si>
    <t>-VLOOKUP($B49,RawData,AF$4,FALSE)*VLOOKUP(AF$3,ConversionFactors,2,FALSE)/1000</t>
  </si>
  <si>
    <t>-VLOOKUP($B49,RawData,AG$4,FALSE)*VLOOKUP(AG$3,ConversionFactors,2,FALSE)/1000</t>
  </si>
  <si>
    <t>-VLOOKUP($B49,RawData,AH$4,FALSE)*VLOOKUP(AH$3,ConversionFactors,2,FALSE)/1000</t>
  </si>
  <si>
    <t>-VLOOKUP($B49,RawData,AI$4,FALSE)*VLOOKUP(AI$3,ConversionFactors,2,FALSE)/1000</t>
  </si>
  <si>
    <t>-VLOOKUP($B49,RawData,AJ$4,FALSE)*VLOOKUP(AJ$3,ConversionFactors,2,FALSE)/1000</t>
  </si>
  <si>
    <t>-VLOOKUP($B49,RawData,AK$4,FALSE)*VLOOKUP(AK$3,ConversionFactors,2,FALSE)/1000</t>
  </si>
  <si>
    <t>-VLOOKUP($B49,RawData,AL$4,FALSE)*VLOOKUP(AL$3,ConversionFactors,2,FALSE)/1000</t>
  </si>
  <si>
    <t>-VLOOKUP($B49,RawData,AM$4,FALSE)*VLOOKUP(AM$3,ConversionFactors,2,FALSE)/1000</t>
  </si>
  <si>
    <t>-VLOOKUP($B49,RawData,AN$4,FALSE)*VLOOKUP(AN$3,ConversionFactors,2,FALSE)/1000</t>
  </si>
  <si>
    <t>-VLOOKUP($B49,RawData,AO$4,FALSE)*VLOOKUP(AO$3,ConversionFactors,2,FALSE)/1000</t>
  </si>
  <si>
    <t>-VLOOKUP($B49,RawData,AP$4,FALSE)*VLOOKUP(AP$3,ConversionFactors,2,FALSE)/1000</t>
  </si>
  <si>
    <t>-VLOOKUP($B49,RawData,AQ$4,FALSE)*VLOOKUP(AQ$3,ConversionFactors,2,FALSE)/1000</t>
  </si>
  <si>
    <t>-VLOOKUP($B49,RawData,AR$4,FALSE)*VLOOKUP(AR$3,ConversionFactors,2,FALSE)/1000</t>
  </si>
  <si>
    <t>-VLOOKUP($B49,RawData,AS$4,FALSE)*VLOOKUP(AS$3,ConversionFactors,2,FALSE)*1</t>
  </si>
  <si>
    <t>-VLOOKUP($B49,RawData,AT$4,FALSE)*1</t>
  </si>
  <si>
    <t>-VLOOKUP($B49,RawData,AU$4,FALSE)*1</t>
  </si>
  <si>
    <t>-VLOOKUP($B49,RawData,AV$4,FALSE)*1</t>
  </si>
  <si>
    <t>-VLOOKUP($B49,RawData,AW$4,FALSE)*1</t>
  </si>
  <si>
    <t>-VLOOKUP($B49,RawData,AX$4,FALSE)*1</t>
  </si>
  <si>
    <t>-VLOOKUP($B49,RawData,AY$4,FALSE)*VLOOKUP(AY$3,ConversionFactors,2,FALSE)/1000</t>
  </si>
  <si>
    <t>-VLOOKUP($B49,RawData,AZ$4,FALSE)*VLOOKUP(AZ$3,ConversionFactors,2,FALSE)/1000</t>
  </si>
  <si>
    <t>-VLOOKUP($B49,RawData,BA$4,FALSE)*VLOOKUP(BA$3,ConversionFactors,2,FALSE)/1000</t>
  </si>
  <si>
    <t>-VLOOKUP($B49,RawData,BB$4,FALSE)*VLOOKUP(BB$3,ConversionFactors,2,FALSE)/1000</t>
  </si>
  <si>
    <t>-VLOOKUP($B49,RawData,BC$4,FALSE)*1</t>
  </si>
  <si>
    <t>-VLOOKUP($B49,RawData,BD$4,FALSE)*VLOOKUP(BD$3,ConversionFactors,2,FALSE)/1000</t>
  </si>
  <si>
    <t>-VLOOKUP($B49,RawData,BG$4,FALSE)*1</t>
  </si>
  <si>
    <t>-VLOOKUP($B49,RawData,BI$4,FALSE)*1</t>
  </si>
  <si>
    <t>-VLOOKUP($B49,RawData,BM$4,FALSE)*3.6</t>
  </si>
  <si>
    <t>-VLOOKUP($B49,RawData,BN$4,FALSE)*1</t>
  </si>
  <si>
    <t>-VLOOKUP($B50,RawData,E$4,FALSE)*VLOOKUP(E$3,ConversionFactors,$D50,FALSE)/1000</t>
  </si>
  <si>
    <t>-VLOOKUP($B50,RawData,F$4,FALSE)*VLOOKUP(F$3,ConversionFactors,$D50,FALSE)/1000</t>
  </si>
  <si>
    <t>-VLOOKUP($B50,RawData,G$4,FALSE)*VLOOKUP(G$3,ConversionFactors,$D50,FALSE)/1000</t>
  </si>
  <si>
    <t>-VLOOKUP($B50,RawData,H$4,FALSE)*VLOOKUP(H$3,ConversionFactors,$D50,FALSE)/1000</t>
  </si>
  <si>
    <t>-VLOOKUP($B50,RawData,I$4,FALSE)*VLOOKUP(I$3,ConversionFactors,$D50,FALSE)/1000</t>
  </si>
  <si>
    <t>-VLOOKUP($B50,RawData,J$4,FALSE)*VLOOKUP(J$3,ConversionFactors,$D50,FALSE)/1000</t>
  </si>
  <si>
    <t>-VLOOKUP($B50,RawData,K$4,FALSE)*VLOOKUP(K$3,ConversionFactors,$D50,FALSE)/1000</t>
  </si>
  <si>
    <t>-VLOOKUP($B50,RawData,L$4,FALSE)*VLOOKUP(L$3,ConversionFactors,$D50,FALSE)/1000</t>
  </si>
  <si>
    <t>-VLOOKUP($B50,RawData,M$4,FALSE)*VLOOKUP(M$3,ConversionFactors,$D50,FALSE)/1000</t>
  </si>
  <si>
    <t>-VLOOKUP($B50,RawData,N$4,FALSE)*VLOOKUP(N$3,ConversionFactors,$D50,FALSE)/1000</t>
  </si>
  <si>
    <t>-VLOOKUP($B50,RawData,O$4,FALSE)*VLOOKUP(O$3,ConversionFactors,2,FALSE)*1</t>
  </si>
  <si>
    <t>-VLOOKUP($B50,RawData,P$4,FALSE)*VLOOKUP(P$3,ConversionFactors,2,FALSE)*1</t>
  </si>
  <si>
    <t>-VLOOKUP($B50,RawData,Q$4,FALSE)*VLOOKUP(Q$3,ConversionFactors,2,FALSE)*1</t>
  </si>
  <si>
    <t>-VLOOKUP($B50,RawData,R$4,FALSE)*VLOOKUP(R$3,ConversionFactors,2,FALSE)*1</t>
  </si>
  <si>
    <t>-VLOOKUP($B50,RawData,T$4,FALSE)*VLOOKUP(T$3,ConversionFactors,$D50,FALSE)/1000</t>
  </si>
  <si>
    <t>-VLOOKUP($B50,RawData,U$4,FALSE)*VLOOKUP(U$3,ConversionFactors,$D50,FALSE)/1000</t>
  </si>
  <si>
    <t>-VLOOKUP($B50,RawData,V$4,FALSE)*VLOOKUP(V$3,ConversionFactors,$D50,FALSE)/1000</t>
  </si>
  <si>
    <t>-VLOOKUP($B50,RawData,W$4,FALSE)*VLOOKUP(W$3,ConversionFactors,2,FALSE)/1000</t>
  </si>
  <si>
    <t>-VLOOKUP($B50,RawData,X$4,FALSE)*VLOOKUP(X$3,ConversionFactors,2,FALSE)/1000</t>
  </si>
  <si>
    <t>-VLOOKUP($B50,RawData,Y$4,FALSE)*VLOOKUP(Y$3,ConversionFactors,2,FALSE)/1000</t>
  </si>
  <si>
    <t>-VLOOKUP($B50,RawData,Z$4,FALSE)*VLOOKUP(Z$3,ConversionFactors,2,FALSE)/1000</t>
  </si>
  <si>
    <t>-VLOOKUP($B50,RawData,AA$4,FALSE)*VLOOKUP(AA$3,ConversionFactors,2,FALSE)/1000</t>
  </si>
  <si>
    <t>-VLOOKUP($B50,RawData,AB$4,FALSE)*VLOOKUP(AB$3,ConversionFactors,2,FALSE)/1000</t>
  </si>
  <si>
    <t>-VLOOKUP($B50,RawData,AC$4,FALSE)*VLOOKUP(AC$3,ConversionFactors,2,FALSE)/1000</t>
  </si>
  <si>
    <t>-VLOOKUP($B50,RawData,AD$4,FALSE)*VLOOKUP(AD$3,ConversionFactors,2,FALSE)/1000</t>
  </si>
  <si>
    <t>-VLOOKUP($B50,RawData,AE$4,FALSE)*VLOOKUP(AE$3,ConversionFactors,2,FALSE)/1000</t>
  </si>
  <si>
    <t>-VLOOKUP($B50,RawData,AF$4,FALSE)*VLOOKUP(AF$3,ConversionFactors,2,FALSE)/1000</t>
  </si>
  <si>
    <t>-VLOOKUP($B50,RawData,AG$4,FALSE)*VLOOKUP(AG$3,ConversionFactors,2,FALSE)/1000</t>
  </si>
  <si>
    <t>-VLOOKUP($B50,RawData,AH$4,FALSE)*VLOOKUP(AH$3,ConversionFactors,2,FALSE)/1000</t>
  </si>
  <si>
    <t>-VLOOKUP($B50,RawData,AI$4,FALSE)*VLOOKUP(AI$3,ConversionFactors,2,FALSE)/1000</t>
  </si>
  <si>
    <t>-VLOOKUP($B50,RawData,AJ$4,FALSE)*VLOOKUP(AJ$3,ConversionFactors,2,FALSE)/1000</t>
  </si>
  <si>
    <t>-VLOOKUP($B50,RawData,AK$4,FALSE)*VLOOKUP(AK$3,ConversionFactors,2,FALSE)/1000</t>
  </si>
  <si>
    <t>-VLOOKUP($B50,RawData,AL$4,FALSE)*VLOOKUP(AL$3,ConversionFactors,2,FALSE)/1000</t>
  </si>
  <si>
    <t>-VLOOKUP($B50,RawData,AM$4,FALSE)*VLOOKUP(AM$3,ConversionFactors,2,FALSE)/1000</t>
  </si>
  <si>
    <t>-VLOOKUP($B50,RawData,AN$4,FALSE)*VLOOKUP(AN$3,ConversionFactors,2,FALSE)/1000</t>
  </si>
  <si>
    <t>-VLOOKUP($B50,RawData,AO$4,FALSE)*VLOOKUP(AO$3,ConversionFactors,2,FALSE)/1000</t>
  </si>
  <si>
    <t>-VLOOKUP($B50,RawData,AP$4,FALSE)*VLOOKUP(AP$3,ConversionFactors,2,FALSE)/1000</t>
  </si>
  <si>
    <t>-VLOOKUP($B50,RawData,AQ$4,FALSE)*VLOOKUP(AQ$3,ConversionFactors,2,FALSE)/1000</t>
  </si>
  <si>
    <t>-VLOOKUP($B50,RawData,AR$4,FALSE)*VLOOKUP(AR$3,ConversionFactors,2,FALSE)/1000</t>
  </si>
  <si>
    <t>-VLOOKUP($B50,RawData,AS$4,FALSE)*VLOOKUP(AS$3,ConversionFactors,2,FALSE)*1</t>
  </si>
  <si>
    <t>-VLOOKUP($B50,RawData,AT$4,FALSE)*1</t>
  </si>
  <si>
    <t>-VLOOKUP($B50,RawData,AU$4,FALSE)*1</t>
  </si>
  <si>
    <t>-VLOOKUP($B50,RawData,AV$4,FALSE)*1</t>
  </si>
  <si>
    <t>-VLOOKUP($B50,RawData,AW$4,FALSE)*1</t>
  </si>
  <si>
    <t>-VLOOKUP($B50,RawData,AX$4,FALSE)*1</t>
  </si>
  <si>
    <t>-VLOOKUP($B50,RawData,AY$4,FALSE)*VLOOKUP(AY$3,ConversionFactors,2,FALSE)/1000</t>
  </si>
  <si>
    <t>-VLOOKUP($B50,RawData,AZ$4,FALSE)*VLOOKUP(AZ$3,ConversionFactors,2,FALSE)/1000</t>
  </si>
  <si>
    <t>-VLOOKUP($B50,RawData,BA$4,FALSE)*VLOOKUP(BA$3,ConversionFactors,2,FALSE)/1000</t>
  </si>
  <si>
    <t>-VLOOKUP($B50,RawData,BB$4,FALSE)*VLOOKUP(BB$3,ConversionFactors,2,FALSE)/1000</t>
  </si>
  <si>
    <t>-VLOOKUP($B50,RawData,BC$4,FALSE)*1</t>
  </si>
  <si>
    <t>-VLOOKUP($B50,RawData,BD$4,FALSE)*VLOOKUP(BD$3,ConversionFactors,2,FALSE)/1000</t>
  </si>
  <si>
    <t>-VLOOKUP($B50,RawData,BG$4,FALSE)*1</t>
  </si>
  <si>
    <t>-VLOOKUP($B50,RawData,BI$4,FALSE)*1</t>
  </si>
  <si>
    <t>-(VLOOKUP($B50,RawData,BM$4,FALSE)-VLOOKUP("MHYDPUMP",RawData,BF$4,FALSE)-VLOOKUP("AHYDPUMP",RawData,BF$4,FALSE))*3.6</t>
  </si>
  <si>
    <t>-VLOOKUP($B50,RawData,BN$4,FALSE)*1</t>
  </si>
  <si>
    <t>-VLOOKUP($B51,RawData,E$4,FALSE)*VLOOKUP(E$3,ConversionFactors,$D51,FALSE)/1000</t>
  </si>
  <si>
    <t>-VLOOKUP($B51,RawData,F$4,FALSE)*VLOOKUP(F$3,ConversionFactors,$D51,FALSE)/1000</t>
  </si>
  <si>
    <t>-VLOOKUP($B51,RawData,G$4,FALSE)*VLOOKUP(G$3,ConversionFactors,$D51,FALSE)/1000</t>
  </si>
  <si>
    <t>-VLOOKUP($B51,RawData,H$4,FALSE)*VLOOKUP(H$3,ConversionFactors,$D51,FALSE)/1000</t>
  </si>
  <si>
    <t>-VLOOKUP($B51,RawData,I$4,FALSE)*VLOOKUP(I$3,ConversionFactors,$D51,FALSE)/1000</t>
  </si>
  <si>
    <t>-VLOOKUP($B51,RawData,J$4,FALSE)*VLOOKUP(J$3,ConversionFactors,$D51,FALSE)/1000</t>
  </si>
  <si>
    <t>-VLOOKUP($B51,RawData,K$4,FALSE)*VLOOKUP(K$3,ConversionFactors,$D51,FALSE)/1000</t>
  </si>
  <si>
    <t>-VLOOKUP($B51,RawData,L$4,FALSE)*VLOOKUP(L$3,ConversionFactors,$D51,FALSE)/1000</t>
  </si>
  <si>
    <t>-VLOOKUP($B51,RawData,M$4,FALSE)*VLOOKUP(M$3,ConversionFactors,$D51,FALSE)/1000</t>
  </si>
  <si>
    <t>-VLOOKUP($B51,RawData,N$4,FALSE)*VLOOKUP(N$3,ConversionFactors,$D51,FALSE)/1000</t>
  </si>
  <si>
    <t>-VLOOKUP($B51,RawData,O$4,FALSE)*VLOOKUP(O$3,ConversionFactors,2,FALSE)*1</t>
  </si>
  <si>
    <t>-VLOOKUP($B51,RawData,P$4,FALSE)*VLOOKUP(P$3,ConversionFactors,2,FALSE)*1</t>
  </si>
  <si>
    <t>-VLOOKUP($B51,RawData,Q$4,FALSE)*VLOOKUP(Q$3,ConversionFactors,2,FALSE)*1</t>
  </si>
  <si>
    <t>-VLOOKUP($B51,RawData,R$4,FALSE)*VLOOKUP(R$3,ConversionFactors,2,FALSE)*1</t>
  </si>
  <si>
    <t>-VLOOKUP($B51,RawData,T$4,FALSE)*VLOOKUP(T$3,ConversionFactors,$D51,FALSE)/1000</t>
  </si>
  <si>
    <t>-VLOOKUP($B51,RawData,U$4,FALSE)*VLOOKUP(U$3,ConversionFactors,$D51,FALSE)/1000</t>
  </si>
  <si>
    <t>-VLOOKUP($B51,RawData,V$4,FALSE)*VLOOKUP(V$3,ConversionFactors,$D51,FALSE)/1000</t>
  </si>
  <si>
    <t>-VLOOKUP($B51,RawData,W$4,FALSE)*VLOOKUP(W$3,ConversionFactors,2,FALSE)/1000</t>
  </si>
  <si>
    <t>-VLOOKUP($B51,RawData,X$4,FALSE)*VLOOKUP(X$3,ConversionFactors,2,FALSE)/1000</t>
  </si>
  <si>
    <t>-VLOOKUP($B51,RawData,Y$4,FALSE)*VLOOKUP(Y$3,ConversionFactors,2,FALSE)/1000</t>
  </si>
  <si>
    <t>-VLOOKUP($B51,RawData,Z$4,FALSE)*VLOOKUP(Z$3,ConversionFactors,2,FALSE)/1000</t>
  </si>
  <si>
    <t>-VLOOKUP($B51,RawData,AA$4,FALSE)*VLOOKUP(AA$3,ConversionFactors,2,FALSE)/1000</t>
  </si>
  <si>
    <t>-VLOOKUP($B51,RawData,AB$4,FALSE)*VLOOKUP(AB$3,ConversionFactors,2,FALSE)/1000</t>
  </si>
  <si>
    <t>-VLOOKUP($B51,RawData,AC$4,FALSE)*VLOOKUP(AC$3,ConversionFactors,2,FALSE)/1000</t>
  </si>
  <si>
    <t>-VLOOKUP($B51,RawData,AD$4,FALSE)*VLOOKUP(AD$3,ConversionFactors,2,FALSE)/1000</t>
  </si>
  <si>
    <t>-VLOOKUP($B51,RawData,AE$4,FALSE)*VLOOKUP(AE$3,ConversionFactors,2,FALSE)/1000</t>
  </si>
  <si>
    <t>-VLOOKUP($B51,RawData,AF$4,FALSE)*VLOOKUP(AF$3,ConversionFactors,2,FALSE)/1000</t>
  </si>
  <si>
    <t>-VLOOKUP($B51,RawData,AG$4,FALSE)*VLOOKUP(AG$3,ConversionFactors,2,FALSE)/1000</t>
  </si>
  <si>
    <t>-VLOOKUP($B51,RawData,AH$4,FALSE)*VLOOKUP(AH$3,ConversionFactors,2,FALSE)/1000</t>
  </si>
  <si>
    <t>-VLOOKUP($B51,RawData,AI$4,FALSE)*VLOOKUP(AI$3,ConversionFactors,2,FALSE)/1000</t>
  </si>
  <si>
    <t>-VLOOKUP($B51,RawData,AJ$4,FALSE)*VLOOKUP(AJ$3,ConversionFactors,2,FALSE)/1000</t>
  </si>
  <si>
    <t>-VLOOKUP($B51,RawData,AK$4,FALSE)*VLOOKUP(AK$3,ConversionFactors,2,FALSE)/1000</t>
  </si>
  <si>
    <t>-VLOOKUP($B51,RawData,AL$4,FALSE)*VLOOKUP(AL$3,ConversionFactors,2,FALSE)/1000</t>
  </si>
  <si>
    <t>-VLOOKUP($B51,RawData,AM$4,FALSE)*VLOOKUP(AM$3,ConversionFactors,2,FALSE)/1000</t>
  </si>
  <si>
    <t>-VLOOKUP($B51,RawData,AN$4,FALSE)*VLOOKUP(AN$3,ConversionFactors,2,FALSE)/1000</t>
  </si>
  <si>
    <t>-VLOOKUP($B51,RawData,AO$4,FALSE)*VLOOKUP(AO$3,ConversionFactors,2,FALSE)/1000</t>
  </si>
  <si>
    <t>-VLOOKUP($B51,RawData,AP$4,FALSE)*VLOOKUP(AP$3,ConversionFactors,2,FALSE)/1000</t>
  </si>
  <si>
    <t>-VLOOKUP($B51,RawData,AQ$4,FALSE)*VLOOKUP(AQ$3,ConversionFactors,2,FALSE)/1000</t>
  </si>
  <si>
    <t>-VLOOKUP($B51,RawData,AR$4,FALSE)*VLOOKUP(AR$3,ConversionFactors,2,FALSE)/1000</t>
  </si>
  <si>
    <t>-VLOOKUP($B51,RawData,AS$4,FALSE)*VLOOKUP(AS$3,ConversionFactors,2,FALSE)*1</t>
  </si>
  <si>
    <t>-VLOOKUP($B51,RawData,AT$4,FALSE)*1</t>
  </si>
  <si>
    <t>-VLOOKUP($B51,RawData,AU$4,FALSE)*1</t>
  </si>
  <si>
    <t>-VLOOKUP($B51,RawData,AV$4,FALSE)*1</t>
  </si>
  <si>
    <t>-VLOOKUP($B51,RawData,AW$4,FALSE)*1</t>
  </si>
  <si>
    <t>-VLOOKUP($B51,RawData,AX$4,FALSE)*1</t>
  </si>
  <si>
    <t>-VLOOKUP($B51,RawData,AY$4,FALSE)*VLOOKUP(AY$3,ConversionFactors,2,FALSE)/1000</t>
  </si>
  <si>
    <t>-VLOOKUP($B51,RawData,AZ$4,FALSE)*VLOOKUP(AZ$3,ConversionFactors,2,FALSE)/1000</t>
  </si>
  <si>
    <t>-VLOOKUP($B51,RawData,BA$4,FALSE)*VLOOKUP(BA$3,ConversionFactors,2,FALSE)/1000</t>
  </si>
  <si>
    <t>-VLOOKUP($B51,RawData,BB$4,FALSE)*VLOOKUP(BB$3,ConversionFactors,2,FALSE)/1000</t>
  </si>
  <si>
    <t>-VLOOKUP($B51,RawData,BC$4,FALSE)*1</t>
  </si>
  <si>
    <t>-VLOOKUP($B51,RawData,BD$4,FALSE)*VLOOKUP(BD$3,ConversionFactors,2,FALSE)/1000</t>
  </si>
  <si>
    <t>-VLOOKUP($B51,RawData,BG$4,FALSE)*1</t>
  </si>
  <si>
    <t>-VLOOKUP($B51,RawData,BI$4,FALSE)*1</t>
  </si>
  <si>
    <t>-VLOOKUP($B51,RawData,BM$4,FALSE)*3.6</t>
  </si>
  <si>
    <t>-VLOOKUP($B51,RawData,BN$4,FALSE)*1</t>
  </si>
  <si>
    <t>-VLOOKUP($B52,RawData,E$4,FALSE)*VLOOKUP(E$3,ConversionFactors,$D52,FALSE)/1000</t>
  </si>
  <si>
    <t>-VLOOKUP($B52,RawData,F$4,FALSE)*VLOOKUP(F$3,ConversionFactors,$D52,FALSE)/1000</t>
  </si>
  <si>
    <t>-VLOOKUP($B52,RawData,G$4,FALSE)*VLOOKUP(G$3,ConversionFactors,$D52,FALSE)/1000</t>
  </si>
  <si>
    <t>-VLOOKUP($B52,RawData,H$4,FALSE)*VLOOKUP(H$3,ConversionFactors,$D52,FALSE)/1000</t>
  </si>
  <si>
    <t>-VLOOKUP($B52,RawData,I$4,FALSE)*VLOOKUP(I$3,ConversionFactors,$D52,FALSE)/1000</t>
  </si>
  <si>
    <t>-VLOOKUP($B52,RawData,J$4,FALSE)*VLOOKUP(J$3,ConversionFactors,$D52,FALSE)/1000</t>
  </si>
  <si>
    <t>-VLOOKUP($B52,RawData,K$4,FALSE)*VLOOKUP(K$3,ConversionFactors,$D52,FALSE)/1000</t>
  </si>
  <si>
    <t>-VLOOKUP($B52,RawData,L$4,FALSE)*VLOOKUP(L$3,ConversionFactors,$D52,FALSE)/1000</t>
  </si>
  <si>
    <t>-VLOOKUP($B52,RawData,M$4,FALSE)*VLOOKUP(M$3,ConversionFactors,$D52,FALSE)/1000</t>
  </si>
  <si>
    <t>-VLOOKUP($B52,RawData,N$4,FALSE)*VLOOKUP(N$3,ConversionFactors,$D52,FALSE)/1000</t>
  </si>
  <si>
    <t>-VLOOKUP($B52,RawData,O$4,FALSE)*VLOOKUP(O$3,ConversionFactors,2,FALSE)*1</t>
  </si>
  <si>
    <t>-VLOOKUP($B52,RawData,P$4,FALSE)*VLOOKUP(P$3,ConversionFactors,2,FALSE)*1</t>
  </si>
  <si>
    <t>-VLOOKUP($B52,RawData,Q$4,FALSE)*VLOOKUP(Q$3,ConversionFactors,2,FALSE)*1</t>
  </si>
  <si>
    <t>-VLOOKUP($B52,RawData,R$4,FALSE)*VLOOKUP(R$3,ConversionFactors,2,FALSE)*1</t>
  </si>
  <si>
    <t>-VLOOKUP($B52,RawData,T$4,FALSE)*VLOOKUP(T$3,ConversionFactors,$D52,FALSE)/1000</t>
  </si>
  <si>
    <t>-VLOOKUP($B52,RawData,U$4,FALSE)*VLOOKUP(U$3,ConversionFactors,$D52,FALSE)/1000</t>
  </si>
  <si>
    <t>-VLOOKUP($B52,RawData,V$4,FALSE)*VLOOKUP(V$3,ConversionFactors,$D52,FALSE)/1000</t>
  </si>
  <si>
    <t>-VLOOKUP($B52,RawData,W$4,FALSE)*VLOOKUP(W$3,ConversionFactors,2,FALSE)/1000</t>
  </si>
  <si>
    <t>-VLOOKUP($B52,RawData,X$4,FALSE)*VLOOKUP(X$3,ConversionFactors,2,FALSE)/1000</t>
  </si>
  <si>
    <t>-VLOOKUP($B52,RawData,Y$4,FALSE)*VLOOKUP(Y$3,ConversionFactors,2,FALSE)/1000</t>
  </si>
  <si>
    <t>-VLOOKUP($B52,RawData,Z$4,FALSE)*VLOOKUP(Z$3,ConversionFactors,2,FALSE)/1000</t>
  </si>
  <si>
    <t>-VLOOKUP($B52,RawData,AA$4,FALSE)*VLOOKUP(AA$3,ConversionFactors,2,FALSE)/1000</t>
  </si>
  <si>
    <t>-VLOOKUP($B52,RawData,AB$4,FALSE)*VLOOKUP(AB$3,ConversionFactors,2,FALSE)/1000</t>
  </si>
  <si>
    <t>-VLOOKUP($B52,RawData,AC$4,FALSE)*VLOOKUP(AC$3,ConversionFactors,2,FALSE)/1000</t>
  </si>
  <si>
    <t>-VLOOKUP($B52,RawData,AD$4,FALSE)*VLOOKUP(AD$3,ConversionFactors,2,FALSE)/1000</t>
  </si>
  <si>
    <t>-VLOOKUP($B52,RawData,AE$4,FALSE)*VLOOKUP(AE$3,ConversionFactors,2,FALSE)/1000</t>
  </si>
  <si>
    <t>-VLOOKUP($B52,RawData,AF$4,FALSE)*VLOOKUP(AF$3,ConversionFactors,2,FALSE)/1000</t>
  </si>
  <si>
    <t>-VLOOKUP($B52,RawData,AG$4,FALSE)*VLOOKUP(AG$3,ConversionFactors,2,FALSE)/1000</t>
  </si>
  <si>
    <t>-VLOOKUP($B52,RawData,AH$4,FALSE)*VLOOKUP(AH$3,ConversionFactors,2,FALSE)/1000</t>
  </si>
  <si>
    <t>-VLOOKUP($B52,RawData,AI$4,FALSE)*VLOOKUP(AI$3,ConversionFactors,2,FALSE)/1000</t>
  </si>
  <si>
    <t>-VLOOKUP($B52,RawData,AJ$4,FALSE)*VLOOKUP(AJ$3,ConversionFactors,2,FALSE)/1000</t>
  </si>
  <si>
    <t>-VLOOKUP($B52,RawData,AK$4,FALSE)*VLOOKUP(AK$3,ConversionFactors,2,FALSE)/1000</t>
  </si>
  <si>
    <t>-VLOOKUP($B52,RawData,AL$4,FALSE)*VLOOKUP(AL$3,ConversionFactors,2,FALSE)/1000</t>
  </si>
  <si>
    <t>-VLOOKUP($B52,RawData,AM$4,FALSE)*VLOOKUP(AM$3,ConversionFactors,2,FALSE)/1000</t>
  </si>
  <si>
    <t>-VLOOKUP($B52,RawData,AN$4,FALSE)*VLOOKUP(AN$3,ConversionFactors,2,FALSE)/1000</t>
  </si>
  <si>
    <t>-VLOOKUP($B52,RawData,AO$4,FALSE)*VLOOKUP(AO$3,ConversionFactors,2,FALSE)/1000</t>
  </si>
  <si>
    <t>-VLOOKUP($B52,RawData,AP$4,FALSE)*VLOOKUP(AP$3,ConversionFactors,2,FALSE)/1000</t>
  </si>
  <si>
    <t>-VLOOKUP($B52,RawData,AQ$4,FALSE)*VLOOKUP(AQ$3,ConversionFactors,2,FALSE)/1000</t>
  </si>
  <si>
    <t>-VLOOKUP($B52,RawData,AR$4,FALSE)*VLOOKUP(AR$3,ConversionFactors,2,FALSE)/1000</t>
  </si>
  <si>
    <t>-VLOOKUP($B52,RawData,AS$4,FALSE)*VLOOKUP(AS$3,ConversionFactors,2,FALSE)*1</t>
  </si>
  <si>
    <t>-VLOOKUP($B52,RawData,AT$4,FALSE)*1</t>
  </si>
  <si>
    <t>-VLOOKUP($B52,RawData,AU$4,FALSE)*1</t>
  </si>
  <si>
    <t>-VLOOKUP($B52,RawData,AV$4,FALSE)*1</t>
  </si>
  <si>
    <t>-VLOOKUP($B52,RawData,AW$4,FALSE)*1</t>
  </si>
  <si>
    <t>-VLOOKUP($B52,RawData,AX$4,FALSE)*1</t>
  </si>
  <si>
    <t>-VLOOKUP($B52,RawData,AY$4,FALSE)*VLOOKUP(AY$3,ConversionFactors,2,FALSE)/1000</t>
  </si>
  <si>
    <t>-VLOOKUP($B52,RawData,AZ$4,FALSE)*VLOOKUP(AZ$3,ConversionFactors,2,FALSE)/1000</t>
  </si>
  <si>
    <t>-VLOOKUP($B52,RawData,BA$4,FALSE)*VLOOKUP(BA$3,ConversionFactors,2,FALSE)/1000</t>
  </si>
  <si>
    <t>-VLOOKUP($B52,RawData,BB$4,FALSE)*VLOOKUP(BB$3,ConversionFactors,2,FALSE)/1000</t>
  </si>
  <si>
    <t>-VLOOKUP($B52,RawData,BC$4,FALSE)*1</t>
  </si>
  <si>
    <t>-VLOOKUP($B52,RawData,BD$4,FALSE)*VLOOKUP(BD$3,ConversionFactors,2,FALSE)/1000</t>
  </si>
  <si>
    <t>-VLOOKUP($B52,RawData,BG$4,FALSE)*1</t>
  </si>
  <si>
    <t>-VLOOKUP($B52,RawData,BI$4,FALSE)*1</t>
  </si>
  <si>
    <t>-VLOOKUP($B52,RawData,BM$4,FALSE)*3.6</t>
  </si>
  <si>
    <t>-VLOOKUP($B52,RawData,BN$4,FALSE)*1</t>
  </si>
  <si>
    <t>-VLOOKUP($B53,RawData,E$4,FALSE)*VLOOKUP(E$3,ConversionFactors,$D53,FALSE)/1000</t>
  </si>
  <si>
    <t>-VLOOKUP($B53,RawData,F$4,FALSE)*VLOOKUP(F$3,ConversionFactors,$D53,FALSE)/1000</t>
  </si>
  <si>
    <t>-VLOOKUP($B53,RawData,G$4,FALSE)*VLOOKUP(G$3,ConversionFactors,$D53,FALSE)/1000</t>
  </si>
  <si>
    <t>-VLOOKUP($B53,RawData,H$4,FALSE)*VLOOKUP(H$3,ConversionFactors,$D53,FALSE)/1000</t>
  </si>
  <si>
    <t>-VLOOKUP($B53,RawData,I$4,FALSE)*VLOOKUP(I$3,ConversionFactors,$D53,FALSE)/1000</t>
  </si>
  <si>
    <t>-VLOOKUP($B53,RawData,J$4,FALSE)*VLOOKUP(J$3,ConversionFactors,$D53,FALSE)/1000</t>
  </si>
  <si>
    <t>-VLOOKUP($B53,RawData,K$4,FALSE)*VLOOKUP(K$3,ConversionFactors,$D53,FALSE)/1000</t>
  </si>
  <si>
    <t>-VLOOKUP($B53,RawData,L$4,FALSE)*VLOOKUP(L$3,ConversionFactors,$D53,FALSE)/1000</t>
  </si>
  <si>
    <t>-VLOOKUP($B53,RawData,M$4,FALSE)*VLOOKUP(M$3,ConversionFactors,$D53,FALSE)/1000</t>
  </si>
  <si>
    <t>-VLOOKUP($B53,RawData,N$4,FALSE)*VLOOKUP(N$3,ConversionFactors,$D53,FALSE)/1000</t>
  </si>
  <si>
    <t>-VLOOKUP($B53,RawData,O$4,FALSE)*VLOOKUP(O$3,ConversionFactors,2,FALSE)*1</t>
  </si>
  <si>
    <t>-VLOOKUP($B53,RawData,P$4,FALSE)*VLOOKUP(P$3,ConversionFactors,2,FALSE)*1</t>
  </si>
  <si>
    <t>-VLOOKUP($B53,RawData,Q$4,FALSE)*VLOOKUP(Q$3,ConversionFactors,2,FALSE)*1</t>
  </si>
  <si>
    <t>-VLOOKUP($B53,RawData,R$4,FALSE)*VLOOKUP(R$3,ConversionFactors,2,FALSE)*1</t>
  </si>
  <si>
    <t>-VLOOKUP($B53,RawData,T$4,FALSE)*VLOOKUP(T$3,ConversionFactors,$D53,FALSE)/1000</t>
  </si>
  <si>
    <t>-VLOOKUP($B53,RawData,U$4,FALSE)*VLOOKUP(U$3,ConversionFactors,$D53,FALSE)/1000</t>
  </si>
  <si>
    <t>-VLOOKUP($B53,RawData,V$4,FALSE)*VLOOKUP(V$3,ConversionFactors,$D53,FALSE)/1000</t>
  </si>
  <si>
    <t>-VLOOKUP($B53,RawData,W$4,FALSE)*VLOOKUP(W$3,ConversionFactors,2,FALSE)/1000</t>
  </si>
  <si>
    <t>-VLOOKUP($B53,RawData,X$4,FALSE)*VLOOKUP(X$3,ConversionFactors,2,FALSE)/1000</t>
  </si>
  <si>
    <t>-VLOOKUP($B53,RawData,Y$4,FALSE)*VLOOKUP(Y$3,ConversionFactors,2,FALSE)/1000</t>
  </si>
  <si>
    <t>-VLOOKUP($B53,RawData,Z$4,FALSE)*VLOOKUP(Z$3,ConversionFactors,2,FALSE)/1000</t>
  </si>
  <si>
    <t>-VLOOKUP($B53,RawData,AA$4,FALSE)*VLOOKUP(AA$3,ConversionFactors,2,FALSE)/1000</t>
  </si>
  <si>
    <t>-VLOOKUP($B53,RawData,AB$4,FALSE)*VLOOKUP(AB$3,ConversionFactors,2,FALSE)/1000</t>
  </si>
  <si>
    <t>-VLOOKUP($B53,RawData,AC$4,FALSE)*VLOOKUP(AC$3,ConversionFactors,2,FALSE)/1000</t>
  </si>
  <si>
    <t>-VLOOKUP($B53,RawData,AD$4,FALSE)*VLOOKUP(AD$3,ConversionFactors,2,FALSE)/1000</t>
  </si>
  <si>
    <t>-VLOOKUP($B53,RawData,AE$4,FALSE)*VLOOKUP(AE$3,ConversionFactors,2,FALSE)/1000</t>
  </si>
  <si>
    <t>-VLOOKUP($B53,RawData,AF$4,FALSE)*VLOOKUP(AF$3,ConversionFactors,2,FALSE)/1000</t>
  </si>
  <si>
    <t>-VLOOKUP($B53,RawData,AG$4,FALSE)*VLOOKUP(AG$3,ConversionFactors,2,FALSE)/1000</t>
  </si>
  <si>
    <t>-VLOOKUP($B53,RawData,AH$4,FALSE)*VLOOKUP(AH$3,ConversionFactors,2,FALSE)/1000</t>
  </si>
  <si>
    <t>-VLOOKUP($B53,RawData,AI$4,FALSE)*VLOOKUP(AI$3,ConversionFactors,2,FALSE)/1000</t>
  </si>
  <si>
    <t>-VLOOKUP($B53,RawData,AJ$4,FALSE)*VLOOKUP(AJ$3,ConversionFactors,2,FALSE)/1000</t>
  </si>
  <si>
    <t>-VLOOKUP($B53,RawData,AK$4,FALSE)*VLOOKUP(AK$3,ConversionFactors,2,FALSE)/1000</t>
  </si>
  <si>
    <t>-VLOOKUP($B53,RawData,AL$4,FALSE)*VLOOKUP(AL$3,ConversionFactors,2,FALSE)/1000</t>
  </si>
  <si>
    <t>-VLOOKUP($B53,RawData,AM$4,FALSE)*VLOOKUP(AM$3,ConversionFactors,2,FALSE)/1000</t>
  </si>
  <si>
    <t>-VLOOKUP($B53,RawData,AN$4,FALSE)*VLOOKUP(AN$3,ConversionFactors,2,FALSE)/1000</t>
  </si>
  <si>
    <t>-VLOOKUP($B53,RawData,AO$4,FALSE)*VLOOKUP(AO$3,ConversionFactors,2,FALSE)/1000</t>
  </si>
  <si>
    <t>-VLOOKUP($B53,RawData,AP$4,FALSE)*VLOOKUP(AP$3,ConversionFactors,2,FALSE)/1000</t>
  </si>
  <si>
    <t>-VLOOKUP($B53,RawData,AQ$4,FALSE)*VLOOKUP(AQ$3,ConversionFactors,2,FALSE)/1000</t>
  </si>
  <si>
    <t>-VLOOKUP($B53,RawData,AR$4,FALSE)*VLOOKUP(AR$3,ConversionFactors,2,FALSE)/1000</t>
  </si>
  <si>
    <t>-VLOOKUP($B53,RawData,AS$4,FALSE)*VLOOKUP(AS$3,ConversionFactors,2,FALSE)*1</t>
  </si>
  <si>
    <t>-VLOOKUP($B53,RawData,AT$4,FALSE)*1</t>
  </si>
  <si>
    <t>-VLOOKUP($B53,RawData,AU$4,FALSE)*1</t>
  </si>
  <si>
    <t>-VLOOKUP($B53,RawData,AV$4,FALSE)*1</t>
  </si>
  <si>
    <t>-VLOOKUP($B53,RawData,AW$4,FALSE)*1</t>
  </si>
  <si>
    <t>-VLOOKUP($B53,RawData,AX$4,FALSE)*1</t>
  </si>
  <si>
    <t>-VLOOKUP($B53,RawData,AY$4,FALSE)*VLOOKUP(AY$3,ConversionFactors,2,FALSE)/1000</t>
  </si>
  <si>
    <t>-VLOOKUP($B53,RawData,AZ$4,FALSE)*VLOOKUP(AZ$3,ConversionFactors,2,FALSE)/1000</t>
  </si>
  <si>
    <t>-VLOOKUP($B53,RawData,BA$4,FALSE)*VLOOKUP(BA$3,ConversionFactors,2,FALSE)/1000</t>
  </si>
  <si>
    <t>-VLOOKUP($B53,RawData,BB$4,FALSE)*VLOOKUP(BB$3,ConversionFactors,2,FALSE)/1000</t>
  </si>
  <si>
    <t>-VLOOKUP($B53,RawData,BC$4,FALSE)*1</t>
  </si>
  <si>
    <t>-VLOOKUP($B53,RawData,BD$4,FALSE)*VLOOKUP(BD$3,ConversionFactors,2,FALSE)/1000</t>
  </si>
  <si>
    <t>-VLOOKUP($B53,RawData,BG$4,FALSE)*1</t>
  </si>
  <si>
    <t>-VLOOKUP($B53,RawData,BI$4,FALSE)*1</t>
  </si>
  <si>
    <t>-VLOOKUP($B53,RawData,BM$4,FALSE)*3.6</t>
  </si>
  <si>
    <t>-VLOOKUP($B53,RawData,BN$4,FALSE)*1</t>
  </si>
  <si>
    <t>-VLOOKUP($B54,RawData,E$4,FALSE)*VLOOKUP(E$3,ConversionFactors,$D54,FALSE)/1000</t>
  </si>
  <si>
    <t>-VLOOKUP($B54,RawData,F$4,FALSE)*VLOOKUP(F$3,ConversionFactors,$D54,FALSE)/1000</t>
  </si>
  <si>
    <t>-VLOOKUP($B54,RawData,G$4,FALSE)*VLOOKUP(G$3,ConversionFactors,$D54,FALSE)/1000</t>
  </si>
  <si>
    <t>-VLOOKUP($B54,RawData,H$4,FALSE)*VLOOKUP(H$3,ConversionFactors,$D54,FALSE)/1000</t>
  </si>
  <si>
    <t>-VLOOKUP($B54,RawData,I$4,FALSE)*VLOOKUP(I$3,ConversionFactors,$D54,FALSE)/1000</t>
  </si>
  <si>
    <t>-VLOOKUP($B54,RawData,J$4,FALSE)*VLOOKUP(J$3,ConversionFactors,$D54,FALSE)/1000</t>
  </si>
  <si>
    <t>-VLOOKUP($B54,RawData,K$4,FALSE)*VLOOKUP(K$3,ConversionFactors,$D54,FALSE)/1000</t>
  </si>
  <si>
    <t>-VLOOKUP($B54,RawData,L$4,FALSE)*VLOOKUP(L$3,ConversionFactors,$D54,FALSE)/1000</t>
  </si>
  <si>
    <t>-VLOOKUP($B54,RawData,M$4,FALSE)*VLOOKUP(M$3,ConversionFactors,$D54,FALSE)/1000</t>
  </si>
  <si>
    <t>-VLOOKUP($B54,RawData,N$4,FALSE)*VLOOKUP(N$3,ConversionFactors,$D54,FALSE)/1000</t>
  </si>
  <si>
    <t>(-VLOOKUP($B54,RawData,O$4,FALSE)*VLOOKUP(O$3,ConversionFactors,2,FALSE))*1</t>
  </si>
  <si>
    <t>(-VLOOKUP($B54,RawData,P$4,FALSE)*VLOOKUP(P$3,ConversionFactors,2,FALSE))*1</t>
  </si>
  <si>
    <t>(-VLOOKUP($B54,RawData,Q$4,FALSE)*VLOOKUP(Q$3,ConversionFactors,2,FALSE))*1</t>
  </si>
  <si>
    <t>(-VLOOKUP($B54,RawData,R$4,FALSE)*VLOOKUP(R$3,ConversionFactors,2,FALSE))*1</t>
  </si>
  <si>
    <t>-VLOOKUP($B54,RawData,T$4,FALSE)*VLOOKUP(T$3,ConversionFactors,$D54,FALSE)/1000</t>
  </si>
  <si>
    <t>-VLOOKUP($B54,RawData,U$4,FALSE)*VLOOKUP(U$3,ConversionFactors,$D54,FALSE)/1000</t>
  </si>
  <si>
    <t>-VLOOKUP($B54,RawData,V$4,FALSE)*VLOOKUP(V$3,ConversionFactors,$D54,FALSE)/1000</t>
  </si>
  <si>
    <t>-VLOOKUP($B54,RawData,W$4,FALSE)*VLOOKUP(W$3,ConversionFactors,2,FALSE)/1000</t>
  </si>
  <si>
    <t>-VLOOKUP($B54,RawData,X$4,FALSE)*VLOOKUP(X$3,ConversionFactors,2,FALSE)/1000</t>
  </si>
  <si>
    <t>-VLOOKUP($B54,RawData,Y$4,FALSE)*VLOOKUP(Y$3,ConversionFactors,2,FALSE)/1000</t>
  </si>
  <si>
    <t>-VLOOKUP($B54,RawData,Z$4,FALSE)*VLOOKUP(Z$3,ConversionFactors,2,FALSE)/1000</t>
  </si>
  <si>
    <t>-VLOOKUP($B54,RawData,AA$4,FALSE)*VLOOKUP(AA$3,ConversionFactors,2,FALSE)/1000</t>
  </si>
  <si>
    <t>-VLOOKUP($B54,RawData,AB$4,FALSE)*VLOOKUP(AB$3,ConversionFactors,2,FALSE)/1000</t>
  </si>
  <si>
    <t>-VLOOKUP($B54,RawData,AC$4,FALSE)*VLOOKUP(AC$3,ConversionFactors,2,FALSE)/1000</t>
  </si>
  <si>
    <t>-VLOOKUP($B54,RawData,AD$4,FALSE)*VLOOKUP(AD$3,ConversionFactors,2,FALSE)/1000</t>
  </si>
  <si>
    <t>-VLOOKUP($B54,RawData,AE$4,FALSE)*VLOOKUP(AE$3,ConversionFactors,2,FALSE)/1000</t>
  </si>
  <si>
    <t>-VLOOKUP($B54,RawData,AF$4,FALSE)*VLOOKUP(AF$3,ConversionFactors,2,FALSE)/1000</t>
  </si>
  <si>
    <t>-VLOOKUP($B54,RawData,AG$4,FALSE)*VLOOKUP(AG$3,ConversionFactors,2,FALSE)/1000</t>
  </si>
  <si>
    <t>-VLOOKUP($B54,RawData,AH$4,FALSE)*VLOOKUP(AH$3,ConversionFactors,2,FALSE)/1000</t>
  </si>
  <si>
    <t>-VLOOKUP($B54,RawData,AI$4,FALSE)*VLOOKUP(AI$3,ConversionFactors,2,FALSE)/1000</t>
  </si>
  <si>
    <t>-VLOOKUP($B54,RawData,AJ$4,FALSE)*VLOOKUP(AJ$3,ConversionFactors,2,FALSE)/1000</t>
  </si>
  <si>
    <t>-VLOOKUP($B54,RawData,AK$4,FALSE)*VLOOKUP(AK$3,ConversionFactors,2,FALSE)/1000</t>
  </si>
  <si>
    <t>-VLOOKUP($B54,RawData,AL$4,FALSE)*VLOOKUP(AL$3,ConversionFactors,2,FALSE)/1000</t>
  </si>
  <si>
    <t>-VLOOKUP($B54,RawData,AM$4,FALSE)*VLOOKUP(AM$3,ConversionFactors,2,FALSE)/1000</t>
  </si>
  <si>
    <t>-VLOOKUP($B54,RawData,AN$4,FALSE)*VLOOKUP(AN$3,ConversionFactors,2,FALSE)/1000</t>
  </si>
  <si>
    <t>-VLOOKUP($B54,RawData,AO$4,FALSE)*VLOOKUP(AO$3,ConversionFactors,2,FALSE)/1000</t>
  </si>
  <si>
    <t>-VLOOKUP($B54,RawData,AP$4,FALSE)*VLOOKUP(AP$3,ConversionFactors,2,FALSE)/1000</t>
  </si>
  <si>
    <t>-VLOOKUP($B54,RawData,AQ$4,FALSE)*VLOOKUP(AQ$3,ConversionFactors,2,FALSE)/1000</t>
  </si>
  <si>
    <t>-VLOOKUP($B54,RawData,AR$4,FALSE)*VLOOKUP(AR$3,ConversionFactors,2,FALSE)/1000</t>
  </si>
  <si>
    <t>-VLOOKUP($B54,RawData,AS$4,FALSE)*VLOOKUP(AS$3,ConversionFactors,2,FALSE)*1</t>
  </si>
  <si>
    <t>-VLOOKUP($B54,RawData,AT$4,FALSE)*1</t>
  </si>
  <si>
    <t>-VLOOKUP($B54,RawData,AU$4,FALSE)*1</t>
  </si>
  <si>
    <t>-VLOOKUP($B54,RawData,AV$4,FALSE)*1</t>
  </si>
  <si>
    <t>-VLOOKUP($B54,RawData,AW$4,FALSE)*1</t>
  </si>
  <si>
    <t>-VLOOKUP($B54,RawData,AX$4,FALSE)*1</t>
  </si>
  <si>
    <t>-VLOOKUP($B54,RawData,AY$4,FALSE)*VLOOKUP(AY$3,ConversionFactors,2,FALSE)/1000</t>
  </si>
  <si>
    <t>-VLOOKUP($B54,RawData,AZ$4,FALSE)*VLOOKUP(AZ$3,ConversionFactors,2,FALSE)/1000</t>
  </si>
  <si>
    <t>-VLOOKUP($B54,RawData,BA$4,FALSE)*VLOOKUP(BA$3,ConversionFactors,2,FALSE)/1000</t>
  </si>
  <si>
    <t>-VLOOKUP($B54,RawData,BB$4,FALSE)*VLOOKUP(BB$3,ConversionFactors,2,FALSE)/1000</t>
  </si>
  <si>
    <t>-VLOOKUP($B54,RawData,BC$4,FALSE)*1</t>
  </si>
  <si>
    <t>-VLOOKUP($B54,RawData,BD$4,FALSE)*VLOOKUP(BD$3,ConversionFactors,2,FALSE)/1000</t>
  </si>
  <si>
    <t>-VLOOKUP($B54,RawData,BG$4,FALSE)*1</t>
  </si>
  <si>
    <t>-VLOOKUP($B54,RawData,BI$4,FALSE)*1</t>
  </si>
  <si>
    <t>-VLOOKUP($B54,RawData,BM$4,FALSE)*3.6</t>
  </si>
  <si>
    <t>-VLOOKUP($B54,RawData,BN$4,FALSE)*1</t>
  </si>
  <si>
    <t>SUM(E56,E70,E77,E83)</t>
  </si>
  <si>
    <t>SUM(F56,F70,F77,F83)</t>
  </si>
  <si>
    <t>SUM(G56,G70,G77,G83)</t>
  </si>
  <si>
    <t>SUM(H56,H70,H77,H83)</t>
  </si>
  <si>
    <t>SUM(I56,I70,I77,I83)</t>
  </si>
  <si>
    <t>SUM(J56,J70,J77,J83)</t>
  </si>
  <si>
    <t>SUM(K56,K70,K77,K83)</t>
  </si>
  <si>
    <t>SUM(L56,L70,L77,L83)</t>
  </si>
  <si>
    <t>SUM(M56,M70,M77,M83)</t>
  </si>
  <si>
    <t>SUM(N56,N70,N77,N83)</t>
  </si>
  <si>
    <t>SUM(O56,O70,O77,O83)</t>
  </si>
  <si>
    <t>SUM(P56,P70,P77,P83)</t>
  </si>
  <si>
    <t>SUM(Q56,Q70,Q77,Q83)</t>
  </si>
  <si>
    <t>SUM(R56,R70,R77,R83)</t>
  </si>
  <si>
    <t>SUM(T56,T70,T77,T83)</t>
  </si>
  <si>
    <t>SUM(U56,U70,U77,U83)</t>
  </si>
  <si>
    <t>SUM(V56,V70,V77,V83)</t>
  </si>
  <si>
    <t>SUM(W56,W70,W77,W83)</t>
  </si>
  <si>
    <t>SUM(X56,X70,X77,X83)</t>
  </si>
  <si>
    <t>SUM(Y56,Y70,Y77,Y83)</t>
  </si>
  <si>
    <t>SUM(Z56,Z70,Z77,Z83)</t>
  </si>
  <si>
    <t>SUM(AA56,AA70,AA77,AA83)</t>
  </si>
  <si>
    <t>SUM(AB56,AB70,AB77,AB83)</t>
  </si>
  <si>
    <t>SUM(AC56,AC70,AC77,AC83)</t>
  </si>
  <si>
    <t>SUM(AD56,AD70,AD77,AD83)</t>
  </si>
  <si>
    <t>SUM(AE56,AE70,AE77,AE83)</t>
  </si>
  <si>
    <t>SUM(AF56,AF70,AF77,AF83)</t>
  </si>
  <si>
    <t>SUM(AG56,AG70,AG77,AG83)</t>
  </si>
  <si>
    <t>SUM(AH56,AH70,AH77,AH83)</t>
  </si>
  <si>
    <t>SUM(AI56,AI70,AI77,AI83)</t>
  </si>
  <si>
    <t>SUM(AJ56,AJ70,AJ77,AJ83)</t>
  </si>
  <si>
    <t>SUM(AK56,AK70,AK77,AK83)</t>
  </si>
  <si>
    <t>SUM(AL56,AL70,AL77,AL83)</t>
  </si>
  <si>
    <t>SUM(AM56,AM70,AM77,AM83)</t>
  </si>
  <si>
    <t>SUM(AN56,AN70,AN77,AN83)</t>
  </si>
  <si>
    <t>SUM(AO56,AO70,AO77,AO83)</t>
  </si>
  <si>
    <t>SUM(AP56,AP70,AP77,AP83)</t>
  </si>
  <si>
    <t>SUM(AQ56,AQ70,AQ77,AQ83)</t>
  </si>
  <si>
    <t>SUM(AR56,AR70,AR77,AR83)</t>
  </si>
  <si>
    <t>SUM(AS56,AS70,AS77,AS83)</t>
  </si>
  <si>
    <t>SUM(AT56,AT70,AT77,AT83)</t>
  </si>
  <si>
    <t>SUM(AU56,AU70,AU77,AU83)</t>
  </si>
  <si>
    <t>SUM(AV56,AV70,AV77,AV83)</t>
  </si>
  <si>
    <t>SUM(AW56,AW70,AW77,AW83)</t>
  </si>
  <si>
    <t>SUM(AX56,AX70,AX77,AX83)</t>
  </si>
  <si>
    <t>SUM(AY56,AY70,AY77,AY83)</t>
  </si>
  <si>
    <t>SUM(AZ56,AZ70,AZ77,AZ83)</t>
  </si>
  <si>
    <t>SUM(BA56,BA70,BA77,BA83)</t>
  </si>
  <si>
    <t>SUM(BB56,BB70,BB77,BB83)</t>
  </si>
  <si>
    <t>SUM(BC56,BC70,BC77,BC83)</t>
  </si>
  <si>
    <t>SUM(BD56,BD70,BD77,BD83)</t>
  </si>
  <si>
    <t>SUM(BG56,BG70,BG77,BG83)</t>
  </si>
  <si>
    <t>SUM(BI56,BI70,BI77,BI83)</t>
  </si>
  <si>
    <t>SUM(BL56,BL70,BL77,BL83)</t>
  </si>
  <si>
    <t>SUM(BM56,BM70,BM77,BM83)</t>
  </si>
  <si>
    <t>SUM(BN56,BN70,BN77,BN83)</t>
  </si>
  <si>
    <t>SUM(E57:E69)</t>
  </si>
  <si>
    <t>SUM(F57:F69)</t>
  </si>
  <si>
    <t>SUM(G57:G69)</t>
  </si>
  <si>
    <t>SUM(H57:H69)</t>
  </si>
  <si>
    <t>SUM(I57:I69)</t>
  </si>
  <si>
    <t>SUM(J57:J69)</t>
  </si>
  <si>
    <t>SUM(K57:K69)</t>
  </si>
  <si>
    <t>SUM(L57:L69)</t>
  </si>
  <si>
    <t>SUM(M57:M69)</t>
  </si>
  <si>
    <t>SUM(N57:N69)</t>
  </si>
  <si>
    <t>SUM(O57:O69)</t>
  </si>
  <si>
    <t>SUM(P57:P69)</t>
  </si>
  <si>
    <t>SUM(Q57:Q69)</t>
  </si>
  <si>
    <t>SUM(R57:R69)</t>
  </si>
  <si>
    <t>SUM(T57:T69)</t>
  </si>
  <si>
    <t>SUM(U57:U69)</t>
  </si>
  <si>
    <t>SUM(V57:V69)</t>
  </si>
  <si>
    <t>SUM(W57:W69)</t>
  </si>
  <si>
    <t>SUM(X57:X69)</t>
  </si>
  <si>
    <t>SUM(Y57:Y69)</t>
  </si>
  <si>
    <t>SUM(Z57:Z69)</t>
  </si>
  <si>
    <t>SUM(AA57:AA69)</t>
  </si>
  <si>
    <t>SUM(AB57:AB69)</t>
  </si>
  <si>
    <t>SUM(AC57:AC69)</t>
  </si>
  <si>
    <t>SUM(AD57:AD69)</t>
  </si>
  <si>
    <t>SUM(AE57:AE69)</t>
  </si>
  <si>
    <t>SUM(AF57:AF69)</t>
  </si>
  <si>
    <t>SUM(AG57:AG69)</t>
  </si>
  <si>
    <t>SUM(AH57:AH69)</t>
  </si>
  <si>
    <t>SUM(AI57:AI69)</t>
  </si>
  <si>
    <t>SUM(AJ57:AJ69)</t>
  </si>
  <si>
    <t>SUM(AK57:AK69)</t>
  </si>
  <si>
    <t>SUM(AL57:AL69)</t>
  </si>
  <si>
    <t>SUM(AM57:AM69)</t>
  </si>
  <si>
    <t>SUM(AN57:AN69)</t>
  </si>
  <si>
    <t>SUM(AO57:AO69)</t>
  </si>
  <si>
    <t>SUM(AP57:AP69)</t>
  </si>
  <si>
    <t>SUM(AQ57:AQ69)</t>
  </si>
  <si>
    <t>SUM(AR57:AR69)</t>
  </si>
  <si>
    <t>SUM(AS57:AS69)</t>
  </si>
  <si>
    <t>SUM(AT57:AT69)</t>
  </si>
  <si>
    <t>SUM(AU57:AU69)</t>
  </si>
  <si>
    <t>SUM(AV57:AV69)</t>
  </si>
  <si>
    <t>SUM(AW57:AW69)</t>
  </si>
  <si>
    <t>SUM(AX57:AX69)</t>
  </si>
  <si>
    <t>SUM(AY57:AY69)</t>
  </si>
  <si>
    <t>SUM(AZ57:AZ69)</t>
  </si>
  <si>
    <t>SUM(BA57:BA69)</t>
  </si>
  <si>
    <t>SUM(BB57:BB69)</t>
  </si>
  <si>
    <t>SUM(BC57:BC69)</t>
  </si>
  <si>
    <t>SUM(BD57:BD69)</t>
  </si>
  <si>
    <t>SUM(BG57:BG69)</t>
  </si>
  <si>
    <t>SUM(BI57:BI69)</t>
  </si>
  <si>
    <t>SUM(BL57:BL69)</t>
  </si>
  <si>
    <t>SUM(BM57:BM69)</t>
  </si>
  <si>
    <t>SUM(BN57:BN69)</t>
  </si>
  <si>
    <t>VLOOKUP($B57,RawData,E$4,FALSE)*VLOOKUP(E$3,ConversionFactors,$D57,FALSE)/1000</t>
  </si>
  <si>
    <t>VLOOKUP($B57,RawData,F$4,FALSE)*VLOOKUP(F$3,ConversionFactors,$D57,FALSE)/1000</t>
  </si>
  <si>
    <t>VLOOKUP($B57,RawData,G$4,FALSE)*VLOOKUP(G$3,ConversionFactors,$D57,FALSE)/1000</t>
  </si>
  <si>
    <t>VLOOKUP($B57,RawData,H$4,FALSE)*VLOOKUP(H$3,ConversionFactors,$D57,FALSE)/1000</t>
  </si>
  <si>
    <t>VLOOKUP($B57,RawData,I$4,FALSE)*VLOOKUP(I$3,ConversionFactors,$D57,FALSE)/1000</t>
  </si>
  <si>
    <t>VLOOKUP($B57,RawData,J$4,FALSE)*VLOOKUP(J$3,ConversionFactors,$D57,FALSE)/1000</t>
  </si>
  <si>
    <t>VLOOKUP($B57,RawData,K$4,FALSE)*VLOOKUP(K$3,ConversionFactors,$D57,FALSE)/1000</t>
  </si>
  <si>
    <t>VLOOKUP($B57,RawData,L$4,FALSE)*VLOOKUP(L$3,ConversionFactors,$D57,FALSE)/1000</t>
  </si>
  <si>
    <t>VLOOKUP($B57,RawData,M$4,FALSE)*VLOOKUP(M$3,ConversionFactors,$D57,FALSE)/1000</t>
  </si>
  <si>
    <t>VLOOKUP($B57,RawData,N$4,FALSE)*VLOOKUP(N$3,ConversionFactors,$D57,FALSE)/1000</t>
  </si>
  <si>
    <t>(VLOOKUP($B57,RawData,O$4,FALSE)*VLOOKUP(O$3,ConversionFactors,2,FALSE))*1</t>
  </si>
  <si>
    <t>(VLOOKUP($B57,RawData,P$4,FALSE)*VLOOKUP(P$3,ConversionFactors,2,FALSE))*1</t>
  </si>
  <si>
    <t>(VLOOKUP($B57,RawData,Q$4,FALSE)*VLOOKUP(Q$3,ConversionFactors,2,FALSE))*1</t>
  </si>
  <si>
    <t>(VLOOKUP($B57,RawData,R$4,FALSE)*VLOOKUP(R$3,ConversionFactors,2,FALSE))*1</t>
  </si>
  <si>
    <t>VLOOKUP($B57,RawData,T$4,FALSE)*VLOOKUP(T$3,ConversionFactors,$D57,FALSE)/1000</t>
  </si>
  <si>
    <t>VLOOKUP($B57,RawData,U$4,FALSE)*VLOOKUP(U$3,ConversionFactors,$D57,FALSE)/1000</t>
  </si>
  <si>
    <t>VLOOKUP($B57,RawData,V$4,FALSE)*VLOOKUP(V$3,ConversionFactors,$D57,FALSE)/1000</t>
  </si>
  <si>
    <t>VLOOKUP($B57,RawData,W$4,FALSE)*VLOOKUP(W$3,ConversionFactors,2,FALSE)/1000</t>
  </si>
  <si>
    <t>VLOOKUP($B57,RawData,X$4,FALSE)*VLOOKUP(X$3,ConversionFactors,2,FALSE)/1000</t>
  </si>
  <si>
    <t>VLOOKUP($B57,RawData,Y$4,FALSE)*VLOOKUP(Y$3,ConversionFactors,2,FALSE)/1000</t>
  </si>
  <si>
    <t>VLOOKUP($B57,RawData,Z$4,FALSE)*VLOOKUP(Z$3,ConversionFactors,2,FALSE)/1000</t>
  </si>
  <si>
    <t>VLOOKUP($B57,RawData,AA$4,FALSE)*VLOOKUP(AA$3,ConversionFactors,2,FALSE)/1000</t>
  </si>
  <si>
    <t>VLOOKUP($B57,RawData,AB$4,FALSE)*VLOOKUP(AB$3,ConversionFactors,2,FALSE)/1000</t>
  </si>
  <si>
    <t>VLOOKUP($B57,RawData,AC$4,FALSE)*VLOOKUP(AC$3,ConversionFactors,2,FALSE)/1000</t>
  </si>
  <si>
    <t>VLOOKUP($B57,RawData,AD$4,FALSE)*VLOOKUP(AD$3,ConversionFactors,2,FALSE)/1000</t>
  </si>
  <si>
    <t>VLOOKUP($B57,RawData,AE$4,FALSE)*VLOOKUP(AE$3,ConversionFactors,2,FALSE)/1000</t>
  </si>
  <si>
    <t>VLOOKUP($B57,RawData,AF$4,FALSE)*VLOOKUP(AF$3,ConversionFactors,2,FALSE)/1000</t>
  </si>
  <si>
    <t>VLOOKUP($B57,RawData,AG$4,FALSE)*VLOOKUP(AG$3,ConversionFactors,2,FALSE)/1000</t>
  </si>
  <si>
    <t>VLOOKUP($B57,RawData,AH$4,FALSE)*VLOOKUP(AH$3,ConversionFactors,2,FALSE)/1000</t>
  </si>
  <si>
    <t>VLOOKUP($B57,RawData,AI$4,FALSE)*VLOOKUP(AI$3,ConversionFactors,2,FALSE)/1000</t>
  </si>
  <si>
    <t>VLOOKUP($B57,RawData,AJ$4,FALSE)*VLOOKUP(AJ$3,ConversionFactors,2,FALSE)/1000</t>
  </si>
  <si>
    <t>VLOOKUP($B57,RawData,AK$4,FALSE)*VLOOKUP(AK$3,ConversionFactors,2,FALSE)/1000</t>
  </si>
  <si>
    <t>VLOOKUP($B57,RawData,AL$4,FALSE)*VLOOKUP(AL$3,ConversionFactors,2,FALSE)/1000</t>
  </si>
  <si>
    <t>VLOOKUP($B57,RawData,AM$4,FALSE)*VLOOKUP(AM$3,ConversionFactors,2,FALSE)/1000</t>
  </si>
  <si>
    <t>VLOOKUP($B57,RawData,AN$4,FALSE)*VLOOKUP(AN$3,ConversionFactors,2,FALSE)/1000</t>
  </si>
  <si>
    <t>VLOOKUP($B57,RawData,AO$4,FALSE)*VLOOKUP(AO$3,ConversionFactors,2,FALSE)/1000</t>
  </si>
  <si>
    <t>VLOOKUP($B57,RawData,AP$4,FALSE)*VLOOKUP(AP$3,ConversionFactors,2,FALSE)/1000</t>
  </si>
  <si>
    <t>VLOOKUP($B57,RawData,AQ$4,FALSE)*VLOOKUP(AQ$3,ConversionFactors,2,FALSE)/1000</t>
  </si>
  <si>
    <t>VLOOKUP($B57,RawData,AR$4,FALSE)*VLOOKUP(AR$3,ConversionFactors,2,FALSE)/1000</t>
  </si>
  <si>
    <t>VLOOKUP($B57,RawData,AS$4,FALSE)*VLOOKUP(AS$3,ConversionFactors,2,FALSE)*1</t>
  </si>
  <si>
    <t>VLOOKUP($B57,RawData,AT$4,FALSE)*1</t>
  </si>
  <si>
    <t>VLOOKUP($B57,RawData,AU$4,FALSE)*1</t>
  </si>
  <si>
    <t>VLOOKUP($B57,RawData,AV$4,FALSE)*1</t>
  </si>
  <si>
    <t>VLOOKUP($B57,RawData,AW$4,FALSE)*1</t>
  </si>
  <si>
    <t>VLOOKUP($B57,RawData,AX$4,FALSE)*1</t>
  </si>
  <si>
    <t>VLOOKUP($B57,RawData,AY$4,FALSE)*VLOOKUP(AY$3,ConversionFactors,2,FALSE)/1000</t>
  </si>
  <si>
    <t>VLOOKUP($B57,RawData,AZ$4,FALSE)*VLOOKUP(AZ$3,ConversionFactors,2,FALSE)/1000</t>
  </si>
  <si>
    <t>VLOOKUP($B57,RawData,BA$4,FALSE)*VLOOKUP(BA$3,ConversionFactors,2,FALSE)/1000</t>
  </si>
  <si>
    <t>VLOOKUP($B57,RawData,BB$4,FALSE)*VLOOKUP(BB$3,ConversionFactors,2,FALSE)/1000</t>
  </si>
  <si>
    <t>VLOOKUP($B57,RawData,BC$4,FALSE)*1</t>
  </si>
  <si>
    <t>VLOOKUP($B57,RawData,BD$4,FALSE)*VLOOKUP(BD$3,ConversionFactors,2,FALSE)/1000</t>
  </si>
  <si>
    <t>VLOOKUP($B57,RawData,BG$4,FALSE)*1</t>
  </si>
  <si>
    <t>VLOOKUP($B57,RawData,BI$4,FALSE)*1</t>
  </si>
  <si>
    <t>VLOOKUP($B57,RawData,BM$4,FALSE)*3.6</t>
  </si>
  <si>
    <t>VLOOKUP($B57,RawData,BN$4,FALSE)*1</t>
  </si>
  <si>
    <t>VLOOKUP($B58,RawData,E$4,FALSE)*VLOOKUP(E$3,ConversionFactors,$D58,FALSE)/1000</t>
  </si>
  <si>
    <t>VLOOKUP($B58,RawData,F$4,FALSE)*VLOOKUP(F$3,ConversionFactors,$D58,FALSE)/1000</t>
  </si>
  <si>
    <t>VLOOKUP($B58,RawData,G$4,FALSE)*VLOOKUP(G$3,ConversionFactors,$D58,FALSE)/1000</t>
  </si>
  <si>
    <t>VLOOKUP($B58,RawData,H$4,FALSE)*VLOOKUP(H$3,ConversionFactors,$D58,FALSE)/1000</t>
  </si>
  <si>
    <t>VLOOKUP($B58,RawData,I$4,FALSE)*VLOOKUP(I$3,ConversionFactors,$D58,FALSE)/1000</t>
  </si>
  <si>
    <t>VLOOKUP($B58,RawData,J$4,FALSE)*VLOOKUP(J$3,ConversionFactors,$D58,FALSE)/1000</t>
  </si>
  <si>
    <t>VLOOKUP($B58,RawData,K$4,FALSE)*VLOOKUP(K$3,ConversionFactors,$D58,FALSE)/1000</t>
  </si>
  <si>
    <t>VLOOKUP($B58,RawData,L$4,FALSE)*VLOOKUP(L$3,ConversionFactors,$D58,FALSE)/1000</t>
  </si>
  <si>
    <t>VLOOKUP($B58,RawData,M$4,FALSE)*VLOOKUP(M$3,ConversionFactors,$D58,FALSE)/1000</t>
  </si>
  <si>
    <t>VLOOKUP($B58,RawData,N$4,FALSE)*VLOOKUP(N$3,ConversionFactors,$D58,FALSE)/1000</t>
  </si>
  <si>
    <t>(VLOOKUP($B58,RawData,O$4,FALSE)*VLOOKUP(O$3,ConversionFactors,2,FALSE))*1</t>
  </si>
  <si>
    <t>(VLOOKUP($B58,RawData,P$4,FALSE)*VLOOKUP(P$3,ConversionFactors,2,FALSE))*1</t>
  </si>
  <si>
    <t>(VLOOKUP($B58,RawData,Q$4,FALSE)*VLOOKUP(Q$3,ConversionFactors,2,FALSE))*1</t>
  </si>
  <si>
    <t>(VLOOKUP($B58,RawData,R$4,FALSE)*VLOOKUP(R$3,ConversionFactors,2,FALSE))*1</t>
  </si>
  <si>
    <t>VLOOKUP($B58,RawData,T$4,FALSE)*VLOOKUP(T$3,ConversionFactors,$D58,FALSE)/1000</t>
  </si>
  <si>
    <t>VLOOKUP($B58,RawData,U$4,FALSE)*VLOOKUP(U$3,ConversionFactors,$D58,FALSE)/1000</t>
  </si>
  <si>
    <t>VLOOKUP($B58,RawData,V$4,FALSE)*VLOOKUP(V$3,ConversionFactors,$D58,FALSE)/1000</t>
  </si>
  <si>
    <t>VLOOKUP($B58,RawData,W$4,FALSE)*VLOOKUP(W$3,ConversionFactors,2,FALSE)/1000</t>
  </si>
  <si>
    <t>VLOOKUP($B58,RawData,X$4,FALSE)*VLOOKUP(X$3,ConversionFactors,2,FALSE)/1000</t>
  </si>
  <si>
    <t>VLOOKUP($B58,RawData,Y$4,FALSE)*VLOOKUP(Y$3,ConversionFactors,2,FALSE)/1000</t>
  </si>
  <si>
    <t>VLOOKUP($B58,RawData,Z$4,FALSE)*VLOOKUP(Z$3,ConversionFactors,2,FALSE)/1000</t>
  </si>
  <si>
    <t>VLOOKUP($B58,RawData,AA$4,FALSE)*VLOOKUP(AA$3,ConversionFactors,2,FALSE)/1000</t>
  </si>
  <si>
    <t>VLOOKUP($B58,RawData,AB$4,FALSE)*VLOOKUP(AB$3,ConversionFactors,2,FALSE)/1000</t>
  </si>
  <si>
    <t>VLOOKUP($B58,RawData,AC$4,FALSE)*VLOOKUP(AC$3,ConversionFactors,2,FALSE)/1000</t>
  </si>
  <si>
    <t>VLOOKUP($B58,RawData,AD$4,FALSE)*VLOOKUP(AD$3,ConversionFactors,2,FALSE)/1000</t>
  </si>
  <si>
    <t>VLOOKUP($B58,RawData,AE$4,FALSE)*VLOOKUP(AE$3,ConversionFactors,2,FALSE)/1000</t>
  </si>
  <si>
    <t>VLOOKUP($B58,RawData,AF$4,FALSE)*VLOOKUP(AF$3,ConversionFactors,2,FALSE)/1000</t>
  </si>
  <si>
    <t>VLOOKUP($B58,RawData,AG$4,FALSE)*VLOOKUP(AG$3,ConversionFactors,2,FALSE)/1000</t>
  </si>
  <si>
    <t>VLOOKUP($B58,RawData,AH$4,FALSE)*VLOOKUP(AH$3,ConversionFactors,2,FALSE)/1000</t>
  </si>
  <si>
    <t>VLOOKUP($B58,RawData,AI$4,FALSE)*VLOOKUP(AI$3,ConversionFactors,2,FALSE)/1000</t>
  </si>
  <si>
    <t>VLOOKUP($B58,RawData,AJ$4,FALSE)*VLOOKUP(AJ$3,ConversionFactors,2,FALSE)/1000</t>
  </si>
  <si>
    <t>VLOOKUP($B58,RawData,AK$4,FALSE)*VLOOKUP(AK$3,ConversionFactors,2,FALSE)/1000</t>
  </si>
  <si>
    <t>VLOOKUP($B58,RawData,AL$4,FALSE)*VLOOKUP(AL$3,ConversionFactors,2,FALSE)/1000</t>
  </si>
  <si>
    <t>VLOOKUP($B58,RawData,AM$4,FALSE)*VLOOKUP(AM$3,ConversionFactors,2,FALSE)/1000</t>
  </si>
  <si>
    <t>VLOOKUP($B58,RawData,AN$4,FALSE)*VLOOKUP(AN$3,ConversionFactors,2,FALSE)/1000</t>
  </si>
  <si>
    <t>VLOOKUP($B58,RawData,AO$4,FALSE)*VLOOKUP(AO$3,ConversionFactors,2,FALSE)/1000</t>
  </si>
  <si>
    <t>VLOOKUP($B58,RawData,AP$4,FALSE)*VLOOKUP(AP$3,ConversionFactors,2,FALSE)/1000</t>
  </si>
  <si>
    <t>VLOOKUP($B58,RawData,AQ$4,FALSE)*VLOOKUP(AQ$3,ConversionFactors,2,FALSE)/1000</t>
  </si>
  <si>
    <t>VLOOKUP($B58,RawData,AR$4,FALSE)*VLOOKUP(AR$3,ConversionFactors,2,FALSE)/1000</t>
  </si>
  <si>
    <t>VLOOKUP($B58,RawData,AS$4,FALSE)*VLOOKUP(AS$3,ConversionFactors,2,FALSE)*1</t>
  </si>
  <si>
    <t>VLOOKUP($B58,RawData,AT$4,FALSE)*1</t>
  </si>
  <si>
    <t>VLOOKUP($B58,RawData,AU$4,FALSE)*1</t>
  </si>
  <si>
    <t>VLOOKUP($B58,RawData,AV$4,FALSE)*1</t>
  </si>
  <si>
    <t>VLOOKUP($B58,RawData,AW$4,FALSE)*1</t>
  </si>
  <si>
    <t>VLOOKUP($B58,RawData,AX$4,FALSE)*1</t>
  </si>
  <si>
    <t>VLOOKUP($B58,RawData,AY$4,FALSE)*VLOOKUP(AY$3,ConversionFactors,2,FALSE)/1000</t>
  </si>
  <si>
    <t>VLOOKUP($B58,RawData,AZ$4,FALSE)*VLOOKUP(AZ$3,ConversionFactors,2,FALSE)/1000</t>
  </si>
  <si>
    <t>VLOOKUP($B58,RawData,BA$4,FALSE)*VLOOKUP(BA$3,ConversionFactors,2,FALSE)/1000</t>
  </si>
  <si>
    <t>VLOOKUP($B58,RawData,BB$4,FALSE)*VLOOKUP(BB$3,ConversionFactors,2,FALSE)/1000</t>
  </si>
  <si>
    <t>VLOOKUP($B58,RawData,BC$4,FALSE)*1</t>
  </si>
  <si>
    <t>VLOOKUP($B58,RawData,BD$4,FALSE)*VLOOKUP(BD$3,ConversionFactors,2,FALSE)/1000</t>
  </si>
  <si>
    <t>VLOOKUP($B58,RawData,BG$4,FALSE)*1</t>
  </si>
  <si>
    <t>VLOOKUP($B58,RawData,BI$4,FALSE)*1</t>
  </si>
  <si>
    <t>VLOOKUP($B58,RawData,BM$4,FALSE)*3.6</t>
  </si>
  <si>
    <t>VLOOKUP($B58,RawData,BN$4,FALSE)*1</t>
  </si>
  <si>
    <t>VLOOKUP($B59,RawData,E$4,FALSE)*VLOOKUP(E$3,ConversionFactors,$D59,FALSE)/1000</t>
  </si>
  <si>
    <t>VLOOKUP($B59,RawData,F$4,FALSE)*VLOOKUP(F$3,ConversionFactors,$D59,FALSE)/1000</t>
  </si>
  <si>
    <t>VLOOKUP($B59,RawData,G$4,FALSE)*VLOOKUP(G$3,ConversionFactors,$D59,FALSE)/1000</t>
  </si>
  <si>
    <t>VLOOKUP($B59,RawData,H$4,FALSE)*VLOOKUP(H$3,ConversionFactors,$D59,FALSE)/1000</t>
  </si>
  <si>
    <t>VLOOKUP($B59,RawData,I$4,FALSE)*VLOOKUP(I$3,ConversionFactors,$D59,FALSE)/1000</t>
  </si>
  <si>
    <t>VLOOKUP($B59,RawData,J$4,FALSE)*VLOOKUP(J$3,ConversionFactors,$D59,FALSE)/1000</t>
  </si>
  <si>
    <t>VLOOKUP($B59,RawData,K$4,FALSE)*VLOOKUP(K$3,ConversionFactors,$D59,FALSE)/1000</t>
  </si>
  <si>
    <t>VLOOKUP($B59,RawData,L$4,FALSE)*VLOOKUP(L$3,ConversionFactors,$D59,FALSE)/1000</t>
  </si>
  <si>
    <t>VLOOKUP($B59,RawData,M$4,FALSE)*VLOOKUP(M$3,ConversionFactors,$D59,FALSE)/1000</t>
  </si>
  <si>
    <t>VLOOKUP($B59,RawData,N$4,FALSE)*VLOOKUP(N$3,ConversionFactors,$D59,FALSE)/1000</t>
  </si>
  <si>
    <t>(VLOOKUP($B59,RawData,O$4,FALSE)*VLOOKUP(O$3,ConversionFactors,2,FALSE))*1</t>
  </si>
  <si>
    <t>(VLOOKUP($B59,RawData,P$4,FALSE)*VLOOKUP(P$3,ConversionFactors,2,FALSE))*1</t>
  </si>
  <si>
    <t>(VLOOKUP($B59,RawData,Q$4,FALSE)*VLOOKUP(Q$3,ConversionFactors,2,FALSE))*1</t>
  </si>
  <si>
    <t>(VLOOKUP($B59,RawData,R$4,FALSE)*VLOOKUP(R$3,ConversionFactors,2,FALSE))*1</t>
  </si>
  <si>
    <t>VLOOKUP($B59,RawData,T$4,FALSE)*VLOOKUP(T$3,ConversionFactors,$D59,FALSE)/1000</t>
  </si>
  <si>
    <t>VLOOKUP($B59,RawData,U$4,FALSE)*VLOOKUP(U$3,ConversionFactors,$D59,FALSE)/1000</t>
  </si>
  <si>
    <t>VLOOKUP($B59,RawData,V$4,FALSE)*VLOOKUP(V$3,ConversionFactors,$D59,FALSE)/1000</t>
  </si>
  <si>
    <t>VLOOKUP($B59,RawData,W$4,FALSE)*VLOOKUP(W$3,ConversionFactors,2,FALSE)/1000</t>
  </si>
  <si>
    <t>VLOOKUP($B59,RawData,X$4,FALSE)*VLOOKUP(X$3,ConversionFactors,2,FALSE)/1000</t>
  </si>
  <si>
    <t>VLOOKUP($B59,RawData,Y$4,FALSE)*VLOOKUP(Y$3,ConversionFactors,2,FALSE)/1000</t>
  </si>
  <si>
    <t>VLOOKUP($B59,RawData,Z$4,FALSE)*VLOOKUP(Z$3,ConversionFactors,2,FALSE)/1000</t>
  </si>
  <si>
    <t>VLOOKUP($B59,RawData,AA$4,FALSE)*VLOOKUP(AA$3,ConversionFactors,2,FALSE)/1000</t>
  </si>
  <si>
    <t>VLOOKUP($B59,RawData,AB$4,FALSE)*VLOOKUP(AB$3,ConversionFactors,2,FALSE)/1000</t>
  </si>
  <si>
    <t>VLOOKUP($B59,RawData,AC$4,FALSE)*VLOOKUP(AC$3,ConversionFactors,2,FALSE)/1000</t>
  </si>
  <si>
    <t>VLOOKUP($B59,RawData,AD$4,FALSE)*VLOOKUP(AD$3,ConversionFactors,2,FALSE)/1000</t>
  </si>
  <si>
    <t>VLOOKUP($B59,RawData,AE$4,FALSE)*VLOOKUP(AE$3,ConversionFactors,2,FALSE)/1000</t>
  </si>
  <si>
    <t>VLOOKUP($B59,RawData,AF$4,FALSE)*VLOOKUP(AF$3,ConversionFactors,2,FALSE)/1000</t>
  </si>
  <si>
    <t>VLOOKUP($B59,RawData,AG$4,FALSE)*VLOOKUP(AG$3,ConversionFactors,2,FALSE)/1000</t>
  </si>
  <si>
    <t>VLOOKUP($B59,RawData,AH$4,FALSE)*VLOOKUP(AH$3,ConversionFactors,2,FALSE)/1000</t>
  </si>
  <si>
    <t>VLOOKUP($B59,RawData,AI$4,FALSE)*VLOOKUP(AI$3,ConversionFactors,2,FALSE)/1000</t>
  </si>
  <si>
    <t>VLOOKUP($B59,RawData,AJ$4,FALSE)*VLOOKUP(AJ$3,ConversionFactors,2,FALSE)/1000</t>
  </si>
  <si>
    <t>VLOOKUP($B59,RawData,AK$4,FALSE)*VLOOKUP(AK$3,ConversionFactors,2,FALSE)/1000</t>
  </si>
  <si>
    <t>VLOOKUP($B59,RawData,AL$4,FALSE)*VLOOKUP(AL$3,ConversionFactors,2,FALSE)/1000</t>
  </si>
  <si>
    <t>VLOOKUP($B59,RawData,AM$4,FALSE)*VLOOKUP(AM$3,ConversionFactors,2,FALSE)/1000</t>
  </si>
  <si>
    <t>VLOOKUP($B59,RawData,AN$4,FALSE)*VLOOKUP(AN$3,ConversionFactors,2,FALSE)/1000</t>
  </si>
  <si>
    <t>VLOOKUP($B59,RawData,AO$4,FALSE)*VLOOKUP(AO$3,ConversionFactors,2,FALSE)/1000</t>
  </si>
  <si>
    <t>VLOOKUP($B59,RawData,AP$4,FALSE)*VLOOKUP(AP$3,ConversionFactors,2,FALSE)/1000</t>
  </si>
  <si>
    <t>VLOOKUP($B59,RawData,AQ$4,FALSE)*VLOOKUP(AQ$3,ConversionFactors,2,FALSE)/1000</t>
  </si>
  <si>
    <t>VLOOKUP($B59,RawData,AR$4,FALSE)*VLOOKUP(AR$3,ConversionFactors,2,FALSE)/1000</t>
  </si>
  <si>
    <t>VLOOKUP($B59,RawData,AS$4,FALSE)*VLOOKUP(AS$3,ConversionFactors,2,FALSE)*1</t>
  </si>
  <si>
    <t>VLOOKUP($B59,RawData,AT$4,FALSE)*1</t>
  </si>
  <si>
    <t>VLOOKUP($B59,RawData,AU$4,FALSE)*1</t>
  </si>
  <si>
    <t>VLOOKUP($B59,RawData,AV$4,FALSE)*1</t>
  </si>
  <si>
    <t>VLOOKUP($B59,RawData,AW$4,FALSE)*1</t>
  </si>
  <si>
    <t>VLOOKUP($B59,RawData,AX$4,FALSE)*1</t>
  </si>
  <si>
    <t>VLOOKUP($B59,RawData,AY$4,FALSE)*VLOOKUP(AY$3,ConversionFactors,2,FALSE)/1000</t>
  </si>
  <si>
    <t>VLOOKUP($B59,RawData,AZ$4,FALSE)*VLOOKUP(AZ$3,ConversionFactors,2,FALSE)/1000</t>
  </si>
  <si>
    <t>VLOOKUP($B59,RawData,BA$4,FALSE)*VLOOKUP(BA$3,ConversionFactors,2,FALSE)/1000</t>
  </si>
  <si>
    <t>VLOOKUP($B59,RawData,BB$4,FALSE)*VLOOKUP(BB$3,ConversionFactors,2,FALSE)/1000</t>
  </si>
  <si>
    <t>VLOOKUP($B59,RawData,BC$4,FALSE)*1</t>
  </si>
  <si>
    <t>VLOOKUP($B59,RawData,BD$4,FALSE)*VLOOKUP(BD$3,ConversionFactors,2,FALSE)/1000</t>
  </si>
  <si>
    <t>VLOOKUP($B59,RawData,BG$4,FALSE)*1</t>
  </si>
  <si>
    <t>VLOOKUP($B59,RawData,BI$4,FALSE)*1</t>
  </si>
  <si>
    <t>VLOOKUP($B59,RawData,BM$4,FALSE)*3.6</t>
  </si>
  <si>
    <t>VLOOKUP($B59,RawData,BN$4,FALSE)*1</t>
  </si>
  <si>
    <t>VLOOKUP($B60,RawData,E$4,FALSE)*VLOOKUP(E$3,ConversionFactors,$D60,FALSE)/1000</t>
  </si>
  <si>
    <t>VLOOKUP($B60,RawData,F$4,FALSE)*VLOOKUP(F$3,ConversionFactors,$D60,FALSE)/1000</t>
  </si>
  <si>
    <t>VLOOKUP($B60,RawData,G$4,FALSE)*VLOOKUP(G$3,ConversionFactors,$D60,FALSE)/1000</t>
  </si>
  <si>
    <t>VLOOKUP($B60,RawData,H$4,FALSE)*VLOOKUP(H$3,ConversionFactors,$D60,FALSE)/1000</t>
  </si>
  <si>
    <t>VLOOKUP($B60,RawData,I$4,FALSE)*VLOOKUP(I$3,ConversionFactors,$D60,FALSE)/1000</t>
  </si>
  <si>
    <t>VLOOKUP($B60,RawData,J$4,FALSE)*VLOOKUP(J$3,ConversionFactors,$D60,FALSE)/1000</t>
  </si>
  <si>
    <t>VLOOKUP($B60,RawData,K$4,FALSE)*VLOOKUP(K$3,ConversionFactors,$D60,FALSE)/1000</t>
  </si>
  <si>
    <t>VLOOKUP($B60,RawData,L$4,FALSE)*VLOOKUP(L$3,ConversionFactors,$D60,FALSE)/1000</t>
  </si>
  <si>
    <t>VLOOKUP($B60,RawData,M$4,FALSE)*VLOOKUP(M$3,ConversionFactors,$D60,FALSE)/1000</t>
  </si>
  <si>
    <t>VLOOKUP($B60,RawData,N$4,FALSE)*VLOOKUP(N$3,ConversionFactors,$D60,FALSE)/1000</t>
  </si>
  <si>
    <t>(VLOOKUP($B60,RawData,O$4,FALSE)*VLOOKUP(O$3,ConversionFactors,2,FALSE))*1</t>
  </si>
  <si>
    <t>(VLOOKUP($B60,RawData,P$4,FALSE)*VLOOKUP(P$3,ConversionFactors,2,FALSE))*1</t>
  </si>
  <si>
    <t>(VLOOKUP($B60,RawData,Q$4,FALSE)*VLOOKUP(Q$3,ConversionFactors,2,FALSE))*1</t>
  </si>
  <si>
    <t>(VLOOKUP($B60,RawData,R$4,FALSE)*VLOOKUP(R$3,ConversionFactors,2,FALSE))*1</t>
  </si>
  <si>
    <t>VLOOKUP($B60,RawData,T$4,FALSE)*VLOOKUP(T$3,ConversionFactors,$D60,FALSE)/1000</t>
  </si>
  <si>
    <t>VLOOKUP($B60,RawData,U$4,FALSE)*VLOOKUP(U$3,ConversionFactors,$D60,FALSE)/1000</t>
  </si>
  <si>
    <t>VLOOKUP($B60,RawData,V$4,FALSE)*VLOOKUP(V$3,ConversionFactors,$D60,FALSE)/1000</t>
  </si>
  <si>
    <t>VLOOKUP($B60,RawData,W$4,FALSE)*VLOOKUP(W$3,ConversionFactors,2,FALSE)/1000</t>
  </si>
  <si>
    <t>VLOOKUP($B60,RawData,X$4,FALSE)*VLOOKUP(X$3,ConversionFactors,2,FALSE)/1000</t>
  </si>
  <si>
    <t>VLOOKUP($B60,RawData,Y$4,FALSE)*VLOOKUP(Y$3,ConversionFactors,2,FALSE)/1000</t>
  </si>
  <si>
    <t>VLOOKUP($B60,RawData,Z$4,FALSE)*VLOOKUP(Z$3,ConversionFactors,2,FALSE)/1000</t>
  </si>
  <si>
    <t>VLOOKUP($B60,RawData,AA$4,FALSE)*VLOOKUP(AA$3,ConversionFactors,2,FALSE)/1000</t>
  </si>
  <si>
    <t>VLOOKUP($B60,RawData,AB$4,FALSE)*VLOOKUP(AB$3,ConversionFactors,2,FALSE)/1000</t>
  </si>
  <si>
    <t>VLOOKUP($B60,RawData,AC$4,FALSE)*VLOOKUP(AC$3,ConversionFactors,2,FALSE)/1000</t>
  </si>
  <si>
    <t>VLOOKUP($B60,RawData,AD$4,FALSE)*VLOOKUP(AD$3,ConversionFactors,2,FALSE)/1000</t>
  </si>
  <si>
    <t>VLOOKUP($B60,RawData,AE$4,FALSE)*VLOOKUP(AE$3,ConversionFactors,2,FALSE)/1000</t>
  </si>
  <si>
    <t>VLOOKUP($B60,RawData,AF$4,FALSE)*VLOOKUP(AF$3,ConversionFactors,2,FALSE)/1000</t>
  </si>
  <si>
    <t>VLOOKUP($B60,RawData,AG$4,FALSE)*VLOOKUP(AG$3,ConversionFactors,2,FALSE)/1000</t>
  </si>
  <si>
    <t>VLOOKUP($B60,RawData,AH$4,FALSE)*VLOOKUP(AH$3,ConversionFactors,2,FALSE)/1000</t>
  </si>
  <si>
    <t>VLOOKUP($B60,RawData,AI$4,FALSE)*VLOOKUP(AI$3,ConversionFactors,2,FALSE)/1000</t>
  </si>
  <si>
    <t>VLOOKUP($B60,RawData,AJ$4,FALSE)*VLOOKUP(AJ$3,ConversionFactors,2,FALSE)/1000</t>
  </si>
  <si>
    <t>VLOOKUP($B60,RawData,AK$4,FALSE)*VLOOKUP(AK$3,ConversionFactors,2,FALSE)/1000</t>
  </si>
  <si>
    <t>VLOOKUP($B60,RawData,AL$4,FALSE)*VLOOKUP(AL$3,ConversionFactors,2,FALSE)/1000</t>
  </si>
  <si>
    <t>VLOOKUP($B60,RawData,AM$4,FALSE)*VLOOKUP(AM$3,ConversionFactors,2,FALSE)/1000</t>
  </si>
  <si>
    <t>VLOOKUP($B60,RawData,AN$4,FALSE)*VLOOKUP(AN$3,ConversionFactors,2,FALSE)/1000</t>
  </si>
  <si>
    <t>VLOOKUP($B60,RawData,AO$4,FALSE)*VLOOKUP(AO$3,ConversionFactors,2,FALSE)/1000</t>
  </si>
  <si>
    <t>VLOOKUP($B60,RawData,AP$4,FALSE)*VLOOKUP(AP$3,ConversionFactors,2,FALSE)/1000</t>
  </si>
  <si>
    <t>VLOOKUP($B60,RawData,AQ$4,FALSE)*VLOOKUP(AQ$3,ConversionFactors,2,FALSE)/1000</t>
  </si>
  <si>
    <t>VLOOKUP($B60,RawData,AR$4,FALSE)*VLOOKUP(AR$3,ConversionFactors,2,FALSE)/1000</t>
  </si>
  <si>
    <t>VLOOKUP($B60,RawData,AS$4,FALSE)*VLOOKUP(AS$3,ConversionFactors,2,FALSE)*1</t>
  </si>
  <si>
    <t>VLOOKUP($B60,RawData,AT$4,FALSE)*1</t>
  </si>
  <si>
    <t>VLOOKUP($B60,RawData,AU$4,FALSE)*1</t>
  </si>
  <si>
    <t>VLOOKUP($B60,RawData,AV$4,FALSE)*1</t>
  </si>
  <si>
    <t>VLOOKUP($B60,RawData,AW$4,FALSE)*1</t>
  </si>
  <si>
    <t>VLOOKUP($B60,RawData,AX$4,FALSE)*1</t>
  </si>
  <si>
    <t>VLOOKUP($B60,RawData,AY$4,FALSE)*VLOOKUP(AY$3,ConversionFactors,2,FALSE)/1000</t>
  </si>
  <si>
    <t>VLOOKUP($B60,RawData,AZ$4,FALSE)*VLOOKUP(AZ$3,ConversionFactors,2,FALSE)/1000</t>
  </si>
  <si>
    <t>VLOOKUP($B60,RawData,BA$4,FALSE)*VLOOKUP(BA$3,ConversionFactors,2,FALSE)/1000</t>
  </si>
  <si>
    <t>VLOOKUP($B60,RawData,BB$4,FALSE)*VLOOKUP(BB$3,ConversionFactors,2,FALSE)/1000</t>
  </si>
  <si>
    <t>VLOOKUP($B60,RawData,BC$4,FALSE)*1</t>
  </si>
  <si>
    <t>VLOOKUP($B60,RawData,BD$4,FALSE)*VLOOKUP(BD$3,ConversionFactors,2,FALSE)/1000</t>
  </si>
  <si>
    <t>VLOOKUP($B60,RawData,BG$4,FALSE)*1</t>
  </si>
  <si>
    <t>VLOOKUP($B60,RawData,BI$4,FALSE)*1</t>
  </si>
  <si>
    <t>VLOOKUP($B60,RawData,BM$4,FALSE)*3.6</t>
  </si>
  <si>
    <t>VLOOKUP($B60,RawData,BN$4,FALSE)*1</t>
  </si>
  <si>
    <t>VLOOKUP($B61,RawData,E$4,FALSE)*VLOOKUP(E$3,ConversionFactors,$D61,FALSE)/1000</t>
  </si>
  <si>
    <t>VLOOKUP($B61,RawData,F$4,FALSE)*VLOOKUP(F$3,ConversionFactors,$D61,FALSE)/1000</t>
  </si>
  <si>
    <t>VLOOKUP($B61,RawData,G$4,FALSE)*VLOOKUP(G$3,ConversionFactors,$D61,FALSE)/1000</t>
  </si>
  <si>
    <t>VLOOKUP($B61,RawData,H$4,FALSE)*VLOOKUP(H$3,ConversionFactors,$D61,FALSE)/1000</t>
  </si>
  <si>
    <t>VLOOKUP($B61,RawData,I$4,FALSE)*VLOOKUP(I$3,ConversionFactors,$D61,FALSE)/1000</t>
  </si>
  <si>
    <t>VLOOKUP($B61,RawData,J$4,FALSE)*VLOOKUP(J$3,ConversionFactors,$D61,FALSE)/1000</t>
  </si>
  <si>
    <t>VLOOKUP($B61,RawData,K$4,FALSE)*VLOOKUP(K$3,ConversionFactors,$D61,FALSE)/1000</t>
  </si>
  <si>
    <t>VLOOKUP($B61,RawData,L$4,FALSE)*VLOOKUP(L$3,ConversionFactors,$D61,FALSE)/1000</t>
  </si>
  <si>
    <t>VLOOKUP($B61,RawData,M$4,FALSE)*VLOOKUP(M$3,ConversionFactors,$D61,FALSE)/1000</t>
  </si>
  <si>
    <t>VLOOKUP($B61,RawData,N$4,FALSE)*VLOOKUP(N$3,ConversionFactors,$D61,FALSE)/1000</t>
  </si>
  <si>
    <t>(VLOOKUP($B61,RawData,O$4,FALSE)*VLOOKUP(O$3,ConversionFactors,2,FALSE))*1</t>
  </si>
  <si>
    <t>(VLOOKUP($B61,RawData,P$4,FALSE)*VLOOKUP(P$3,ConversionFactors,2,FALSE))*1</t>
  </si>
  <si>
    <t>(VLOOKUP($B61,RawData,Q$4,FALSE)*VLOOKUP(Q$3,ConversionFactors,2,FALSE))*1</t>
  </si>
  <si>
    <t>(VLOOKUP($B61,RawData,R$4,FALSE)*VLOOKUP(R$3,ConversionFactors,2,FALSE))*1</t>
  </si>
  <si>
    <t>VLOOKUP($B61,RawData,T$4,FALSE)*VLOOKUP(T$3,ConversionFactors,$D61,FALSE)/1000</t>
  </si>
  <si>
    <t>VLOOKUP($B61,RawData,U$4,FALSE)*VLOOKUP(U$3,ConversionFactors,$D61,FALSE)/1000</t>
  </si>
  <si>
    <t>VLOOKUP($B61,RawData,V$4,FALSE)*VLOOKUP(V$3,ConversionFactors,$D61,FALSE)/1000</t>
  </si>
  <si>
    <t>VLOOKUP($B61,RawData,W$4,FALSE)*VLOOKUP(W$3,ConversionFactors,2,FALSE)/1000</t>
  </si>
  <si>
    <t>VLOOKUP($B61,RawData,X$4,FALSE)*VLOOKUP(X$3,ConversionFactors,2,FALSE)/1000</t>
  </si>
  <si>
    <t>VLOOKUP($B61,RawData,Y$4,FALSE)*VLOOKUP(Y$3,ConversionFactors,2,FALSE)/1000</t>
  </si>
  <si>
    <t>VLOOKUP($B61,RawData,Z$4,FALSE)*VLOOKUP(Z$3,ConversionFactors,2,FALSE)/1000</t>
  </si>
  <si>
    <t>VLOOKUP($B61,RawData,AA$4,FALSE)*VLOOKUP(AA$3,ConversionFactors,2,FALSE)/1000</t>
  </si>
  <si>
    <t>VLOOKUP($B61,RawData,AB$4,FALSE)*VLOOKUP(AB$3,ConversionFactors,2,FALSE)/1000</t>
  </si>
  <si>
    <t>VLOOKUP($B61,RawData,AC$4,FALSE)*VLOOKUP(AC$3,ConversionFactors,2,FALSE)/1000</t>
  </si>
  <si>
    <t>VLOOKUP($B61,RawData,AD$4,FALSE)*VLOOKUP(AD$3,ConversionFactors,2,FALSE)/1000</t>
  </si>
  <si>
    <t>VLOOKUP($B61,RawData,AE$4,FALSE)*VLOOKUP(AE$3,ConversionFactors,2,FALSE)/1000</t>
  </si>
  <si>
    <t>VLOOKUP($B61,RawData,AF$4,FALSE)*VLOOKUP(AF$3,ConversionFactors,2,FALSE)/1000</t>
  </si>
  <si>
    <t>VLOOKUP($B61,RawData,AG$4,FALSE)*VLOOKUP(AG$3,ConversionFactors,2,FALSE)/1000</t>
  </si>
  <si>
    <t>VLOOKUP($B61,RawData,AH$4,FALSE)*VLOOKUP(AH$3,ConversionFactors,2,FALSE)/1000</t>
  </si>
  <si>
    <t>VLOOKUP($B61,RawData,AI$4,FALSE)*VLOOKUP(AI$3,ConversionFactors,2,FALSE)/1000</t>
  </si>
  <si>
    <t>VLOOKUP($B61,RawData,AJ$4,FALSE)*VLOOKUP(AJ$3,ConversionFactors,2,FALSE)/1000</t>
  </si>
  <si>
    <t>VLOOKUP($B61,RawData,AK$4,FALSE)*VLOOKUP(AK$3,ConversionFactors,2,FALSE)/1000</t>
  </si>
  <si>
    <t>VLOOKUP($B61,RawData,AL$4,FALSE)*VLOOKUP(AL$3,ConversionFactors,2,FALSE)/1000</t>
  </si>
  <si>
    <t>VLOOKUP($B61,RawData,AM$4,FALSE)*VLOOKUP(AM$3,ConversionFactors,2,FALSE)/1000</t>
  </si>
  <si>
    <t>VLOOKUP($B61,RawData,AN$4,FALSE)*VLOOKUP(AN$3,ConversionFactors,2,FALSE)/1000</t>
  </si>
  <si>
    <t>VLOOKUP($B61,RawData,AO$4,FALSE)*VLOOKUP(AO$3,ConversionFactors,2,FALSE)/1000</t>
  </si>
  <si>
    <t>VLOOKUP($B61,RawData,AP$4,FALSE)*VLOOKUP(AP$3,ConversionFactors,2,FALSE)/1000</t>
  </si>
  <si>
    <t>VLOOKUP($B61,RawData,AQ$4,FALSE)*VLOOKUP(AQ$3,ConversionFactors,2,FALSE)/1000</t>
  </si>
  <si>
    <t>VLOOKUP($B61,RawData,AR$4,FALSE)*VLOOKUP(AR$3,ConversionFactors,2,FALSE)/1000</t>
  </si>
  <si>
    <t>VLOOKUP($B61,RawData,AS$4,FALSE)*VLOOKUP(AS$3,ConversionFactors,2,FALSE)*1</t>
  </si>
  <si>
    <t>VLOOKUP($B61,RawData,AT$4,FALSE)*1</t>
  </si>
  <si>
    <t>VLOOKUP($B61,RawData,AU$4,FALSE)*1</t>
  </si>
  <si>
    <t>VLOOKUP($B61,RawData,AV$4,FALSE)*1</t>
  </si>
  <si>
    <t>VLOOKUP($B61,RawData,AW$4,FALSE)*1</t>
  </si>
  <si>
    <t>VLOOKUP($B61,RawData,AX$4,FALSE)*1</t>
  </si>
  <si>
    <t>VLOOKUP($B61,RawData,AY$4,FALSE)*VLOOKUP(AY$3,ConversionFactors,2,FALSE)/1000</t>
  </si>
  <si>
    <t>VLOOKUP($B61,RawData,AZ$4,FALSE)*VLOOKUP(AZ$3,ConversionFactors,2,FALSE)/1000</t>
  </si>
  <si>
    <t>VLOOKUP($B61,RawData,BA$4,FALSE)*VLOOKUP(BA$3,ConversionFactors,2,FALSE)/1000</t>
  </si>
  <si>
    <t>VLOOKUP($B61,RawData,BB$4,FALSE)*VLOOKUP(BB$3,ConversionFactors,2,FALSE)/1000</t>
  </si>
  <si>
    <t>VLOOKUP($B61,RawData,BC$4,FALSE)*1</t>
  </si>
  <si>
    <t>VLOOKUP($B61,RawData,BD$4,FALSE)*VLOOKUP(BD$3,ConversionFactors,2,FALSE)/1000</t>
  </si>
  <si>
    <t>VLOOKUP($B61,RawData,BG$4,FALSE)*1</t>
  </si>
  <si>
    <t>VLOOKUP($B61,RawData,BI$4,FALSE)*1</t>
  </si>
  <si>
    <t>VLOOKUP($B61,RawData,BM$4,FALSE)*3.6</t>
  </si>
  <si>
    <t>VLOOKUP($B61,RawData,BN$4,FALSE)*1</t>
  </si>
  <si>
    <t>VLOOKUP($B62,RawData,E$4,FALSE)*VLOOKUP(E$3,ConversionFactors,$D62,FALSE)/1000</t>
  </si>
  <si>
    <t>VLOOKUP($B62,RawData,F$4,FALSE)*VLOOKUP(F$3,ConversionFactors,$D62,FALSE)/1000</t>
  </si>
  <si>
    <t>VLOOKUP($B62,RawData,G$4,FALSE)*VLOOKUP(G$3,ConversionFactors,$D62,FALSE)/1000</t>
  </si>
  <si>
    <t>VLOOKUP($B62,RawData,H$4,FALSE)*VLOOKUP(H$3,ConversionFactors,$D62,FALSE)/1000</t>
  </si>
  <si>
    <t>VLOOKUP($B62,RawData,I$4,FALSE)*VLOOKUP(I$3,ConversionFactors,$D62,FALSE)/1000</t>
  </si>
  <si>
    <t>VLOOKUP($B62,RawData,J$4,FALSE)*VLOOKUP(J$3,ConversionFactors,$D62,FALSE)/1000</t>
  </si>
  <si>
    <t>VLOOKUP($B62,RawData,K$4,FALSE)*VLOOKUP(K$3,ConversionFactors,$D62,FALSE)/1000</t>
  </si>
  <si>
    <t>VLOOKUP($B62,RawData,L$4,FALSE)*VLOOKUP(L$3,ConversionFactors,$D62,FALSE)/1000</t>
  </si>
  <si>
    <t>VLOOKUP($B62,RawData,M$4,FALSE)*VLOOKUP(M$3,ConversionFactors,$D62,FALSE)/1000</t>
  </si>
  <si>
    <t>VLOOKUP($B62,RawData,N$4,FALSE)*VLOOKUP(N$3,ConversionFactors,$D62,FALSE)/1000</t>
  </si>
  <si>
    <t>(VLOOKUP($B62,RawData,O$4,FALSE)*VLOOKUP(O$3,ConversionFactors,2,FALSE))*1</t>
  </si>
  <si>
    <t>(VLOOKUP($B62,RawData,P$4,FALSE)*VLOOKUP(P$3,ConversionFactors,2,FALSE))*1</t>
  </si>
  <si>
    <t>(VLOOKUP($B62,RawData,Q$4,FALSE)*VLOOKUP(Q$3,ConversionFactors,2,FALSE))*1</t>
  </si>
  <si>
    <t>(VLOOKUP($B62,RawData,R$4,FALSE)*VLOOKUP(R$3,ConversionFactors,2,FALSE))*1</t>
  </si>
  <si>
    <t>VLOOKUP($B62,RawData,T$4,FALSE)*VLOOKUP(T$3,ConversionFactors,$D62,FALSE)/1000</t>
  </si>
  <si>
    <t>VLOOKUP($B62,RawData,U$4,FALSE)*VLOOKUP(U$3,ConversionFactors,$D62,FALSE)/1000</t>
  </si>
  <si>
    <t>VLOOKUP($B62,RawData,V$4,FALSE)*VLOOKUP(V$3,ConversionFactors,$D62,FALSE)/1000</t>
  </si>
  <si>
    <t>VLOOKUP($B62,RawData,W$4,FALSE)*VLOOKUP(W$3,ConversionFactors,2,FALSE)/1000</t>
  </si>
  <si>
    <t>VLOOKUP($B62,RawData,X$4,FALSE)*VLOOKUP(X$3,ConversionFactors,2,FALSE)/1000</t>
  </si>
  <si>
    <t>VLOOKUP($B62,RawData,Y$4,FALSE)*VLOOKUP(Y$3,ConversionFactors,2,FALSE)/1000</t>
  </si>
  <si>
    <t>VLOOKUP($B62,RawData,Z$4,FALSE)*VLOOKUP(Z$3,ConversionFactors,2,FALSE)/1000</t>
  </si>
  <si>
    <t>VLOOKUP($B62,RawData,AA$4,FALSE)*VLOOKUP(AA$3,ConversionFactors,2,FALSE)/1000</t>
  </si>
  <si>
    <t>VLOOKUP($B62,RawData,AB$4,FALSE)*VLOOKUP(AB$3,ConversionFactors,2,FALSE)/1000</t>
  </si>
  <si>
    <t>VLOOKUP($B62,RawData,AC$4,FALSE)*VLOOKUP(AC$3,ConversionFactors,2,FALSE)/1000</t>
  </si>
  <si>
    <t>VLOOKUP($B62,RawData,AD$4,FALSE)*VLOOKUP(AD$3,ConversionFactors,2,FALSE)/1000</t>
  </si>
  <si>
    <t>VLOOKUP($B62,RawData,AE$4,FALSE)*VLOOKUP(AE$3,ConversionFactors,2,FALSE)/1000</t>
  </si>
  <si>
    <t>VLOOKUP($B62,RawData,AF$4,FALSE)*VLOOKUP(AF$3,ConversionFactors,2,FALSE)/1000</t>
  </si>
  <si>
    <t>VLOOKUP($B62,RawData,AG$4,FALSE)*VLOOKUP(AG$3,ConversionFactors,2,FALSE)/1000</t>
  </si>
  <si>
    <t>VLOOKUP($B62,RawData,AH$4,FALSE)*VLOOKUP(AH$3,ConversionFactors,2,FALSE)/1000</t>
  </si>
  <si>
    <t>VLOOKUP($B62,RawData,AI$4,FALSE)*VLOOKUP(AI$3,ConversionFactors,2,FALSE)/1000</t>
  </si>
  <si>
    <t>VLOOKUP($B62,RawData,AJ$4,FALSE)*VLOOKUP(AJ$3,ConversionFactors,2,FALSE)/1000</t>
  </si>
  <si>
    <t>VLOOKUP($B62,RawData,AK$4,FALSE)*VLOOKUP(AK$3,ConversionFactors,2,FALSE)/1000</t>
  </si>
  <si>
    <t>VLOOKUP($B62,RawData,AL$4,FALSE)*VLOOKUP(AL$3,ConversionFactors,2,FALSE)/1000</t>
  </si>
  <si>
    <t>VLOOKUP($B62,RawData,AM$4,FALSE)*VLOOKUP(AM$3,ConversionFactors,2,FALSE)/1000</t>
  </si>
  <si>
    <t>VLOOKUP($B62,RawData,AN$4,FALSE)*VLOOKUP(AN$3,ConversionFactors,2,FALSE)/1000</t>
  </si>
  <si>
    <t>VLOOKUP($B62,RawData,AO$4,FALSE)*VLOOKUP(AO$3,ConversionFactors,2,FALSE)/1000</t>
  </si>
  <si>
    <t>VLOOKUP($B62,RawData,AP$4,FALSE)*VLOOKUP(AP$3,ConversionFactors,2,FALSE)/1000</t>
  </si>
  <si>
    <t>VLOOKUP($B62,RawData,AQ$4,FALSE)*VLOOKUP(AQ$3,ConversionFactors,2,FALSE)/1000</t>
  </si>
  <si>
    <t>VLOOKUP($B62,RawData,AR$4,FALSE)*VLOOKUP(AR$3,ConversionFactors,2,FALSE)/1000</t>
  </si>
  <si>
    <t>VLOOKUP($B62,RawData,AS$4,FALSE)*VLOOKUP(AS$3,ConversionFactors,2,FALSE)*1</t>
  </si>
  <si>
    <t>VLOOKUP($B62,RawData,AT$4,FALSE)*1</t>
  </si>
  <si>
    <t>VLOOKUP($B62,RawData,AU$4,FALSE)*1</t>
  </si>
  <si>
    <t>VLOOKUP($B62,RawData,AV$4,FALSE)*1</t>
  </si>
  <si>
    <t>VLOOKUP($B62,RawData,AW$4,FALSE)*1</t>
  </si>
  <si>
    <t>VLOOKUP($B62,RawData,AX$4,FALSE)*1</t>
  </si>
  <si>
    <t>VLOOKUP($B62,RawData,AY$4,FALSE)*VLOOKUP(AY$3,ConversionFactors,2,FALSE)/1000</t>
  </si>
  <si>
    <t>VLOOKUP($B62,RawData,AZ$4,FALSE)*VLOOKUP(AZ$3,ConversionFactors,2,FALSE)/1000</t>
  </si>
  <si>
    <t>VLOOKUP($B62,RawData,BA$4,FALSE)*VLOOKUP(BA$3,ConversionFactors,2,FALSE)/1000</t>
  </si>
  <si>
    <t>VLOOKUP($B62,RawData,BB$4,FALSE)*VLOOKUP(BB$3,ConversionFactors,2,FALSE)/1000</t>
  </si>
  <si>
    <t>VLOOKUP($B62,RawData,BC$4,FALSE)*1</t>
  </si>
  <si>
    <t>VLOOKUP($B62,RawData,BD$4,FALSE)*VLOOKUP(BD$3,ConversionFactors,2,FALSE)/1000</t>
  </si>
  <si>
    <t>VLOOKUP($B62,RawData,BG$4,FALSE)*1</t>
  </si>
  <si>
    <t>VLOOKUP($B62,RawData,BI$4,FALSE)*1</t>
  </si>
  <si>
    <t>VLOOKUP($B62,RawData,BM$4,FALSE)*3.6</t>
  </si>
  <si>
    <t>VLOOKUP($B62,RawData,BN$4,FALSE)*1</t>
  </si>
  <si>
    <t>VLOOKUP($B63,RawData,E$4,FALSE)*VLOOKUP(E$3,ConversionFactors,$D63,FALSE)/1000</t>
  </si>
  <si>
    <t>VLOOKUP($B63,RawData,F$4,FALSE)*VLOOKUP(F$3,ConversionFactors,$D63,FALSE)/1000</t>
  </si>
  <si>
    <t>VLOOKUP($B63,RawData,G$4,FALSE)*VLOOKUP(G$3,ConversionFactors,$D63,FALSE)/1000</t>
  </si>
  <si>
    <t>VLOOKUP($B63,RawData,H$4,FALSE)*VLOOKUP(H$3,ConversionFactors,$D63,FALSE)/1000</t>
  </si>
  <si>
    <t>VLOOKUP($B63,RawData,I$4,FALSE)*VLOOKUP(I$3,ConversionFactors,$D63,FALSE)/1000</t>
  </si>
  <si>
    <t>VLOOKUP($B63,RawData,J$4,FALSE)*VLOOKUP(J$3,ConversionFactors,$D63,FALSE)/1000</t>
  </si>
  <si>
    <t>VLOOKUP($B63,RawData,K$4,FALSE)*VLOOKUP(K$3,ConversionFactors,$D63,FALSE)/1000</t>
  </si>
  <si>
    <t>VLOOKUP($B63,RawData,L$4,FALSE)*VLOOKUP(L$3,ConversionFactors,$D63,FALSE)/1000</t>
  </si>
  <si>
    <t>VLOOKUP($B63,RawData,M$4,FALSE)*VLOOKUP(M$3,ConversionFactors,$D63,FALSE)/1000</t>
  </si>
  <si>
    <t>VLOOKUP($B63,RawData,N$4,FALSE)*VLOOKUP(N$3,ConversionFactors,$D63,FALSE)/1000</t>
  </si>
  <si>
    <t>(VLOOKUP($B63,RawData,O$4,FALSE)*VLOOKUP(O$3,ConversionFactors,2,FALSE))*1</t>
  </si>
  <si>
    <t>(VLOOKUP($B63,RawData,P$4,FALSE)*VLOOKUP(P$3,ConversionFactors,2,FALSE))*1</t>
  </si>
  <si>
    <t>(VLOOKUP($B63,RawData,Q$4,FALSE)*VLOOKUP(Q$3,ConversionFactors,2,FALSE))*1</t>
  </si>
  <si>
    <t>(VLOOKUP($B63,RawData,R$4,FALSE)*VLOOKUP(R$3,ConversionFactors,2,FALSE))*1</t>
  </si>
  <si>
    <t>VLOOKUP($B63,RawData,T$4,FALSE)*VLOOKUP(T$3,ConversionFactors,$D63,FALSE)/1000</t>
  </si>
  <si>
    <t>VLOOKUP($B63,RawData,U$4,FALSE)*VLOOKUP(U$3,ConversionFactors,$D63,FALSE)/1000</t>
  </si>
  <si>
    <t>VLOOKUP($B63,RawData,V$4,FALSE)*VLOOKUP(V$3,ConversionFactors,$D63,FALSE)/1000</t>
  </si>
  <si>
    <t>VLOOKUP($B63,RawData,W$4,FALSE)*VLOOKUP(W$3,ConversionFactors,2,FALSE)/1000</t>
  </si>
  <si>
    <t>VLOOKUP($B63,RawData,X$4,FALSE)*VLOOKUP(X$3,ConversionFactors,2,FALSE)/1000</t>
  </si>
  <si>
    <t>VLOOKUP($B63,RawData,Y$4,FALSE)*VLOOKUP(Y$3,ConversionFactors,2,FALSE)/1000</t>
  </si>
  <si>
    <t>VLOOKUP($B63,RawData,Z$4,FALSE)*VLOOKUP(Z$3,ConversionFactors,2,FALSE)/1000</t>
  </si>
  <si>
    <t>VLOOKUP($B63,RawData,AA$4,FALSE)*VLOOKUP(AA$3,ConversionFactors,2,FALSE)/1000</t>
  </si>
  <si>
    <t>VLOOKUP($B63,RawData,AB$4,FALSE)*VLOOKUP(AB$3,ConversionFactors,2,FALSE)/1000</t>
  </si>
  <si>
    <t>VLOOKUP($B63,RawData,AC$4,FALSE)*VLOOKUP(AC$3,ConversionFactors,2,FALSE)/1000</t>
  </si>
  <si>
    <t>VLOOKUP($B63,RawData,AD$4,FALSE)*VLOOKUP(AD$3,ConversionFactors,2,FALSE)/1000</t>
  </si>
  <si>
    <t>VLOOKUP($B63,RawData,AE$4,FALSE)*VLOOKUP(AE$3,ConversionFactors,2,FALSE)/1000</t>
  </si>
  <si>
    <t>VLOOKUP($B63,RawData,AF$4,FALSE)*VLOOKUP(AF$3,ConversionFactors,2,FALSE)/1000</t>
  </si>
  <si>
    <t>VLOOKUP($B63,RawData,AG$4,FALSE)*VLOOKUP(AG$3,ConversionFactors,2,FALSE)/1000</t>
  </si>
  <si>
    <t>VLOOKUP($B63,RawData,AH$4,FALSE)*VLOOKUP(AH$3,ConversionFactors,2,FALSE)/1000</t>
  </si>
  <si>
    <t>VLOOKUP($B63,RawData,AI$4,FALSE)*VLOOKUP(AI$3,ConversionFactors,2,FALSE)/1000</t>
  </si>
  <si>
    <t>VLOOKUP($B63,RawData,AJ$4,FALSE)*VLOOKUP(AJ$3,ConversionFactors,2,FALSE)/1000</t>
  </si>
  <si>
    <t>VLOOKUP($B63,RawData,AK$4,FALSE)*VLOOKUP(AK$3,ConversionFactors,2,FALSE)/1000</t>
  </si>
  <si>
    <t>VLOOKUP($B63,RawData,AL$4,FALSE)*VLOOKUP(AL$3,ConversionFactors,2,FALSE)/1000</t>
  </si>
  <si>
    <t>VLOOKUP($B63,RawData,AM$4,FALSE)*VLOOKUP(AM$3,ConversionFactors,2,FALSE)/1000</t>
  </si>
  <si>
    <t>VLOOKUP($B63,RawData,AN$4,FALSE)*VLOOKUP(AN$3,ConversionFactors,2,FALSE)/1000</t>
  </si>
  <si>
    <t>VLOOKUP($B63,RawData,AO$4,FALSE)*VLOOKUP(AO$3,ConversionFactors,2,FALSE)/1000</t>
  </si>
  <si>
    <t>VLOOKUP($B63,RawData,AP$4,FALSE)*VLOOKUP(AP$3,ConversionFactors,2,FALSE)/1000</t>
  </si>
  <si>
    <t>VLOOKUP($B63,RawData,AQ$4,FALSE)*VLOOKUP(AQ$3,ConversionFactors,2,FALSE)/1000</t>
  </si>
  <si>
    <t>VLOOKUP($B63,RawData,AR$4,FALSE)*VLOOKUP(AR$3,ConversionFactors,2,FALSE)/1000</t>
  </si>
  <si>
    <t>VLOOKUP($B63,RawData,AS$4,FALSE)*VLOOKUP(AS$3,ConversionFactors,2,FALSE)*1</t>
  </si>
  <si>
    <t>VLOOKUP($B63,RawData,AT$4,FALSE)*1</t>
  </si>
  <si>
    <t>VLOOKUP($B63,RawData,AU$4,FALSE)*1</t>
  </si>
  <si>
    <t>VLOOKUP($B63,RawData,AV$4,FALSE)*1</t>
  </si>
  <si>
    <t>VLOOKUP($B63,RawData,AW$4,FALSE)*1</t>
  </si>
  <si>
    <t>VLOOKUP($B63,RawData,AX$4,FALSE)*1</t>
  </si>
  <si>
    <t>VLOOKUP($B63,RawData,AY$4,FALSE)*VLOOKUP(AY$3,ConversionFactors,2,FALSE)/1000</t>
  </si>
  <si>
    <t>VLOOKUP($B63,RawData,AZ$4,FALSE)*VLOOKUP(AZ$3,ConversionFactors,2,FALSE)/1000</t>
  </si>
  <si>
    <t>VLOOKUP($B63,RawData,BA$4,FALSE)*VLOOKUP(BA$3,ConversionFactors,2,FALSE)/1000</t>
  </si>
  <si>
    <t>VLOOKUP($B63,RawData,BB$4,FALSE)*VLOOKUP(BB$3,ConversionFactors,2,FALSE)/1000</t>
  </si>
  <si>
    <t>VLOOKUP($B63,RawData,BC$4,FALSE)*1</t>
  </si>
  <si>
    <t>VLOOKUP($B63,RawData,BD$4,FALSE)*VLOOKUP(BD$3,ConversionFactors,2,FALSE)/1000</t>
  </si>
  <si>
    <t>VLOOKUP($B63,RawData,BG$4,FALSE)*1</t>
  </si>
  <si>
    <t>VLOOKUP($B63,RawData,BI$4,FALSE)*1</t>
  </si>
  <si>
    <t>VLOOKUP($B63,RawData,BM$4,FALSE)*3.6</t>
  </si>
  <si>
    <t>VLOOKUP($B63,RawData,BN$4,FALSE)*1</t>
  </si>
  <si>
    <t>VLOOKUP($B64,RawData,E$4,FALSE)*VLOOKUP(E$3,ConversionFactors,$D64,FALSE)/1000</t>
  </si>
  <si>
    <t>VLOOKUP($B64,RawData,F$4,FALSE)*VLOOKUP(F$3,ConversionFactors,$D64,FALSE)/1000</t>
  </si>
  <si>
    <t>VLOOKUP($B64,RawData,G$4,FALSE)*VLOOKUP(G$3,ConversionFactors,$D64,FALSE)/1000</t>
  </si>
  <si>
    <t>VLOOKUP($B64,RawData,H$4,FALSE)*VLOOKUP(H$3,ConversionFactors,$D64,FALSE)/1000</t>
  </si>
  <si>
    <t>VLOOKUP($B64,RawData,I$4,FALSE)*VLOOKUP(I$3,ConversionFactors,$D64,FALSE)/1000</t>
  </si>
  <si>
    <t>VLOOKUP($B64,RawData,J$4,FALSE)*VLOOKUP(J$3,ConversionFactors,$D64,FALSE)/1000</t>
  </si>
  <si>
    <t>VLOOKUP($B64,RawData,K$4,FALSE)*VLOOKUP(K$3,ConversionFactors,$D64,FALSE)/1000</t>
  </si>
  <si>
    <t>VLOOKUP($B64,RawData,L$4,FALSE)*VLOOKUP(L$3,ConversionFactors,$D64,FALSE)/1000</t>
  </si>
  <si>
    <t>VLOOKUP($B64,RawData,M$4,FALSE)*VLOOKUP(M$3,ConversionFactors,$D64,FALSE)/1000</t>
  </si>
  <si>
    <t>VLOOKUP($B64,RawData,N$4,FALSE)*VLOOKUP(N$3,ConversionFactors,$D64,FALSE)/1000</t>
  </si>
  <si>
    <t>(VLOOKUP($B64,RawData,O$4,FALSE)*VLOOKUP(O$3,ConversionFactors,2,FALSE))*1</t>
  </si>
  <si>
    <t>(VLOOKUP($B64,RawData,P$4,FALSE)*VLOOKUP(P$3,ConversionFactors,2,FALSE))*1</t>
  </si>
  <si>
    <t>(VLOOKUP($B64,RawData,Q$4,FALSE)*VLOOKUP(Q$3,ConversionFactors,2,FALSE))*1</t>
  </si>
  <si>
    <t>(VLOOKUP($B64,RawData,R$4,FALSE)*VLOOKUP(R$3,ConversionFactors,2,FALSE))*1</t>
  </si>
  <si>
    <t>VLOOKUP($B64,RawData,T$4,FALSE)*VLOOKUP(T$3,ConversionFactors,$D64,FALSE)/1000</t>
  </si>
  <si>
    <t>VLOOKUP($B64,RawData,U$4,FALSE)*VLOOKUP(U$3,ConversionFactors,$D64,FALSE)/1000</t>
  </si>
  <si>
    <t>VLOOKUP($B64,RawData,V$4,FALSE)*VLOOKUP(V$3,ConversionFactors,$D64,FALSE)/1000</t>
  </si>
  <si>
    <t>VLOOKUP($B64,RawData,W$4,FALSE)*VLOOKUP(W$3,ConversionFactors,2,FALSE)/1000</t>
  </si>
  <si>
    <t>VLOOKUP($B64,RawData,X$4,FALSE)*VLOOKUP(X$3,ConversionFactors,2,FALSE)/1000</t>
  </si>
  <si>
    <t>VLOOKUP($B64,RawData,Y$4,FALSE)*VLOOKUP(Y$3,ConversionFactors,2,FALSE)/1000</t>
  </si>
  <si>
    <t>VLOOKUP($B64,RawData,Z$4,FALSE)*VLOOKUP(Z$3,ConversionFactors,2,FALSE)/1000</t>
  </si>
  <si>
    <t>VLOOKUP($B64,RawData,AA$4,FALSE)*VLOOKUP(AA$3,ConversionFactors,2,FALSE)/1000</t>
  </si>
  <si>
    <t>VLOOKUP($B64,RawData,AB$4,FALSE)*VLOOKUP(AB$3,ConversionFactors,2,FALSE)/1000</t>
  </si>
  <si>
    <t>VLOOKUP($B64,RawData,AC$4,FALSE)*VLOOKUP(AC$3,ConversionFactors,2,FALSE)/1000</t>
  </si>
  <si>
    <t>VLOOKUP($B64,RawData,AD$4,FALSE)*VLOOKUP(AD$3,ConversionFactors,2,FALSE)/1000</t>
  </si>
  <si>
    <t>VLOOKUP($B64,RawData,AE$4,FALSE)*VLOOKUP(AE$3,ConversionFactors,2,FALSE)/1000</t>
  </si>
  <si>
    <t>VLOOKUP($B64,RawData,AF$4,FALSE)*VLOOKUP(AF$3,ConversionFactors,2,FALSE)/1000</t>
  </si>
  <si>
    <t>VLOOKUP($B64,RawData,AG$4,FALSE)*VLOOKUP(AG$3,ConversionFactors,2,FALSE)/1000</t>
  </si>
  <si>
    <t>VLOOKUP($B64,RawData,AH$4,FALSE)*VLOOKUP(AH$3,ConversionFactors,2,FALSE)/1000</t>
  </si>
  <si>
    <t>VLOOKUP($B64,RawData,AI$4,FALSE)*VLOOKUP(AI$3,ConversionFactors,2,FALSE)/1000</t>
  </si>
  <si>
    <t>VLOOKUP($B64,RawData,AJ$4,FALSE)*VLOOKUP(AJ$3,ConversionFactors,2,FALSE)/1000</t>
  </si>
  <si>
    <t>VLOOKUP($B64,RawData,AK$4,FALSE)*VLOOKUP(AK$3,ConversionFactors,2,FALSE)/1000</t>
  </si>
  <si>
    <t>VLOOKUP($B64,RawData,AL$4,FALSE)*VLOOKUP(AL$3,ConversionFactors,2,FALSE)/1000</t>
  </si>
  <si>
    <t>VLOOKUP($B64,RawData,AM$4,FALSE)*VLOOKUP(AM$3,ConversionFactors,2,FALSE)/1000</t>
  </si>
  <si>
    <t>VLOOKUP($B64,RawData,AN$4,FALSE)*VLOOKUP(AN$3,ConversionFactors,2,FALSE)/1000</t>
  </si>
  <si>
    <t>VLOOKUP($B64,RawData,AO$4,FALSE)*VLOOKUP(AO$3,ConversionFactors,2,FALSE)/1000</t>
  </si>
  <si>
    <t>VLOOKUP($B64,RawData,AP$4,FALSE)*VLOOKUP(AP$3,ConversionFactors,2,FALSE)/1000</t>
  </si>
  <si>
    <t>VLOOKUP($B64,RawData,AQ$4,FALSE)*VLOOKUP(AQ$3,ConversionFactors,2,FALSE)/1000</t>
  </si>
  <si>
    <t>VLOOKUP($B64,RawData,AR$4,FALSE)*VLOOKUP(AR$3,ConversionFactors,2,FALSE)/1000</t>
  </si>
  <si>
    <t>VLOOKUP($B64,RawData,AS$4,FALSE)*VLOOKUP(AS$3,ConversionFactors,2,FALSE)*1</t>
  </si>
  <si>
    <t>VLOOKUP($B64,RawData,AT$4,FALSE)*1</t>
  </si>
  <si>
    <t>VLOOKUP($B64,RawData,AU$4,FALSE)*1</t>
  </si>
  <si>
    <t>VLOOKUP($B64,RawData,AV$4,FALSE)*1</t>
  </si>
  <si>
    <t>VLOOKUP($B64,RawData,AW$4,FALSE)*1</t>
  </si>
  <si>
    <t>VLOOKUP($B64,RawData,AX$4,FALSE)*1</t>
  </si>
  <si>
    <t>VLOOKUP($B64,RawData,AY$4,FALSE)*VLOOKUP(AY$3,ConversionFactors,2,FALSE)/1000</t>
  </si>
  <si>
    <t>VLOOKUP($B64,RawData,AZ$4,FALSE)*VLOOKUP(AZ$3,ConversionFactors,2,FALSE)/1000</t>
  </si>
  <si>
    <t>VLOOKUP($B64,RawData,BA$4,FALSE)*VLOOKUP(BA$3,ConversionFactors,2,FALSE)/1000</t>
  </si>
  <si>
    <t>VLOOKUP($B64,RawData,BB$4,FALSE)*VLOOKUP(BB$3,ConversionFactors,2,FALSE)/1000</t>
  </si>
  <si>
    <t>VLOOKUP($B64,RawData,BC$4,FALSE)*1</t>
  </si>
  <si>
    <t>VLOOKUP($B64,RawData,BD$4,FALSE)*VLOOKUP(BD$3,ConversionFactors,2,FALSE)/1000</t>
  </si>
  <si>
    <t>VLOOKUP($B64,RawData,BG$4,FALSE)*1</t>
  </si>
  <si>
    <t>VLOOKUP($B64,RawData,BI$4,FALSE)*1</t>
  </si>
  <si>
    <t>VLOOKUP($B64,RawData,BM$4,FALSE)*3.6</t>
  </si>
  <si>
    <t>VLOOKUP($B64,RawData,BN$4,FALSE)*1</t>
  </si>
  <si>
    <t>VLOOKUP($B65,RawData,E$4,FALSE)*VLOOKUP(E$3,ConversionFactors,$D65,FALSE)/1000</t>
  </si>
  <si>
    <t>VLOOKUP($B65,RawData,F$4,FALSE)*VLOOKUP(F$3,ConversionFactors,$D65,FALSE)/1000</t>
  </si>
  <si>
    <t>VLOOKUP($B65,RawData,G$4,FALSE)*VLOOKUP(G$3,ConversionFactors,$D65,FALSE)/1000</t>
  </si>
  <si>
    <t>VLOOKUP($B65,RawData,H$4,FALSE)*VLOOKUP(H$3,ConversionFactors,$D65,FALSE)/1000</t>
  </si>
  <si>
    <t>VLOOKUP($B65,RawData,I$4,FALSE)*VLOOKUP(I$3,ConversionFactors,$D65,FALSE)/1000</t>
  </si>
  <si>
    <t>VLOOKUP($B65,RawData,J$4,FALSE)*VLOOKUP(J$3,ConversionFactors,$D65,FALSE)/1000</t>
  </si>
  <si>
    <t>VLOOKUP($B65,RawData,K$4,FALSE)*VLOOKUP(K$3,ConversionFactors,$D65,FALSE)/1000</t>
  </si>
  <si>
    <t>VLOOKUP($B65,RawData,L$4,FALSE)*VLOOKUP(L$3,ConversionFactors,$D65,FALSE)/1000</t>
  </si>
  <si>
    <t>VLOOKUP($B65,RawData,M$4,FALSE)*VLOOKUP(M$3,ConversionFactors,$D65,FALSE)/1000</t>
  </si>
  <si>
    <t>VLOOKUP($B65,RawData,N$4,FALSE)*VLOOKUP(N$3,ConversionFactors,$D65,FALSE)/1000</t>
  </si>
  <si>
    <t>(VLOOKUP($B65,RawData,O$4,FALSE)*VLOOKUP(O$3,ConversionFactors,2,FALSE))*1</t>
  </si>
  <si>
    <t>(VLOOKUP($B65,RawData,P$4,FALSE)*VLOOKUP(P$3,ConversionFactors,2,FALSE))*1</t>
  </si>
  <si>
    <t>(VLOOKUP($B65,RawData,Q$4,FALSE)*VLOOKUP(Q$3,ConversionFactors,2,FALSE))*1</t>
  </si>
  <si>
    <t>(VLOOKUP($B65,RawData,R$4,FALSE)*VLOOKUP(R$3,ConversionFactors,2,FALSE))*1</t>
  </si>
  <si>
    <t>VLOOKUP($B65,RawData,T$4,FALSE)*VLOOKUP(T$3,ConversionFactors,$D65,FALSE)/1000</t>
  </si>
  <si>
    <t>VLOOKUP($B65,RawData,U$4,FALSE)*VLOOKUP(U$3,ConversionFactors,$D65,FALSE)/1000</t>
  </si>
  <si>
    <t>VLOOKUP($B65,RawData,V$4,FALSE)*VLOOKUP(V$3,ConversionFactors,$D65,FALSE)/1000</t>
  </si>
  <si>
    <t>VLOOKUP($B65,RawData,W$4,FALSE)*VLOOKUP(W$3,ConversionFactors,2,FALSE)/1000</t>
  </si>
  <si>
    <t>VLOOKUP($B65,RawData,X$4,FALSE)*VLOOKUP(X$3,ConversionFactors,2,FALSE)/1000</t>
  </si>
  <si>
    <t>VLOOKUP($B65,RawData,Y$4,FALSE)*VLOOKUP(Y$3,ConversionFactors,2,FALSE)/1000</t>
  </si>
  <si>
    <t>VLOOKUP($B65,RawData,Z$4,FALSE)*VLOOKUP(Z$3,ConversionFactors,2,FALSE)/1000</t>
  </si>
  <si>
    <t>VLOOKUP($B65,RawData,AA$4,FALSE)*VLOOKUP(AA$3,ConversionFactors,2,FALSE)/1000</t>
  </si>
  <si>
    <t>VLOOKUP($B65,RawData,AB$4,FALSE)*VLOOKUP(AB$3,ConversionFactors,2,FALSE)/1000</t>
  </si>
  <si>
    <t>VLOOKUP($B65,RawData,AC$4,FALSE)*VLOOKUP(AC$3,ConversionFactors,2,FALSE)/1000</t>
  </si>
  <si>
    <t>VLOOKUP($B65,RawData,AD$4,FALSE)*VLOOKUP(AD$3,ConversionFactors,2,FALSE)/1000</t>
  </si>
  <si>
    <t>VLOOKUP($B65,RawData,AE$4,FALSE)*VLOOKUP(AE$3,ConversionFactors,2,FALSE)/1000</t>
  </si>
  <si>
    <t>VLOOKUP($B65,RawData,AF$4,FALSE)*VLOOKUP(AF$3,ConversionFactors,2,FALSE)/1000</t>
  </si>
  <si>
    <t>VLOOKUP($B65,RawData,AG$4,FALSE)*VLOOKUP(AG$3,ConversionFactors,2,FALSE)/1000</t>
  </si>
  <si>
    <t>VLOOKUP($B65,RawData,AH$4,FALSE)*VLOOKUP(AH$3,ConversionFactors,2,FALSE)/1000</t>
  </si>
  <si>
    <t>VLOOKUP($B65,RawData,AI$4,FALSE)*VLOOKUP(AI$3,ConversionFactors,2,FALSE)/1000</t>
  </si>
  <si>
    <t>VLOOKUP($B65,RawData,AJ$4,FALSE)*VLOOKUP(AJ$3,ConversionFactors,2,FALSE)/1000</t>
  </si>
  <si>
    <t>VLOOKUP($B65,RawData,AK$4,FALSE)*VLOOKUP(AK$3,ConversionFactors,2,FALSE)/1000</t>
  </si>
  <si>
    <t>VLOOKUP($B65,RawData,AL$4,FALSE)*VLOOKUP(AL$3,ConversionFactors,2,FALSE)/1000</t>
  </si>
  <si>
    <t>VLOOKUP($B65,RawData,AM$4,FALSE)*VLOOKUP(AM$3,ConversionFactors,2,FALSE)/1000</t>
  </si>
  <si>
    <t>VLOOKUP($B65,RawData,AN$4,FALSE)*VLOOKUP(AN$3,ConversionFactors,2,FALSE)/1000</t>
  </si>
  <si>
    <t>VLOOKUP($B65,RawData,AO$4,FALSE)*VLOOKUP(AO$3,ConversionFactors,2,FALSE)/1000</t>
  </si>
  <si>
    <t>VLOOKUP($B65,RawData,AP$4,FALSE)*VLOOKUP(AP$3,ConversionFactors,2,FALSE)/1000</t>
  </si>
  <si>
    <t>VLOOKUP($B65,RawData,AQ$4,FALSE)*VLOOKUP(AQ$3,ConversionFactors,2,FALSE)/1000</t>
  </si>
  <si>
    <t>VLOOKUP($B65,RawData,AR$4,FALSE)*VLOOKUP(AR$3,ConversionFactors,2,FALSE)/1000</t>
  </si>
  <si>
    <t>VLOOKUP($B65,RawData,AS$4,FALSE)*VLOOKUP(AS$3,ConversionFactors,2,FALSE)*1</t>
  </si>
  <si>
    <t>VLOOKUP($B65,RawData,AT$4,FALSE)*1</t>
  </si>
  <si>
    <t>VLOOKUP($B65,RawData,AU$4,FALSE)*1</t>
  </si>
  <si>
    <t>VLOOKUP($B65,RawData,AV$4,FALSE)*1</t>
  </si>
  <si>
    <t>VLOOKUP($B65,RawData,AW$4,FALSE)*1</t>
  </si>
  <si>
    <t>VLOOKUP($B65,RawData,AX$4,FALSE)*1</t>
  </si>
  <si>
    <t>VLOOKUP($B65,RawData,AY$4,FALSE)*VLOOKUP(AY$3,ConversionFactors,2,FALSE)/1000</t>
  </si>
  <si>
    <t>VLOOKUP($B65,RawData,AZ$4,FALSE)*VLOOKUP(AZ$3,ConversionFactors,2,FALSE)/1000</t>
  </si>
  <si>
    <t>VLOOKUP($B65,RawData,BA$4,FALSE)*VLOOKUP(BA$3,ConversionFactors,2,FALSE)/1000</t>
  </si>
  <si>
    <t>VLOOKUP($B65,RawData,BB$4,FALSE)*VLOOKUP(BB$3,ConversionFactors,2,FALSE)/1000</t>
  </si>
  <si>
    <t>VLOOKUP($B65,RawData,BC$4,FALSE)*1</t>
  </si>
  <si>
    <t>VLOOKUP($B65,RawData,BD$4,FALSE)*VLOOKUP(BD$3,ConversionFactors,2,FALSE)/1000</t>
  </si>
  <si>
    <t>VLOOKUP($B65,RawData,BG$4,FALSE)*1</t>
  </si>
  <si>
    <t>VLOOKUP($B65,RawData,BI$4,FALSE)*1</t>
  </si>
  <si>
    <t>VLOOKUP($B65,RawData,BM$4,FALSE)*3.6</t>
  </si>
  <si>
    <t>VLOOKUP($B65,RawData,BN$4,FALSE)*1</t>
  </si>
  <si>
    <t>VLOOKUP($B66,RawData,E$4,FALSE)*VLOOKUP(E$3,ConversionFactors,$D66,FALSE)/1000</t>
  </si>
  <si>
    <t>VLOOKUP($B66,RawData,F$4,FALSE)*VLOOKUP(F$3,ConversionFactors,$D66,FALSE)/1000</t>
  </si>
  <si>
    <t>VLOOKUP($B66,RawData,G$4,FALSE)*VLOOKUP(G$3,ConversionFactors,$D66,FALSE)/1000</t>
  </si>
  <si>
    <t>VLOOKUP($B66,RawData,H$4,FALSE)*VLOOKUP(H$3,ConversionFactors,$D66,FALSE)/1000</t>
  </si>
  <si>
    <t>VLOOKUP($B66,RawData,I$4,FALSE)*VLOOKUP(I$3,ConversionFactors,$D66,FALSE)/1000</t>
  </si>
  <si>
    <t>VLOOKUP($B66,RawData,J$4,FALSE)*VLOOKUP(J$3,ConversionFactors,$D66,FALSE)/1000</t>
  </si>
  <si>
    <t>VLOOKUP($B66,RawData,K$4,FALSE)*VLOOKUP(K$3,ConversionFactors,$D66,FALSE)/1000</t>
  </si>
  <si>
    <t>VLOOKUP($B66,RawData,L$4,FALSE)*VLOOKUP(L$3,ConversionFactors,$D66,FALSE)/1000</t>
  </si>
  <si>
    <t>VLOOKUP($B66,RawData,M$4,FALSE)*VLOOKUP(M$3,ConversionFactors,$D66,FALSE)/1000</t>
  </si>
  <si>
    <t>VLOOKUP($B66,RawData,N$4,FALSE)*VLOOKUP(N$3,ConversionFactors,$D66,FALSE)/1000</t>
  </si>
  <si>
    <t>(VLOOKUP($B66,RawData,O$4,FALSE)*VLOOKUP(O$3,ConversionFactors,2,FALSE))*1</t>
  </si>
  <si>
    <t>(VLOOKUP($B66,RawData,P$4,FALSE)*VLOOKUP(P$3,ConversionFactors,2,FALSE))*1</t>
  </si>
  <si>
    <t>(VLOOKUP($B66,RawData,Q$4,FALSE)*VLOOKUP(Q$3,ConversionFactors,2,FALSE))*1</t>
  </si>
  <si>
    <t>(VLOOKUP($B66,RawData,R$4,FALSE)*VLOOKUP(R$3,ConversionFactors,2,FALSE))*1</t>
  </si>
  <si>
    <t>VLOOKUP($B66,RawData,T$4,FALSE)*VLOOKUP(T$3,ConversionFactors,$D66,FALSE)/1000</t>
  </si>
  <si>
    <t>VLOOKUP($B66,RawData,U$4,FALSE)*VLOOKUP(U$3,ConversionFactors,$D66,FALSE)/1000</t>
  </si>
  <si>
    <t>VLOOKUP($B66,RawData,V$4,FALSE)*VLOOKUP(V$3,ConversionFactors,$D66,FALSE)/1000</t>
  </si>
  <si>
    <t>VLOOKUP($B66,RawData,W$4,FALSE)*VLOOKUP(W$3,ConversionFactors,2,FALSE)/1000</t>
  </si>
  <si>
    <t>VLOOKUP($B66,RawData,X$4,FALSE)*VLOOKUP(X$3,ConversionFactors,2,FALSE)/1000</t>
  </si>
  <si>
    <t>VLOOKUP($B66,RawData,Y$4,FALSE)*VLOOKUP(Y$3,ConversionFactors,2,FALSE)/1000</t>
  </si>
  <si>
    <t>VLOOKUP($B66,RawData,Z$4,FALSE)*VLOOKUP(Z$3,ConversionFactors,2,FALSE)/1000</t>
  </si>
  <si>
    <t>VLOOKUP($B66,RawData,AA$4,FALSE)*VLOOKUP(AA$3,ConversionFactors,2,FALSE)/1000</t>
  </si>
  <si>
    <t>VLOOKUP($B66,RawData,AB$4,FALSE)*VLOOKUP(AB$3,ConversionFactors,2,FALSE)/1000</t>
  </si>
  <si>
    <t>VLOOKUP($B66,RawData,AC$4,FALSE)*VLOOKUP(AC$3,ConversionFactors,2,FALSE)/1000</t>
  </si>
  <si>
    <t>VLOOKUP($B66,RawData,AD$4,FALSE)*VLOOKUP(AD$3,ConversionFactors,2,FALSE)/1000</t>
  </si>
  <si>
    <t>VLOOKUP($B66,RawData,AE$4,FALSE)*VLOOKUP(AE$3,ConversionFactors,2,FALSE)/1000</t>
  </si>
  <si>
    <t>VLOOKUP($B66,RawData,AF$4,FALSE)*VLOOKUP(AF$3,ConversionFactors,2,FALSE)/1000</t>
  </si>
  <si>
    <t>VLOOKUP($B66,RawData,AG$4,FALSE)*VLOOKUP(AG$3,ConversionFactors,2,FALSE)/1000</t>
  </si>
  <si>
    <t>VLOOKUP($B66,RawData,AH$4,FALSE)*VLOOKUP(AH$3,ConversionFactors,2,FALSE)/1000</t>
  </si>
  <si>
    <t>VLOOKUP($B66,RawData,AI$4,FALSE)*VLOOKUP(AI$3,ConversionFactors,2,FALSE)/1000</t>
  </si>
  <si>
    <t>VLOOKUP($B66,RawData,AJ$4,FALSE)*VLOOKUP(AJ$3,ConversionFactors,2,FALSE)/1000</t>
  </si>
  <si>
    <t>VLOOKUP($B66,RawData,AK$4,FALSE)*VLOOKUP(AK$3,ConversionFactors,2,FALSE)/1000</t>
  </si>
  <si>
    <t>VLOOKUP($B66,RawData,AL$4,FALSE)*VLOOKUP(AL$3,ConversionFactors,2,FALSE)/1000</t>
  </si>
  <si>
    <t>VLOOKUP($B66,RawData,AM$4,FALSE)*VLOOKUP(AM$3,ConversionFactors,2,FALSE)/1000</t>
  </si>
  <si>
    <t>VLOOKUP($B66,RawData,AN$4,FALSE)*VLOOKUP(AN$3,ConversionFactors,2,FALSE)/1000</t>
  </si>
  <si>
    <t>VLOOKUP($B66,RawData,AO$4,FALSE)*VLOOKUP(AO$3,ConversionFactors,2,FALSE)/1000</t>
  </si>
  <si>
    <t>VLOOKUP($B66,RawData,AP$4,FALSE)*VLOOKUP(AP$3,ConversionFactors,2,FALSE)/1000</t>
  </si>
  <si>
    <t>VLOOKUP($B66,RawData,AQ$4,FALSE)*VLOOKUP(AQ$3,ConversionFactors,2,FALSE)/1000</t>
  </si>
  <si>
    <t>VLOOKUP($B66,RawData,AR$4,FALSE)*VLOOKUP(AR$3,ConversionFactors,2,FALSE)/1000</t>
  </si>
  <si>
    <t>VLOOKUP($B66,RawData,AS$4,FALSE)*VLOOKUP(AS$3,ConversionFactors,2,FALSE)*1</t>
  </si>
  <si>
    <t>VLOOKUP($B66,RawData,AT$4,FALSE)*1</t>
  </si>
  <si>
    <t>VLOOKUP($B66,RawData,AU$4,FALSE)*1</t>
  </si>
  <si>
    <t>VLOOKUP($B66,RawData,AV$4,FALSE)*1</t>
  </si>
  <si>
    <t>VLOOKUP($B66,RawData,AW$4,FALSE)*1</t>
  </si>
  <si>
    <t>VLOOKUP($B66,RawData,AX$4,FALSE)*1</t>
  </si>
  <si>
    <t>VLOOKUP($B66,RawData,AY$4,FALSE)*VLOOKUP(AY$3,ConversionFactors,2,FALSE)/1000</t>
  </si>
  <si>
    <t>VLOOKUP($B66,RawData,AZ$4,FALSE)*VLOOKUP(AZ$3,ConversionFactors,2,FALSE)/1000</t>
  </si>
  <si>
    <t>VLOOKUP($B66,RawData,BA$4,FALSE)*VLOOKUP(BA$3,ConversionFactors,2,FALSE)/1000</t>
  </si>
  <si>
    <t>VLOOKUP($B66,RawData,BB$4,FALSE)*VLOOKUP(BB$3,ConversionFactors,2,FALSE)/1000</t>
  </si>
  <si>
    <t>VLOOKUP($B66,RawData,BC$4,FALSE)*1</t>
  </si>
  <si>
    <t>VLOOKUP($B66,RawData,BD$4,FALSE)*VLOOKUP(BD$3,ConversionFactors,2,FALSE)/1000</t>
  </si>
  <si>
    <t>VLOOKUP($B66,RawData,BG$4,FALSE)*1</t>
  </si>
  <si>
    <t>VLOOKUP($B66,RawData,BI$4,FALSE)*1</t>
  </si>
  <si>
    <t>VLOOKUP($B66,RawData,BM$4,FALSE)*3.6</t>
  </si>
  <si>
    <t>VLOOKUP($B66,RawData,BN$4,FALSE)*1</t>
  </si>
  <si>
    <t>VLOOKUP($B67,RawData,E$4,FALSE)*VLOOKUP(E$3,ConversionFactors,$D67,FALSE)/1000</t>
  </si>
  <si>
    <t>VLOOKUP($B67,RawData,F$4,FALSE)*VLOOKUP(F$3,ConversionFactors,$D67,FALSE)/1000</t>
  </si>
  <si>
    <t>VLOOKUP($B67,RawData,G$4,FALSE)*VLOOKUP(G$3,ConversionFactors,$D67,FALSE)/1000</t>
  </si>
  <si>
    <t>VLOOKUP($B67,RawData,H$4,FALSE)*VLOOKUP(H$3,ConversionFactors,$D67,FALSE)/1000</t>
  </si>
  <si>
    <t>VLOOKUP($B67,RawData,I$4,FALSE)*VLOOKUP(I$3,ConversionFactors,$D67,FALSE)/1000</t>
  </si>
  <si>
    <t>VLOOKUP($B67,RawData,J$4,FALSE)*VLOOKUP(J$3,ConversionFactors,$D67,FALSE)/1000</t>
  </si>
  <si>
    <t>VLOOKUP($B67,RawData,K$4,FALSE)*VLOOKUP(K$3,ConversionFactors,$D67,FALSE)/1000</t>
  </si>
  <si>
    <t>VLOOKUP($B67,RawData,L$4,FALSE)*VLOOKUP(L$3,ConversionFactors,$D67,FALSE)/1000</t>
  </si>
  <si>
    <t>VLOOKUP($B67,RawData,M$4,FALSE)*VLOOKUP(M$3,ConversionFactors,$D67,FALSE)/1000</t>
  </si>
  <si>
    <t>VLOOKUP($B67,RawData,N$4,FALSE)*VLOOKUP(N$3,ConversionFactors,$D67,FALSE)/1000</t>
  </si>
  <si>
    <t>(VLOOKUP($B67,RawData,O$4,FALSE)*VLOOKUP(O$3,ConversionFactors,2,FALSE))*1</t>
  </si>
  <si>
    <t>(VLOOKUP($B67,RawData,P$4,FALSE)*VLOOKUP(P$3,ConversionFactors,2,FALSE))*1</t>
  </si>
  <si>
    <t>(VLOOKUP($B67,RawData,Q$4,FALSE)*VLOOKUP(Q$3,ConversionFactors,2,FALSE))*1</t>
  </si>
  <si>
    <t>(VLOOKUP($B67,RawData,R$4,FALSE)*VLOOKUP(R$3,ConversionFactors,2,FALSE))*1</t>
  </si>
  <si>
    <t>VLOOKUP($B67,RawData,T$4,FALSE)*VLOOKUP(T$3,ConversionFactors,$D67,FALSE)/1000</t>
  </si>
  <si>
    <t>VLOOKUP($B67,RawData,U$4,FALSE)*VLOOKUP(U$3,ConversionFactors,$D67,FALSE)/1000</t>
  </si>
  <si>
    <t>VLOOKUP($B67,RawData,V$4,FALSE)*VLOOKUP(V$3,ConversionFactors,$D67,FALSE)/1000</t>
  </si>
  <si>
    <t>VLOOKUP($B67,RawData,W$4,FALSE)*VLOOKUP(W$3,ConversionFactors,2,FALSE)/1000</t>
  </si>
  <si>
    <t>VLOOKUP($B67,RawData,X$4,FALSE)*VLOOKUP(X$3,ConversionFactors,2,FALSE)/1000</t>
  </si>
  <si>
    <t>VLOOKUP($B67,RawData,Y$4,FALSE)*VLOOKUP(Y$3,ConversionFactors,2,FALSE)/1000</t>
  </si>
  <si>
    <t>VLOOKUP($B67,RawData,Z$4,FALSE)*VLOOKUP(Z$3,ConversionFactors,2,FALSE)/1000</t>
  </si>
  <si>
    <t>VLOOKUP($B67,RawData,AA$4,FALSE)*VLOOKUP(AA$3,ConversionFactors,2,FALSE)/1000</t>
  </si>
  <si>
    <t>VLOOKUP($B67,RawData,AB$4,FALSE)*VLOOKUP(AB$3,ConversionFactors,2,FALSE)/1000</t>
  </si>
  <si>
    <t>VLOOKUP($B67,RawData,AC$4,FALSE)*VLOOKUP(AC$3,ConversionFactors,2,FALSE)/1000</t>
  </si>
  <si>
    <t>VLOOKUP($B67,RawData,AD$4,FALSE)*VLOOKUP(AD$3,ConversionFactors,2,FALSE)/1000</t>
  </si>
  <si>
    <t>VLOOKUP($B67,RawData,AE$4,FALSE)*VLOOKUP(AE$3,ConversionFactors,2,FALSE)/1000</t>
  </si>
  <si>
    <t>VLOOKUP($B67,RawData,AF$4,FALSE)*VLOOKUP(AF$3,ConversionFactors,2,FALSE)/1000</t>
  </si>
  <si>
    <t>VLOOKUP($B67,RawData,AG$4,FALSE)*VLOOKUP(AG$3,ConversionFactors,2,FALSE)/1000</t>
  </si>
  <si>
    <t>VLOOKUP($B67,RawData,AH$4,FALSE)*VLOOKUP(AH$3,ConversionFactors,2,FALSE)/1000</t>
  </si>
  <si>
    <t>VLOOKUP($B67,RawData,AI$4,FALSE)*VLOOKUP(AI$3,ConversionFactors,2,FALSE)/1000</t>
  </si>
  <si>
    <t>VLOOKUP($B67,RawData,AJ$4,FALSE)*VLOOKUP(AJ$3,ConversionFactors,2,FALSE)/1000</t>
  </si>
  <si>
    <t>VLOOKUP($B67,RawData,AK$4,FALSE)*VLOOKUP(AK$3,ConversionFactors,2,FALSE)/1000</t>
  </si>
  <si>
    <t>VLOOKUP($B67,RawData,AL$4,FALSE)*VLOOKUP(AL$3,ConversionFactors,2,FALSE)/1000</t>
  </si>
  <si>
    <t>VLOOKUP($B67,RawData,AM$4,FALSE)*VLOOKUP(AM$3,ConversionFactors,2,FALSE)/1000</t>
  </si>
  <si>
    <t>VLOOKUP($B67,RawData,AN$4,FALSE)*VLOOKUP(AN$3,ConversionFactors,2,FALSE)/1000</t>
  </si>
  <si>
    <t>VLOOKUP($B67,RawData,AO$4,FALSE)*VLOOKUP(AO$3,ConversionFactors,2,FALSE)/1000</t>
  </si>
  <si>
    <t>VLOOKUP($B67,RawData,AP$4,FALSE)*VLOOKUP(AP$3,ConversionFactors,2,FALSE)/1000</t>
  </si>
  <si>
    <t>VLOOKUP($B67,RawData,AQ$4,FALSE)*VLOOKUP(AQ$3,ConversionFactors,2,FALSE)/1000</t>
  </si>
  <si>
    <t>VLOOKUP($B67,RawData,AR$4,FALSE)*VLOOKUP(AR$3,ConversionFactors,2,FALSE)/1000</t>
  </si>
  <si>
    <t>VLOOKUP($B67,RawData,AS$4,FALSE)*VLOOKUP(AS$3,ConversionFactors,2,FALSE)*1</t>
  </si>
  <si>
    <t>VLOOKUP($B67,RawData,AT$4,FALSE)*1</t>
  </si>
  <si>
    <t>VLOOKUP($B67,RawData,AU$4,FALSE)*1</t>
  </si>
  <si>
    <t>VLOOKUP($B67,RawData,AV$4,FALSE)*1</t>
  </si>
  <si>
    <t>VLOOKUP($B67,RawData,AW$4,FALSE)*1</t>
  </si>
  <si>
    <t>VLOOKUP($B67,RawData,AX$4,FALSE)*1</t>
  </si>
  <si>
    <t>VLOOKUP($B67,RawData,AY$4,FALSE)*VLOOKUP(AY$3,ConversionFactors,2,FALSE)/1000</t>
  </si>
  <si>
    <t>VLOOKUP($B67,RawData,AZ$4,FALSE)*VLOOKUP(AZ$3,ConversionFactors,2,FALSE)/1000</t>
  </si>
  <si>
    <t>VLOOKUP($B67,RawData,BA$4,FALSE)*VLOOKUP(BA$3,ConversionFactors,2,FALSE)/1000</t>
  </si>
  <si>
    <t>VLOOKUP($B67,RawData,BB$4,FALSE)*VLOOKUP(BB$3,ConversionFactors,2,FALSE)/1000</t>
  </si>
  <si>
    <t>VLOOKUP($B67,RawData,BC$4,FALSE)*1</t>
  </si>
  <si>
    <t>VLOOKUP($B67,RawData,BD$4,FALSE)*VLOOKUP(BD$3,ConversionFactors,2,FALSE)/1000</t>
  </si>
  <si>
    <t>VLOOKUP($B67,RawData,BG$4,FALSE)*1</t>
  </si>
  <si>
    <t>VLOOKUP($B67,RawData,BI$4,FALSE)*1</t>
  </si>
  <si>
    <t>VLOOKUP($B67,RawData,BM$4,FALSE)*3.6</t>
  </si>
  <si>
    <t>VLOOKUP($B67,RawData,BN$4,FALSE)*1</t>
  </si>
  <si>
    <t>VLOOKUP($B68,RawData,E$4,FALSE)*VLOOKUP(E$3,ConversionFactors,$D68,FALSE)/1000</t>
  </si>
  <si>
    <t>VLOOKUP($B68,RawData,F$4,FALSE)*VLOOKUP(F$3,ConversionFactors,$D68,FALSE)/1000</t>
  </si>
  <si>
    <t>VLOOKUP($B68,RawData,G$4,FALSE)*VLOOKUP(G$3,ConversionFactors,$D68,FALSE)/1000</t>
  </si>
  <si>
    <t>VLOOKUP($B68,RawData,H$4,FALSE)*VLOOKUP(H$3,ConversionFactors,$D68,FALSE)/1000</t>
  </si>
  <si>
    <t>VLOOKUP($B68,RawData,I$4,FALSE)*VLOOKUP(I$3,ConversionFactors,$D68,FALSE)/1000</t>
  </si>
  <si>
    <t>VLOOKUP($B68,RawData,J$4,FALSE)*VLOOKUP(J$3,ConversionFactors,$D68,FALSE)/1000</t>
  </si>
  <si>
    <t>VLOOKUP($B68,RawData,K$4,FALSE)*VLOOKUP(K$3,ConversionFactors,$D68,FALSE)/1000</t>
  </si>
  <si>
    <t>VLOOKUP($B68,RawData,L$4,FALSE)*VLOOKUP(L$3,ConversionFactors,$D68,FALSE)/1000</t>
  </si>
  <si>
    <t>VLOOKUP($B68,RawData,M$4,FALSE)*VLOOKUP(M$3,ConversionFactors,$D68,FALSE)/1000</t>
  </si>
  <si>
    <t>VLOOKUP($B68,RawData,N$4,FALSE)*VLOOKUP(N$3,ConversionFactors,$D68,FALSE)/1000</t>
  </si>
  <si>
    <t>(VLOOKUP($B68,RawData,O$4,FALSE)*VLOOKUP(O$3,ConversionFactors,2,FALSE))*1</t>
  </si>
  <si>
    <t>(VLOOKUP($B68,RawData,P$4,FALSE)*VLOOKUP(P$3,ConversionFactors,2,FALSE))*1</t>
  </si>
  <si>
    <t>(VLOOKUP($B68,RawData,Q$4,FALSE)*VLOOKUP(Q$3,ConversionFactors,2,FALSE))*1</t>
  </si>
  <si>
    <t>(VLOOKUP($B68,RawData,R$4,FALSE)*VLOOKUP(R$3,ConversionFactors,2,FALSE))*1</t>
  </si>
  <si>
    <t>VLOOKUP($B68,RawData,T$4,FALSE)*VLOOKUP(T$3,ConversionFactors,$D68,FALSE)/1000</t>
  </si>
  <si>
    <t>VLOOKUP($B68,RawData,U$4,FALSE)*VLOOKUP(U$3,ConversionFactors,$D68,FALSE)/1000</t>
  </si>
  <si>
    <t>VLOOKUP($B68,RawData,V$4,FALSE)*VLOOKUP(V$3,ConversionFactors,$D68,FALSE)/1000</t>
  </si>
  <si>
    <t>VLOOKUP($B68,RawData,W$4,FALSE)*VLOOKUP(W$3,ConversionFactors,2,FALSE)/1000</t>
  </si>
  <si>
    <t>VLOOKUP($B68,RawData,X$4,FALSE)*VLOOKUP(X$3,ConversionFactors,2,FALSE)/1000</t>
  </si>
  <si>
    <t>VLOOKUP($B68,RawData,Y$4,FALSE)*VLOOKUP(Y$3,ConversionFactors,2,FALSE)/1000</t>
  </si>
  <si>
    <t>VLOOKUP($B68,RawData,Z$4,FALSE)*VLOOKUP(Z$3,ConversionFactors,2,FALSE)/1000</t>
  </si>
  <si>
    <t>VLOOKUP($B68,RawData,AA$4,FALSE)*VLOOKUP(AA$3,ConversionFactors,2,FALSE)/1000</t>
  </si>
  <si>
    <t>VLOOKUP($B68,RawData,AB$4,FALSE)*VLOOKUP(AB$3,ConversionFactors,2,FALSE)/1000</t>
  </si>
  <si>
    <t>VLOOKUP($B68,RawData,AC$4,FALSE)*VLOOKUP(AC$3,ConversionFactors,2,FALSE)/1000</t>
  </si>
  <si>
    <t>VLOOKUP($B68,RawData,AD$4,FALSE)*VLOOKUP(AD$3,ConversionFactors,2,FALSE)/1000</t>
  </si>
  <si>
    <t>VLOOKUP($B68,RawData,AE$4,FALSE)*VLOOKUP(AE$3,ConversionFactors,2,FALSE)/1000</t>
  </si>
  <si>
    <t>VLOOKUP($B68,RawData,AF$4,FALSE)*VLOOKUP(AF$3,ConversionFactors,2,FALSE)/1000</t>
  </si>
  <si>
    <t>VLOOKUP($B68,RawData,AG$4,FALSE)*VLOOKUP(AG$3,ConversionFactors,2,FALSE)/1000</t>
  </si>
  <si>
    <t>VLOOKUP($B68,RawData,AH$4,FALSE)*VLOOKUP(AH$3,ConversionFactors,2,FALSE)/1000</t>
  </si>
  <si>
    <t>VLOOKUP($B68,RawData,AI$4,FALSE)*VLOOKUP(AI$3,ConversionFactors,2,FALSE)/1000</t>
  </si>
  <si>
    <t>VLOOKUP($B68,RawData,AJ$4,FALSE)*VLOOKUP(AJ$3,ConversionFactors,2,FALSE)/1000</t>
  </si>
  <si>
    <t>VLOOKUP($B68,RawData,AK$4,FALSE)*VLOOKUP(AK$3,ConversionFactors,2,FALSE)/1000</t>
  </si>
  <si>
    <t>VLOOKUP($B68,RawData,AL$4,FALSE)*VLOOKUP(AL$3,ConversionFactors,2,FALSE)/1000</t>
  </si>
  <si>
    <t>VLOOKUP($B68,RawData,AM$4,FALSE)*VLOOKUP(AM$3,ConversionFactors,2,FALSE)/1000</t>
  </si>
  <si>
    <t>VLOOKUP($B68,RawData,AN$4,FALSE)*VLOOKUP(AN$3,ConversionFactors,2,FALSE)/1000</t>
  </si>
  <si>
    <t>VLOOKUP($B68,RawData,AO$4,FALSE)*VLOOKUP(AO$3,ConversionFactors,2,FALSE)/1000</t>
  </si>
  <si>
    <t>VLOOKUP($B68,RawData,AP$4,FALSE)*VLOOKUP(AP$3,ConversionFactors,2,FALSE)/1000</t>
  </si>
  <si>
    <t>VLOOKUP($B68,RawData,AQ$4,FALSE)*VLOOKUP(AQ$3,ConversionFactors,2,FALSE)/1000</t>
  </si>
  <si>
    <t>VLOOKUP($B68,RawData,AR$4,FALSE)*VLOOKUP(AR$3,ConversionFactors,2,FALSE)/1000</t>
  </si>
  <si>
    <t>VLOOKUP($B68,RawData,AS$4,FALSE)*VLOOKUP(AS$3,ConversionFactors,2,FALSE)*1</t>
  </si>
  <si>
    <t>VLOOKUP($B68,RawData,AT$4,FALSE)*1</t>
  </si>
  <si>
    <t>VLOOKUP($B68,RawData,AU$4,FALSE)*1</t>
  </si>
  <si>
    <t>VLOOKUP($B68,RawData,AV$4,FALSE)*1</t>
  </si>
  <si>
    <t>VLOOKUP($B68,RawData,AW$4,FALSE)*1</t>
  </si>
  <si>
    <t>VLOOKUP($B68,RawData,AX$4,FALSE)*1</t>
  </si>
  <si>
    <t>VLOOKUP($B68,RawData,AY$4,FALSE)*VLOOKUP(AY$3,ConversionFactors,2,FALSE)/1000</t>
  </si>
  <si>
    <t>VLOOKUP($B68,RawData,AZ$4,FALSE)*VLOOKUP(AZ$3,ConversionFactors,2,FALSE)/1000</t>
  </si>
  <si>
    <t>VLOOKUP($B68,RawData,BA$4,FALSE)*VLOOKUP(BA$3,ConversionFactors,2,FALSE)/1000</t>
  </si>
  <si>
    <t>VLOOKUP($B68,RawData,BB$4,FALSE)*VLOOKUP(BB$3,ConversionFactors,2,FALSE)/1000</t>
  </si>
  <si>
    <t>VLOOKUP($B68,RawData,BC$4,FALSE)*1</t>
  </si>
  <si>
    <t>VLOOKUP($B68,RawData,BD$4,FALSE)*VLOOKUP(BD$3,ConversionFactors,2,FALSE)/1000</t>
  </si>
  <si>
    <t>VLOOKUP($B68,RawData,BG$4,FALSE)*1</t>
  </si>
  <si>
    <t>VLOOKUP($B68,RawData,BI$4,FALSE)*1</t>
  </si>
  <si>
    <t>VLOOKUP($B68,RawData,BM$4,FALSE)*3.6</t>
  </si>
  <si>
    <t>VLOOKUP($B68,RawData,BN$4,FALSE)*1</t>
  </si>
  <si>
    <t>VLOOKUP($B69,RawData,E$4,FALSE)*VLOOKUP(E$3,ConversionFactors,$D69,FALSE)/1000</t>
  </si>
  <si>
    <t>VLOOKUP($B69,RawData,F$4,FALSE)*VLOOKUP(F$3,ConversionFactors,$D69,FALSE)/1000</t>
  </si>
  <si>
    <t>VLOOKUP($B69,RawData,G$4,FALSE)*VLOOKUP(G$3,ConversionFactors,$D69,FALSE)/1000</t>
  </si>
  <si>
    <t>VLOOKUP($B69,RawData,H$4,FALSE)*VLOOKUP(H$3,ConversionFactors,$D69,FALSE)/1000</t>
  </si>
  <si>
    <t>VLOOKUP($B69,RawData,I$4,FALSE)*VLOOKUP(I$3,ConversionFactors,$D69,FALSE)/1000</t>
  </si>
  <si>
    <t>VLOOKUP($B69,RawData,J$4,FALSE)*VLOOKUP(J$3,ConversionFactors,$D69,FALSE)/1000</t>
  </si>
  <si>
    <t>VLOOKUP($B69,RawData,K$4,FALSE)*VLOOKUP(K$3,ConversionFactors,$D69,FALSE)/1000</t>
  </si>
  <si>
    <t>VLOOKUP($B69,RawData,L$4,FALSE)*VLOOKUP(L$3,ConversionFactors,$D69,FALSE)/1000</t>
  </si>
  <si>
    <t>VLOOKUP($B69,RawData,M$4,FALSE)*VLOOKUP(M$3,ConversionFactors,$D69,FALSE)/1000</t>
  </si>
  <si>
    <t>VLOOKUP($B69,RawData,N$4,FALSE)*VLOOKUP(N$3,ConversionFactors,$D69,FALSE)/1000</t>
  </si>
  <si>
    <t>(VLOOKUP($B69,RawData,O$4,FALSE)*VLOOKUP(O$3,ConversionFactors,2,FALSE))*1</t>
  </si>
  <si>
    <t>(VLOOKUP($B69,RawData,P$4,FALSE)*VLOOKUP(P$3,ConversionFactors,2,FALSE))*1</t>
  </si>
  <si>
    <t>(VLOOKUP($B69,RawData,Q$4,FALSE)*VLOOKUP(Q$3,ConversionFactors,2,FALSE))*1</t>
  </si>
  <si>
    <t>(VLOOKUP($B69,RawData,R$4,FALSE)*VLOOKUP(R$3,ConversionFactors,2,FALSE))*1</t>
  </si>
  <si>
    <t>VLOOKUP($B69,RawData,T$4,FALSE)*VLOOKUP(T$3,ConversionFactors,$D69,FALSE)/1000</t>
  </si>
  <si>
    <t>VLOOKUP($B69,RawData,U$4,FALSE)*VLOOKUP(U$3,ConversionFactors,$D69,FALSE)/1000</t>
  </si>
  <si>
    <t>VLOOKUP($B69,RawData,V$4,FALSE)*VLOOKUP(V$3,ConversionFactors,$D69,FALSE)/1000</t>
  </si>
  <si>
    <t>VLOOKUP($B69,RawData,W$4,FALSE)*VLOOKUP(W$3,ConversionFactors,2,FALSE)/1000</t>
  </si>
  <si>
    <t>VLOOKUP($B69,RawData,X$4,FALSE)*VLOOKUP(X$3,ConversionFactors,2,FALSE)/1000</t>
  </si>
  <si>
    <t>VLOOKUP($B69,RawData,Y$4,FALSE)*VLOOKUP(Y$3,ConversionFactors,2,FALSE)/1000</t>
  </si>
  <si>
    <t>VLOOKUP($B69,RawData,Z$4,FALSE)*VLOOKUP(Z$3,ConversionFactors,2,FALSE)/1000</t>
  </si>
  <si>
    <t>VLOOKUP($B69,RawData,AA$4,FALSE)*VLOOKUP(AA$3,ConversionFactors,2,FALSE)/1000</t>
  </si>
  <si>
    <t>VLOOKUP($B69,RawData,AB$4,FALSE)*VLOOKUP(AB$3,ConversionFactors,2,FALSE)/1000</t>
  </si>
  <si>
    <t>VLOOKUP($B69,RawData,AC$4,FALSE)*VLOOKUP(AC$3,ConversionFactors,2,FALSE)/1000</t>
  </si>
  <si>
    <t>VLOOKUP($B69,RawData,AD$4,FALSE)*VLOOKUP(AD$3,ConversionFactors,2,FALSE)/1000</t>
  </si>
  <si>
    <t>VLOOKUP($B69,RawData,AE$4,FALSE)*VLOOKUP(AE$3,ConversionFactors,2,FALSE)/1000</t>
  </si>
  <si>
    <t>VLOOKUP($B69,RawData,AF$4,FALSE)*VLOOKUP(AF$3,ConversionFactors,2,FALSE)/1000</t>
  </si>
  <si>
    <t>VLOOKUP($B69,RawData,AG$4,FALSE)*VLOOKUP(AG$3,ConversionFactors,2,FALSE)/1000</t>
  </si>
  <si>
    <t>VLOOKUP($B69,RawData,AH$4,FALSE)*VLOOKUP(AH$3,ConversionFactors,2,FALSE)/1000</t>
  </si>
  <si>
    <t>VLOOKUP($B69,RawData,AI$4,FALSE)*VLOOKUP(AI$3,ConversionFactors,2,FALSE)/1000</t>
  </si>
  <si>
    <t>VLOOKUP($B69,RawData,AJ$4,FALSE)*VLOOKUP(AJ$3,ConversionFactors,2,FALSE)/1000</t>
  </si>
  <si>
    <t>VLOOKUP($B69,RawData,AK$4,FALSE)*VLOOKUP(AK$3,ConversionFactors,2,FALSE)/1000</t>
  </si>
  <si>
    <t>VLOOKUP($B69,RawData,AL$4,FALSE)*VLOOKUP(AL$3,ConversionFactors,2,FALSE)/1000</t>
  </si>
  <si>
    <t>VLOOKUP($B69,RawData,AM$4,FALSE)*VLOOKUP(AM$3,ConversionFactors,2,FALSE)/1000</t>
  </si>
  <si>
    <t>VLOOKUP($B69,RawData,AN$4,FALSE)*VLOOKUP(AN$3,ConversionFactors,2,FALSE)/1000</t>
  </si>
  <si>
    <t>VLOOKUP($B69,RawData,AO$4,FALSE)*VLOOKUP(AO$3,ConversionFactors,2,FALSE)/1000</t>
  </si>
  <si>
    <t>VLOOKUP($B69,RawData,AP$4,FALSE)*VLOOKUP(AP$3,ConversionFactors,2,FALSE)/1000</t>
  </si>
  <si>
    <t>VLOOKUP($B69,RawData,AQ$4,FALSE)*VLOOKUP(AQ$3,ConversionFactors,2,FALSE)/1000</t>
  </si>
  <si>
    <t>VLOOKUP($B69,RawData,AR$4,FALSE)*VLOOKUP(AR$3,ConversionFactors,2,FALSE)/1000</t>
  </si>
  <si>
    <t>VLOOKUP($B69,RawData,AS$4,FALSE)*VLOOKUP(AS$3,ConversionFactors,2,FALSE)*1</t>
  </si>
  <si>
    <t>VLOOKUP($B69,RawData,AT$4,FALSE)*1</t>
  </si>
  <si>
    <t>VLOOKUP($B69,RawData,AU$4,FALSE)*1</t>
  </si>
  <si>
    <t>VLOOKUP($B69,RawData,AV$4,FALSE)*1</t>
  </si>
  <si>
    <t>VLOOKUP($B69,RawData,AW$4,FALSE)*1</t>
  </si>
  <si>
    <t>VLOOKUP($B69,RawData,AX$4,FALSE)*1</t>
  </si>
  <si>
    <t>VLOOKUP($B69,RawData,AY$4,FALSE)*VLOOKUP(AY$3,ConversionFactors,2,FALSE)/1000</t>
  </si>
  <si>
    <t>VLOOKUP($B69,RawData,AZ$4,FALSE)*VLOOKUP(AZ$3,ConversionFactors,2,FALSE)/1000</t>
  </si>
  <si>
    <t>VLOOKUP($B69,RawData,BA$4,FALSE)*VLOOKUP(BA$3,ConversionFactors,2,FALSE)/1000</t>
  </si>
  <si>
    <t>VLOOKUP($B69,RawData,BB$4,FALSE)*VLOOKUP(BB$3,ConversionFactors,2,FALSE)/1000</t>
  </si>
  <si>
    <t>VLOOKUP($B69,RawData,BC$4,FALSE)*1</t>
  </si>
  <si>
    <t>VLOOKUP($B69,RawData,BD$4,FALSE)*VLOOKUP(BD$3,ConversionFactors,2,FALSE)/1000</t>
  </si>
  <si>
    <t>VLOOKUP($B69,RawData,BG$4,FALSE)*1</t>
  </si>
  <si>
    <t>VLOOKUP($B69,RawData,BI$4,FALSE)*1</t>
  </si>
  <si>
    <t>VLOOKUP($B69,RawData,BM$4,FALSE)*3.6</t>
  </si>
  <si>
    <t>VLOOKUP($B69,RawData,BN$4,FALSE)*1</t>
  </si>
  <si>
    <t>SUM(E71:E76)</t>
  </si>
  <si>
    <t>SUM(F71:F76)</t>
  </si>
  <si>
    <t>SUM(G71:G76)</t>
  </si>
  <si>
    <t>SUM(H71:H76)</t>
  </si>
  <si>
    <t>SUM(I71:I76)</t>
  </si>
  <si>
    <t>SUM(J71:J76)</t>
  </si>
  <si>
    <t>SUM(K71:K76)</t>
  </si>
  <si>
    <t>SUM(L71:L76)</t>
  </si>
  <si>
    <t>SUM(M71:M76)</t>
  </si>
  <si>
    <t>SUM(N71:N76)</t>
  </si>
  <si>
    <t>SUM(O71:O76)</t>
  </si>
  <si>
    <t>SUM(P71:P76)</t>
  </si>
  <si>
    <t>SUM(Q71:Q76)</t>
  </si>
  <si>
    <t>SUM(R71:R76)</t>
  </si>
  <si>
    <t>SUM(T71:T76)</t>
  </si>
  <si>
    <t>SUM(U71:U76)</t>
  </si>
  <si>
    <t>SUM(V71:V76)</t>
  </si>
  <si>
    <t>SUM(W71:W76)</t>
  </si>
  <si>
    <t>SUM(X71:X76)</t>
  </si>
  <si>
    <t>SUM(Y71:Y76)</t>
  </si>
  <si>
    <t>SUM(Z71:Z76)</t>
  </si>
  <si>
    <t>SUM(AA71:AA76)</t>
  </si>
  <si>
    <t>SUM(AB71:AB76)</t>
  </si>
  <si>
    <t>SUM(AC71:AC76)</t>
  </si>
  <si>
    <t>SUM(AD71:AD76)</t>
  </si>
  <si>
    <t>SUM(AE71:AE76)</t>
  </si>
  <si>
    <t>SUM(AF71:AF76)</t>
  </si>
  <si>
    <t>SUM(AG71:AG76)</t>
  </si>
  <si>
    <t>SUM(AH71:AH76)</t>
  </si>
  <si>
    <t>SUM(AI71:AI76)</t>
  </si>
  <si>
    <t>SUM(AJ71:AJ76)</t>
  </si>
  <si>
    <t>SUM(AK71:AK76)</t>
  </si>
  <si>
    <t>SUM(AL71:AL76)</t>
  </si>
  <si>
    <t>SUM(AM71:AM76)</t>
  </si>
  <si>
    <t>SUM(AN71:AN76)</t>
  </si>
  <si>
    <t>SUM(AO71:AO76)</t>
  </si>
  <si>
    <t>SUM(AP71:AP76)</t>
  </si>
  <si>
    <t>SUM(AQ71:AQ76)</t>
  </si>
  <si>
    <t>SUM(AR71:AR76)</t>
  </si>
  <si>
    <t>SUM(AS71:AS76)</t>
  </si>
  <si>
    <t>SUM(AT71:AT76)</t>
  </si>
  <si>
    <t>SUM(AU71:AU76)</t>
  </si>
  <si>
    <t>SUM(AV71:AV76)</t>
  </si>
  <si>
    <t>SUM(AW71:AW76)</t>
  </si>
  <si>
    <t>SUM(AX71:AX76)</t>
  </si>
  <si>
    <t>SUM(AY71:AY76)</t>
  </si>
  <si>
    <t>SUM(AZ71:AZ76)</t>
  </si>
  <si>
    <t>SUM(BA71:BA76)</t>
  </si>
  <si>
    <t>SUM(BB71:BB76)</t>
  </si>
  <si>
    <t>SUM(BC71:BC76)</t>
  </si>
  <si>
    <t>SUM(BD71:BD76)</t>
  </si>
  <si>
    <t>SUM(BG71:BG76)</t>
  </si>
  <si>
    <t>SUM(BI71:BI76)</t>
  </si>
  <si>
    <t>SUM(BL71:BL76)</t>
  </si>
  <si>
    <t>SUM(BM71:BM76)</t>
  </si>
  <si>
    <t>SUM(BN71:BN76)</t>
  </si>
  <si>
    <t>VLOOKUP($B71,RawData,E$4,FALSE)*VLOOKUP(E$3,ConversionFactors,$D71,FALSE)/1000</t>
  </si>
  <si>
    <t>VLOOKUP($B71,RawData,F$4,FALSE)*VLOOKUP(F$3,ConversionFactors,$D71,FALSE)/1000</t>
  </si>
  <si>
    <t>VLOOKUP($B71,RawData,G$4,FALSE)*VLOOKUP(G$3,ConversionFactors,$D71,FALSE)/1000</t>
  </si>
  <si>
    <t>VLOOKUP($B71,RawData,H$4,FALSE)*VLOOKUP(H$3,ConversionFactors,$D71,FALSE)/1000</t>
  </si>
  <si>
    <t>VLOOKUP($B71,RawData,I$4,FALSE)*VLOOKUP(I$3,ConversionFactors,$D71,FALSE)/1000</t>
  </si>
  <si>
    <t>VLOOKUP($B71,RawData,J$4,FALSE)*VLOOKUP(J$3,ConversionFactors,$D71,FALSE)/1000</t>
  </si>
  <si>
    <t>VLOOKUP($B71,RawData,K$4,FALSE)*VLOOKUP(K$3,ConversionFactors,$D71,FALSE)/1000</t>
  </si>
  <si>
    <t>VLOOKUP($B71,RawData,L$4,FALSE)*VLOOKUP(L$3,ConversionFactors,$D71,FALSE)/1000</t>
  </si>
  <si>
    <t>VLOOKUP($B71,RawData,M$4,FALSE)*VLOOKUP(M$3,ConversionFactors,$D71,FALSE)/1000</t>
  </si>
  <si>
    <t>VLOOKUP($B71,RawData,N$4,FALSE)*VLOOKUP(N$3,ConversionFactors,$D71,FALSE)/1000</t>
  </si>
  <si>
    <t>(VLOOKUP($B71,RawData,O$4,FALSE)*VLOOKUP(O$3,ConversionFactors,2,FALSE))*1</t>
  </si>
  <si>
    <t>(VLOOKUP($B71,RawData,P$4,FALSE)*VLOOKUP(P$3,ConversionFactors,2,FALSE))*1</t>
  </si>
  <si>
    <t>(VLOOKUP($B71,RawData,Q$4,FALSE)*VLOOKUP(Q$3,ConversionFactors,2,FALSE))*1</t>
  </si>
  <si>
    <t>(VLOOKUP($B71,RawData,R$4,FALSE)*VLOOKUP(R$3,ConversionFactors,2,FALSE))*1</t>
  </si>
  <si>
    <t>VLOOKUP($B71,RawData,T$4,FALSE)*VLOOKUP(T$3,ConversionFactors,$D71,FALSE)/1000</t>
  </si>
  <si>
    <t>VLOOKUP($B71,RawData,U$4,FALSE)*VLOOKUP(U$3,ConversionFactors,$D71,FALSE)/1000</t>
  </si>
  <si>
    <t>VLOOKUP($B71,RawData,V$4,FALSE)*VLOOKUP(V$3,ConversionFactors,$D71,FALSE)/1000</t>
  </si>
  <si>
    <t>VLOOKUP($B71,RawData,W$4,FALSE)*VLOOKUP(W$3,ConversionFactors,2,FALSE)/1000</t>
  </si>
  <si>
    <t>VLOOKUP($B71,RawData,X$4,FALSE)*VLOOKUP(X$3,ConversionFactors,2,FALSE)/1000</t>
  </si>
  <si>
    <t>VLOOKUP($B71,RawData,Y$4,FALSE)*VLOOKUP(Y$3,ConversionFactors,2,FALSE)/1000</t>
  </si>
  <si>
    <t>VLOOKUP($B71,RawData,Z$4,FALSE)*VLOOKUP(Z$3,ConversionFactors,2,FALSE)/1000</t>
  </si>
  <si>
    <t>VLOOKUP($B71,RawData,AA$4,FALSE)*VLOOKUP(AA$3,ConversionFactors,2,FALSE)/1000</t>
  </si>
  <si>
    <t>VLOOKUP($B71,RawData,AB$4,FALSE)*VLOOKUP(AB$3,ConversionFactors,2,FALSE)/1000</t>
  </si>
  <si>
    <t>VLOOKUP($B71,RawData,AC$4,FALSE)*VLOOKUP(AC$3,ConversionFactors,2,FALSE)/1000</t>
  </si>
  <si>
    <t>VLOOKUP($B71,RawData,AD$4,FALSE)*VLOOKUP(AD$3,ConversionFactors,2,FALSE)/1000</t>
  </si>
  <si>
    <t>VLOOKUP($B71,RawData,AE$4,FALSE)*VLOOKUP(AE$3,ConversionFactors,2,FALSE)/1000</t>
  </si>
  <si>
    <t>VLOOKUP($B71,RawData,AF$4,FALSE)*VLOOKUP(AF$3,ConversionFactors,2,FALSE)/1000</t>
  </si>
  <si>
    <t>VLOOKUP($B71,RawData,AG$4,FALSE)*VLOOKUP(AG$3,ConversionFactors,2,FALSE)/1000</t>
  </si>
  <si>
    <t>VLOOKUP($B71,RawData,AH$4,FALSE)*VLOOKUP(AH$3,ConversionFactors,2,FALSE)/1000</t>
  </si>
  <si>
    <t>VLOOKUP($B71,RawData,AI$4,FALSE)*VLOOKUP(AI$3,ConversionFactors,2,FALSE)/1000</t>
  </si>
  <si>
    <t>VLOOKUP($B71,RawData,AJ$4,FALSE)*VLOOKUP(AJ$3,ConversionFactors,2,FALSE)/1000</t>
  </si>
  <si>
    <t>VLOOKUP($B71,RawData,AK$4,FALSE)*VLOOKUP(AK$3,ConversionFactors,2,FALSE)/1000</t>
  </si>
  <si>
    <t>VLOOKUP($B71,RawData,AL$4,FALSE)*VLOOKUP(AL$3,ConversionFactors,2,FALSE)/1000</t>
  </si>
  <si>
    <t>VLOOKUP($B71,RawData,AM$4,FALSE)*VLOOKUP(AM$3,ConversionFactors,2,FALSE)/1000</t>
  </si>
  <si>
    <t>VLOOKUP($B71,RawData,AN$4,FALSE)*VLOOKUP(AN$3,ConversionFactors,2,FALSE)/1000</t>
  </si>
  <si>
    <t>VLOOKUP($B71,RawData,AO$4,FALSE)*VLOOKUP(AO$3,ConversionFactors,2,FALSE)/1000</t>
  </si>
  <si>
    <t>VLOOKUP($B71,RawData,AP$4,FALSE)*VLOOKUP(AP$3,ConversionFactors,2,FALSE)/1000</t>
  </si>
  <si>
    <t>VLOOKUP($B71,RawData,AQ$4,FALSE)*VLOOKUP(AQ$3,ConversionFactors,2,FALSE)/1000</t>
  </si>
  <si>
    <t>VLOOKUP($B71,RawData,AR$4,FALSE)*VLOOKUP(AR$3,ConversionFactors,2,FALSE)/1000</t>
  </si>
  <si>
    <t>VLOOKUP($B71,RawData,AS$4,FALSE)*VLOOKUP(AS$3,ConversionFactors,2,FALSE)*1</t>
  </si>
  <si>
    <t>VLOOKUP($B71,RawData,AT$4,FALSE)*1</t>
  </si>
  <si>
    <t>VLOOKUP($B71,RawData,AU$4,FALSE)*1</t>
  </si>
  <si>
    <t>VLOOKUP($B71,RawData,AV$4,FALSE)*1</t>
  </si>
  <si>
    <t>VLOOKUP($B71,RawData,AW$4,FALSE)*1</t>
  </si>
  <si>
    <t>VLOOKUP($B71,RawData,AX$4,FALSE)*1</t>
  </si>
  <si>
    <t>VLOOKUP($B71,RawData,AY$4,FALSE)*VLOOKUP(AY$3,ConversionFactors,2,FALSE)/1000</t>
  </si>
  <si>
    <t>VLOOKUP($B71,RawData,AZ$4,FALSE)*VLOOKUP(AZ$3,ConversionFactors,2,FALSE)/1000</t>
  </si>
  <si>
    <t>VLOOKUP($B71,RawData,BA$4,FALSE)*VLOOKUP(BA$3,ConversionFactors,2,FALSE)/1000</t>
  </si>
  <si>
    <t>VLOOKUP($B71,RawData,BB$4,FALSE)*VLOOKUP(BB$3,ConversionFactors,2,FALSE)/1000</t>
  </si>
  <si>
    <t>VLOOKUP($B71,RawData,BC$4,FALSE)*1</t>
  </si>
  <si>
    <t>VLOOKUP($B71,RawData,BD$4,FALSE)*VLOOKUP(BD$3,ConversionFactors,2,FALSE)/1000</t>
  </si>
  <si>
    <t>VLOOKUP($B71,RawData,BG$4,FALSE)*1</t>
  </si>
  <si>
    <t>VLOOKUP($B71,RawData,BI$4,FALSE)*1</t>
  </si>
  <si>
    <t>VLOOKUP($B71,RawData,BM$4,FALSE)*3.6</t>
  </si>
  <si>
    <t>VLOOKUP($B71,RawData,BN$4,FALSE)*1</t>
  </si>
  <si>
    <t>VLOOKUP($B72,RawData,E$4,FALSE)*VLOOKUP(E$3,ConversionFactors,$D72,FALSE)/1000</t>
  </si>
  <si>
    <t>VLOOKUP($B72,RawData,F$4,FALSE)*VLOOKUP(F$3,ConversionFactors,$D72,FALSE)/1000</t>
  </si>
  <si>
    <t>VLOOKUP($B72,RawData,G$4,FALSE)*VLOOKUP(G$3,ConversionFactors,$D72,FALSE)/1000</t>
  </si>
  <si>
    <t>VLOOKUP($B72,RawData,H$4,FALSE)*VLOOKUP(H$3,ConversionFactors,$D72,FALSE)/1000</t>
  </si>
  <si>
    <t>VLOOKUP($B72,RawData,I$4,FALSE)*VLOOKUP(I$3,ConversionFactors,$D72,FALSE)/1000</t>
  </si>
  <si>
    <t>VLOOKUP($B72,RawData,J$4,FALSE)*VLOOKUP(J$3,ConversionFactors,$D72,FALSE)/1000</t>
  </si>
  <si>
    <t>VLOOKUP($B72,RawData,K$4,FALSE)*VLOOKUP(K$3,ConversionFactors,$D72,FALSE)/1000</t>
  </si>
  <si>
    <t>VLOOKUP($B72,RawData,L$4,FALSE)*VLOOKUP(L$3,ConversionFactors,$D72,FALSE)/1000</t>
  </si>
  <si>
    <t>VLOOKUP($B72,RawData,M$4,FALSE)*VLOOKUP(M$3,ConversionFactors,$D72,FALSE)/1000</t>
  </si>
  <si>
    <t>VLOOKUP($B72,RawData,N$4,FALSE)*VLOOKUP(N$3,ConversionFactors,$D72,FALSE)/1000</t>
  </si>
  <si>
    <t>(VLOOKUP($B72,RawData,O$4,FALSE)*VLOOKUP(O$3,ConversionFactors,2,FALSE))*1</t>
  </si>
  <si>
    <t>(VLOOKUP($B72,RawData,P$4,FALSE)*VLOOKUP(P$3,ConversionFactors,2,FALSE))*1</t>
  </si>
  <si>
    <t>(VLOOKUP($B72,RawData,Q$4,FALSE)*VLOOKUP(Q$3,ConversionFactors,2,FALSE))*1</t>
  </si>
  <si>
    <t>(VLOOKUP($B72,RawData,R$4,FALSE)*VLOOKUP(R$3,ConversionFactors,2,FALSE))*1</t>
  </si>
  <si>
    <t>VLOOKUP($B72,RawData,T$4,FALSE)*VLOOKUP(T$3,ConversionFactors,$D72,FALSE)/1000</t>
  </si>
  <si>
    <t>VLOOKUP($B72,RawData,U$4,FALSE)*VLOOKUP(U$3,ConversionFactors,$D72,FALSE)/1000</t>
  </si>
  <si>
    <t>VLOOKUP($B72,RawData,V$4,FALSE)*VLOOKUP(V$3,ConversionFactors,$D72,FALSE)/1000</t>
  </si>
  <si>
    <t>VLOOKUP($B72,RawData,W$4,FALSE)*VLOOKUP(W$3,ConversionFactors,2,FALSE)/1000</t>
  </si>
  <si>
    <t>VLOOKUP($B72,RawData,X$4,FALSE)*VLOOKUP(X$3,ConversionFactors,2,FALSE)/1000</t>
  </si>
  <si>
    <t>VLOOKUP($B72,RawData,Y$4,FALSE)*VLOOKUP(Y$3,ConversionFactors,2,FALSE)/1000</t>
  </si>
  <si>
    <t>VLOOKUP($B72,RawData,Z$4,FALSE)*VLOOKUP(Z$3,ConversionFactors,2,FALSE)/1000</t>
  </si>
  <si>
    <t>VLOOKUP($B72,RawData,AA$4,FALSE)*VLOOKUP(AA$3,ConversionFactors,2,FALSE)/1000</t>
  </si>
  <si>
    <t>VLOOKUP($B72,RawData,AB$4,FALSE)*VLOOKUP(AB$3,ConversionFactors,2,FALSE)/1000</t>
  </si>
  <si>
    <t>VLOOKUP($B72,RawData,AC$4,FALSE)*VLOOKUP(AC$3,ConversionFactors,2,FALSE)/1000</t>
  </si>
  <si>
    <t>VLOOKUP($B72,RawData,AD$4,FALSE)*VLOOKUP(AD$3,ConversionFactors,2,FALSE)/1000</t>
  </si>
  <si>
    <t>VLOOKUP($B72,RawData,AE$4,FALSE)*VLOOKUP(AE$3,ConversionFactors,2,FALSE)/1000</t>
  </si>
  <si>
    <t>VLOOKUP($B72,RawData,AF$4,FALSE)*VLOOKUP(AF$3,ConversionFactors,2,FALSE)/1000</t>
  </si>
  <si>
    <t>VLOOKUP($B72,RawData,AG$4,FALSE)*VLOOKUP(AG$3,ConversionFactors,2,FALSE)/1000</t>
  </si>
  <si>
    <t>VLOOKUP($B72,RawData,AH$4,FALSE)*VLOOKUP(AH$3,ConversionFactors,2,FALSE)/1000</t>
  </si>
  <si>
    <t>VLOOKUP($B72,RawData,AI$4,FALSE)*VLOOKUP(AI$3,ConversionFactors,2,FALSE)/1000</t>
  </si>
  <si>
    <t>VLOOKUP($B72,RawData,AJ$4,FALSE)*VLOOKUP(AJ$3,ConversionFactors,2,FALSE)/1000</t>
  </si>
  <si>
    <t>VLOOKUP($B72,RawData,AK$4,FALSE)*VLOOKUP(AK$3,ConversionFactors,2,FALSE)/1000</t>
  </si>
  <si>
    <t>VLOOKUP($B72,RawData,AL$4,FALSE)*VLOOKUP(AL$3,ConversionFactors,2,FALSE)/1000</t>
  </si>
  <si>
    <t>VLOOKUP($B72,RawData,AM$4,FALSE)*VLOOKUP(AM$3,ConversionFactors,2,FALSE)/1000</t>
  </si>
  <si>
    <t>VLOOKUP($B72,RawData,AN$4,FALSE)*VLOOKUP(AN$3,ConversionFactors,2,FALSE)/1000</t>
  </si>
  <si>
    <t>VLOOKUP($B72,RawData,AO$4,FALSE)*VLOOKUP(AO$3,ConversionFactors,2,FALSE)/1000</t>
  </si>
  <si>
    <t>VLOOKUP($B72,RawData,AP$4,FALSE)*VLOOKUP(AP$3,ConversionFactors,2,FALSE)/1000</t>
  </si>
  <si>
    <t>VLOOKUP($B72,RawData,AQ$4,FALSE)*VLOOKUP(AQ$3,ConversionFactors,2,FALSE)/1000</t>
  </si>
  <si>
    <t>VLOOKUP($B72,RawData,AR$4,FALSE)*VLOOKUP(AR$3,ConversionFactors,2,FALSE)/1000</t>
  </si>
  <si>
    <t>VLOOKUP($B72,RawData,AS$4,FALSE)*VLOOKUP(AS$3,ConversionFactors,2,FALSE)*1</t>
  </si>
  <si>
    <t>VLOOKUP($B72,RawData,AT$4,FALSE)*1</t>
  </si>
  <si>
    <t>VLOOKUP($B72,RawData,AU$4,FALSE)*1</t>
  </si>
  <si>
    <t>VLOOKUP($B72,RawData,AV$4,FALSE)*1</t>
  </si>
  <si>
    <t>VLOOKUP($B72,RawData,AW$4,FALSE)*1</t>
  </si>
  <si>
    <t>VLOOKUP($B72,RawData,AX$4,FALSE)*1</t>
  </si>
  <si>
    <t>VLOOKUP($B72,RawData,AY$4,FALSE)*VLOOKUP(AY$3,ConversionFactors,2,FALSE)/1000</t>
  </si>
  <si>
    <t>VLOOKUP($B72,RawData,AZ$4,FALSE)*VLOOKUP(AZ$3,ConversionFactors,2,FALSE)/1000</t>
  </si>
  <si>
    <t>VLOOKUP($B72,RawData,BA$4,FALSE)*VLOOKUP(BA$3,ConversionFactors,2,FALSE)/1000</t>
  </si>
  <si>
    <t>VLOOKUP($B72,RawData,BB$4,FALSE)*VLOOKUP(BB$3,ConversionFactors,2,FALSE)/1000</t>
  </si>
  <si>
    <t>VLOOKUP($B72,RawData,BC$4,FALSE)*1</t>
  </si>
  <si>
    <t>VLOOKUP($B72,RawData,BD$4,FALSE)*VLOOKUP(BD$3,ConversionFactors,2,FALSE)/1000</t>
  </si>
  <si>
    <t>VLOOKUP($B72,RawData,BG$4,FALSE)*1</t>
  </si>
  <si>
    <t>VLOOKUP($B72,RawData,BI$4,FALSE)*1</t>
  </si>
  <si>
    <t>VLOOKUP($B72,RawData,BM$4,FALSE)*3.6</t>
  </si>
  <si>
    <t>VLOOKUP($B72,RawData,BN$4,FALSE)*1</t>
  </si>
  <si>
    <t>VLOOKUP($B73,RawData,E$4,FALSE)*VLOOKUP(E$3,ConversionFactors,$D73,FALSE)/1000</t>
  </si>
  <si>
    <t>VLOOKUP($B73,RawData,F$4,FALSE)*VLOOKUP(F$3,ConversionFactors,$D73,FALSE)/1000</t>
  </si>
  <si>
    <t>VLOOKUP($B73,RawData,G$4,FALSE)*VLOOKUP(G$3,ConversionFactors,$D73,FALSE)/1000</t>
  </si>
  <si>
    <t>VLOOKUP($B73,RawData,H$4,FALSE)*VLOOKUP(H$3,ConversionFactors,$D73,FALSE)/1000</t>
  </si>
  <si>
    <t>VLOOKUP($B73,RawData,I$4,FALSE)*VLOOKUP(I$3,ConversionFactors,$D73,FALSE)/1000</t>
  </si>
  <si>
    <t>VLOOKUP($B73,RawData,J$4,FALSE)*VLOOKUP(J$3,ConversionFactors,$D73,FALSE)/1000</t>
  </si>
  <si>
    <t>VLOOKUP($B73,RawData,K$4,FALSE)*VLOOKUP(K$3,ConversionFactors,$D73,FALSE)/1000</t>
  </si>
  <si>
    <t>VLOOKUP($B73,RawData,L$4,FALSE)*VLOOKUP(L$3,ConversionFactors,$D73,FALSE)/1000</t>
  </si>
  <si>
    <t>VLOOKUP($B73,RawData,M$4,FALSE)*VLOOKUP(M$3,ConversionFactors,$D73,FALSE)/1000</t>
  </si>
  <si>
    <t>VLOOKUP($B73,RawData,N$4,FALSE)*VLOOKUP(N$3,ConversionFactors,$D73,FALSE)/1000</t>
  </si>
  <si>
    <t>(VLOOKUP($B73,RawData,O$4,FALSE)*VLOOKUP(O$3,ConversionFactors,2,FALSE))*1</t>
  </si>
  <si>
    <t>(VLOOKUP($B73,RawData,P$4,FALSE)*VLOOKUP(P$3,ConversionFactors,2,FALSE))*1</t>
  </si>
  <si>
    <t>(VLOOKUP($B73,RawData,Q$4,FALSE)*VLOOKUP(Q$3,ConversionFactors,2,FALSE))*1</t>
  </si>
  <si>
    <t>(VLOOKUP($B73,RawData,R$4,FALSE)*VLOOKUP(R$3,ConversionFactors,2,FALSE))*1</t>
  </si>
  <si>
    <t>VLOOKUP($B73,RawData,T$4,FALSE)*VLOOKUP(T$3,ConversionFactors,$D73,FALSE)/1000</t>
  </si>
  <si>
    <t>VLOOKUP($B73,RawData,U$4,FALSE)*VLOOKUP(U$3,ConversionFactors,$D73,FALSE)/1000</t>
  </si>
  <si>
    <t>VLOOKUP($B73,RawData,V$4,FALSE)*VLOOKUP(V$3,ConversionFactors,$D73,FALSE)/1000</t>
  </si>
  <si>
    <t>VLOOKUP($B73,RawData,W$4,FALSE)*VLOOKUP(W$3,ConversionFactors,2,FALSE)/1000</t>
  </si>
  <si>
    <t>VLOOKUP($B73,RawData,X$4,FALSE)*VLOOKUP(X$3,ConversionFactors,2,FALSE)/1000</t>
  </si>
  <si>
    <t>VLOOKUP($B73,RawData,Y$4,FALSE)*VLOOKUP(Y$3,ConversionFactors,2,FALSE)/1000</t>
  </si>
  <si>
    <t>VLOOKUP($B73,RawData,Z$4,FALSE)*VLOOKUP(Z$3,ConversionFactors,2,FALSE)/1000</t>
  </si>
  <si>
    <t>VLOOKUP($B73,RawData,AA$4,FALSE)*VLOOKUP(AA$3,ConversionFactors,2,FALSE)/1000</t>
  </si>
  <si>
    <t>VLOOKUP($B73,RawData,AB$4,FALSE)*VLOOKUP(AB$3,ConversionFactors,2,FALSE)/1000</t>
  </si>
  <si>
    <t>VLOOKUP($B73,RawData,AC$4,FALSE)*VLOOKUP(AC$3,ConversionFactors,2,FALSE)/1000</t>
  </si>
  <si>
    <t>VLOOKUP($B73,RawData,AD$4,FALSE)*VLOOKUP(AD$3,ConversionFactors,2,FALSE)/1000</t>
  </si>
  <si>
    <t>VLOOKUP($B73,RawData,AE$4,FALSE)*VLOOKUP(AE$3,ConversionFactors,2,FALSE)/1000</t>
  </si>
  <si>
    <t>VLOOKUP($B73,RawData,AF$4,FALSE)*VLOOKUP(AF$3,ConversionFactors,2,FALSE)/1000</t>
  </si>
  <si>
    <t>VLOOKUP($B73,RawData,AG$4,FALSE)*VLOOKUP(AG$3,ConversionFactors,2,FALSE)/1000</t>
  </si>
  <si>
    <t>VLOOKUP($B73,RawData,AH$4,FALSE)*VLOOKUP(AH$3,ConversionFactors,2,FALSE)/1000</t>
  </si>
  <si>
    <t>VLOOKUP($B73,RawData,AI$4,FALSE)*VLOOKUP(AI$3,ConversionFactors,2,FALSE)/1000</t>
  </si>
  <si>
    <t>VLOOKUP($B73,RawData,AJ$4,FALSE)*VLOOKUP(AJ$3,ConversionFactors,2,FALSE)/1000</t>
  </si>
  <si>
    <t>VLOOKUP($B73,RawData,AK$4,FALSE)*VLOOKUP(AK$3,ConversionFactors,2,FALSE)/1000</t>
  </si>
  <si>
    <t>VLOOKUP($B73,RawData,AL$4,FALSE)*VLOOKUP(AL$3,ConversionFactors,2,FALSE)/1000</t>
  </si>
  <si>
    <t>VLOOKUP($B73,RawData,AM$4,FALSE)*VLOOKUP(AM$3,ConversionFactors,2,FALSE)/1000</t>
  </si>
  <si>
    <t>VLOOKUP($B73,RawData,AN$4,FALSE)*VLOOKUP(AN$3,ConversionFactors,2,FALSE)/1000</t>
  </si>
  <si>
    <t>VLOOKUP($B73,RawData,AO$4,FALSE)*VLOOKUP(AO$3,ConversionFactors,2,FALSE)/1000</t>
  </si>
  <si>
    <t>VLOOKUP($B73,RawData,AP$4,FALSE)*VLOOKUP(AP$3,ConversionFactors,2,FALSE)/1000</t>
  </si>
  <si>
    <t>VLOOKUP($B73,RawData,AQ$4,FALSE)*VLOOKUP(AQ$3,ConversionFactors,2,FALSE)/1000</t>
  </si>
  <si>
    <t>VLOOKUP($B73,RawData,AR$4,FALSE)*VLOOKUP(AR$3,ConversionFactors,2,FALSE)/1000</t>
  </si>
  <si>
    <t>VLOOKUP($B73,RawData,AS$4,FALSE)*VLOOKUP(AS$3,ConversionFactors,2,FALSE)*1</t>
  </si>
  <si>
    <t>VLOOKUP($B73,RawData,AT$4,FALSE)*1</t>
  </si>
  <si>
    <t>VLOOKUP($B73,RawData,AU$4,FALSE)*1</t>
  </si>
  <si>
    <t>VLOOKUP($B73,RawData,AV$4,FALSE)*1</t>
  </si>
  <si>
    <t>VLOOKUP($B73,RawData,AW$4,FALSE)*1</t>
  </si>
  <si>
    <t>VLOOKUP($B73,RawData,AX$4,FALSE)*1</t>
  </si>
  <si>
    <t>VLOOKUP($B73,RawData,AY$4,FALSE)*VLOOKUP(AY$3,ConversionFactors,2,FALSE)/1000</t>
  </si>
  <si>
    <t>VLOOKUP($B73,RawData,AZ$4,FALSE)*VLOOKUP(AZ$3,ConversionFactors,2,FALSE)/1000</t>
  </si>
  <si>
    <t>VLOOKUP($B73,RawData,BA$4,FALSE)*VLOOKUP(BA$3,ConversionFactors,2,FALSE)/1000</t>
  </si>
  <si>
    <t>VLOOKUP($B73,RawData,BB$4,FALSE)*VLOOKUP(BB$3,ConversionFactors,2,FALSE)/1000</t>
  </si>
  <si>
    <t>VLOOKUP($B73,RawData,BC$4,FALSE)*1</t>
  </si>
  <si>
    <t>VLOOKUP($B73,RawData,BD$4,FALSE)*VLOOKUP(BD$3,ConversionFactors,2,FALSE)/1000</t>
  </si>
  <si>
    <t>VLOOKUP($B73,RawData,BG$4,FALSE)*1</t>
  </si>
  <si>
    <t>VLOOKUP($B73,RawData,BI$4,FALSE)*1</t>
  </si>
  <si>
    <t>VLOOKUP($B73,RawData,BM$4,FALSE)*3.6</t>
  </si>
  <si>
    <t>VLOOKUP($B73,RawData,BN$4,FALSE)*1</t>
  </si>
  <si>
    <t>VLOOKUP($B74,RawData,E$4,FALSE)*VLOOKUP(E$3,ConversionFactors,$D74,FALSE)/1000</t>
  </si>
  <si>
    <t>VLOOKUP($B74,RawData,F$4,FALSE)*VLOOKUP(F$3,ConversionFactors,$D74,FALSE)/1000</t>
  </si>
  <si>
    <t>VLOOKUP($B74,RawData,G$4,FALSE)*VLOOKUP(G$3,ConversionFactors,$D74,FALSE)/1000</t>
  </si>
  <si>
    <t>VLOOKUP($B74,RawData,H$4,FALSE)*VLOOKUP(H$3,ConversionFactors,$D74,FALSE)/1000</t>
  </si>
  <si>
    <t>VLOOKUP($B74,RawData,I$4,FALSE)*VLOOKUP(I$3,ConversionFactors,$D74,FALSE)/1000</t>
  </si>
  <si>
    <t>VLOOKUP($B74,RawData,J$4,FALSE)*VLOOKUP(J$3,ConversionFactors,$D74,FALSE)/1000</t>
  </si>
  <si>
    <t>VLOOKUP($B74,RawData,K$4,FALSE)*VLOOKUP(K$3,ConversionFactors,$D74,FALSE)/1000</t>
  </si>
  <si>
    <t>VLOOKUP($B74,RawData,L$4,FALSE)*VLOOKUP(L$3,ConversionFactors,$D74,FALSE)/1000</t>
  </si>
  <si>
    <t>VLOOKUP($B74,RawData,M$4,FALSE)*VLOOKUP(M$3,ConversionFactors,$D74,FALSE)/1000</t>
  </si>
  <si>
    <t>VLOOKUP($B74,RawData,N$4,FALSE)*VLOOKUP(N$3,ConversionFactors,$D74,FALSE)/1000</t>
  </si>
  <si>
    <t>(VLOOKUP($B74,RawData,O$4,FALSE)*VLOOKUP(O$3,ConversionFactors,2,FALSE))*1</t>
  </si>
  <si>
    <t>(VLOOKUP($B74,RawData,P$4,FALSE)*VLOOKUP(P$3,ConversionFactors,2,FALSE))*1</t>
  </si>
  <si>
    <t>(VLOOKUP($B74,RawData,Q$4,FALSE)*VLOOKUP(Q$3,ConversionFactors,2,FALSE))*1</t>
  </si>
  <si>
    <t>(VLOOKUP($B74,RawData,R$4,FALSE)*VLOOKUP(R$3,ConversionFactors,2,FALSE))*1</t>
  </si>
  <si>
    <t>VLOOKUP($B74,RawData,T$4,FALSE)*VLOOKUP(T$3,ConversionFactors,$D74,FALSE)/1000</t>
  </si>
  <si>
    <t>VLOOKUP($B74,RawData,U$4,FALSE)*VLOOKUP(U$3,ConversionFactors,$D74,FALSE)/1000</t>
  </si>
  <si>
    <t>VLOOKUP($B74,RawData,V$4,FALSE)*VLOOKUP(V$3,ConversionFactors,$D74,FALSE)/1000</t>
  </si>
  <si>
    <t>VLOOKUP($B74,RawData,W$4,FALSE)*VLOOKUP(W$3,ConversionFactors,2,FALSE)/1000</t>
  </si>
  <si>
    <t>VLOOKUP($B74,RawData,X$4,FALSE)*VLOOKUP(X$3,ConversionFactors,2,FALSE)/1000</t>
  </si>
  <si>
    <t>VLOOKUP($B74,RawData,Y$4,FALSE)*VLOOKUP(Y$3,ConversionFactors,2,FALSE)/1000</t>
  </si>
  <si>
    <t>VLOOKUP($B74,RawData,Z$4,FALSE)*VLOOKUP(Z$3,ConversionFactors,2,FALSE)/1000</t>
  </si>
  <si>
    <t>VLOOKUP($B74,RawData,AA$4,FALSE)*VLOOKUP(AA$3,ConversionFactors,2,FALSE)/1000</t>
  </si>
  <si>
    <t>VLOOKUP($B74,RawData,AB$4,FALSE)*VLOOKUP(AB$3,ConversionFactors,2,FALSE)/1000</t>
  </si>
  <si>
    <t>VLOOKUP($B74,RawData,AC$4,FALSE)*VLOOKUP(AC$3,ConversionFactors,2,FALSE)/1000</t>
  </si>
  <si>
    <t>VLOOKUP($B74,RawData,AD$4,FALSE)*VLOOKUP(AD$3,ConversionFactors,2,FALSE)/1000</t>
  </si>
  <si>
    <t>VLOOKUP($B74,RawData,AE$4,FALSE)*VLOOKUP(AE$3,ConversionFactors,2,FALSE)/1000</t>
  </si>
  <si>
    <t>VLOOKUP($B74,RawData,AF$4,FALSE)*VLOOKUP(AF$3,ConversionFactors,2,FALSE)/1000</t>
  </si>
  <si>
    <t>VLOOKUP($B74,RawData,AG$4,FALSE)*VLOOKUP(AG$3,ConversionFactors,2,FALSE)/1000</t>
  </si>
  <si>
    <t>VLOOKUP($B74,RawData,AH$4,FALSE)*VLOOKUP(AH$3,ConversionFactors,2,FALSE)/1000</t>
  </si>
  <si>
    <t>VLOOKUP($B74,RawData,AI$4,FALSE)*VLOOKUP(AI$3,ConversionFactors,2,FALSE)/1000</t>
  </si>
  <si>
    <t>VLOOKUP($B74,RawData,AJ$4,FALSE)*VLOOKUP(AJ$3,ConversionFactors,2,FALSE)/1000</t>
  </si>
  <si>
    <t>VLOOKUP($B74,RawData,AK$4,FALSE)*VLOOKUP(AK$3,ConversionFactors,2,FALSE)/1000</t>
  </si>
  <si>
    <t>VLOOKUP($B74,RawData,AL$4,FALSE)*VLOOKUP(AL$3,ConversionFactors,2,FALSE)/1000</t>
  </si>
  <si>
    <t>VLOOKUP($B74,RawData,AM$4,FALSE)*VLOOKUP(AM$3,ConversionFactors,2,FALSE)/1000</t>
  </si>
  <si>
    <t>VLOOKUP($B74,RawData,AN$4,FALSE)*VLOOKUP(AN$3,ConversionFactors,2,FALSE)/1000</t>
  </si>
  <si>
    <t>VLOOKUP($B74,RawData,AO$4,FALSE)*VLOOKUP(AO$3,ConversionFactors,2,FALSE)/1000</t>
  </si>
  <si>
    <t>VLOOKUP($B74,RawData,AP$4,FALSE)*VLOOKUP(AP$3,ConversionFactors,2,FALSE)/1000</t>
  </si>
  <si>
    <t>VLOOKUP($B74,RawData,AQ$4,FALSE)*VLOOKUP(AQ$3,ConversionFactors,2,FALSE)/1000</t>
  </si>
  <si>
    <t>VLOOKUP($B74,RawData,AR$4,FALSE)*VLOOKUP(AR$3,ConversionFactors,2,FALSE)/1000</t>
  </si>
  <si>
    <t>VLOOKUP($B74,RawData,AS$4,FALSE)*VLOOKUP(AS$3,ConversionFactors,2,FALSE)*1</t>
  </si>
  <si>
    <t>VLOOKUP($B74,RawData,AT$4,FALSE)*1</t>
  </si>
  <si>
    <t>VLOOKUP($B74,RawData,AU$4,FALSE)*1</t>
  </si>
  <si>
    <t>VLOOKUP($B74,RawData,AV$4,FALSE)*1</t>
  </si>
  <si>
    <t>VLOOKUP($B74,RawData,AW$4,FALSE)*1</t>
  </si>
  <si>
    <t>VLOOKUP($B74,RawData,AX$4,FALSE)*1</t>
  </si>
  <si>
    <t>VLOOKUP($B74,RawData,AY$4,FALSE)*VLOOKUP(AY$3,ConversionFactors,2,FALSE)/1000</t>
  </si>
  <si>
    <t>VLOOKUP($B74,RawData,AZ$4,FALSE)*VLOOKUP(AZ$3,ConversionFactors,2,FALSE)/1000</t>
  </si>
  <si>
    <t>VLOOKUP($B74,RawData,BA$4,FALSE)*VLOOKUP(BA$3,ConversionFactors,2,FALSE)/1000</t>
  </si>
  <si>
    <t>VLOOKUP($B74,RawData,BB$4,FALSE)*VLOOKUP(BB$3,ConversionFactors,2,FALSE)/1000</t>
  </si>
  <si>
    <t>VLOOKUP($B74,RawData,BC$4,FALSE)*1</t>
  </si>
  <si>
    <t>VLOOKUP($B74,RawData,BD$4,FALSE)*VLOOKUP(BD$3,ConversionFactors,2,FALSE)/1000</t>
  </si>
  <si>
    <t>VLOOKUP($B74,RawData,BG$4,FALSE)*1</t>
  </si>
  <si>
    <t>VLOOKUP($B74,RawData,BI$4,FALSE)*1</t>
  </si>
  <si>
    <t>VLOOKUP($B74,RawData,BM$4,FALSE)*3.6</t>
  </si>
  <si>
    <t>VLOOKUP($B74,RawData,BN$4,FALSE)*1</t>
  </si>
  <si>
    <t>VLOOKUP($B75,RawData,E$4,FALSE)*VLOOKUP(E$3,ConversionFactors,$D75,FALSE)/1000</t>
  </si>
  <si>
    <t>VLOOKUP($B75,RawData,F$4,FALSE)*VLOOKUP(F$3,ConversionFactors,$D75,FALSE)/1000</t>
  </si>
  <si>
    <t>VLOOKUP($B75,RawData,G$4,FALSE)*VLOOKUP(G$3,ConversionFactors,$D75,FALSE)/1000</t>
  </si>
  <si>
    <t>VLOOKUP($B75,RawData,H$4,FALSE)*VLOOKUP(H$3,ConversionFactors,$D75,FALSE)/1000</t>
  </si>
  <si>
    <t>VLOOKUP($B75,RawData,I$4,FALSE)*VLOOKUP(I$3,ConversionFactors,$D75,FALSE)/1000</t>
  </si>
  <si>
    <t>VLOOKUP($B75,RawData,J$4,FALSE)*VLOOKUP(J$3,ConversionFactors,$D75,FALSE)/1000</t>
  </si>
  <si>
    <t>VLOOKUP($B75,RawData,K$4,FALSE)*VLOOKUP(K$3,ConversionFactors,$D75,FALSE)/1000</t>
  </si>
  <si>
    <t>VLOOKUP($B75,RawData,L$4,FALSE)*VLOOKUP(L$3,ConversionFactors,$D75,FALSE)/1000</t>
  </si>
  <si>
    <t>VLOOKUP($B75,RawData,M$4,FALSE)*VLOOKUP(M$3,ConversionFactors,$D75,FALSE)/1000</t>
  </si>
  <si>
    <t>VLOOKUP($B75,RawData,N$4,FALSE)*VLOOKUP(N$3,ConversionFactors,$D75,FALSE)/1000</t>
  </si>
  <si>
    <t>(VLOOKUP($B75,RawData,O$4,FALSE)*VLOOKUP(O$3,ConversionFactors,2,FALSE))*1</t>
  </si>
  <si>
    <t>(VLOOKUP($B75,RawData,P$4,FALSE)*VLOOKUP(P$3,ConversionFactors,2,FALSE))*1</t>
  </si>
  <si>
    <t>(VLOOKUP($B75,RawData,Q$4,FALSE)*VLOOKUP(Q$3,ConversionFactors,2,FALSE))*1</t>
  </si>
  <si>
    <t>(VLOOKUP($B75,RawData,R$4,FALSE)*VLOOKUP(R$3,ConversionFactors,2,FALSE))*1</t>
  </si>
  <si>
    <t>VLOOKUP($B75,RawData,T$4,FALSE)*VLOOKUP(T$3,ConversionFactors,$D75,FALSE)/1000</t>
  </si>
  <si>
    <t>VLOOKUP($B75,RawData,U$4,FALSE)*VLOOKUP(U$3,ConversionFactors,$D75,FALSE)/1000</t>
  </si>
  <si>
    <t>VLOOKUP($B75,RawData,V$4,FALSE)*VLOOKUP(V$3,ConversionFactors,$D75,FALSE)/1000</t>
  </si>
  <si>
    <t>VLOOKUP($B75,RawData,W$4,FALSE)*VLOOKUP(W$3,ConversionFactors,2,FALSE)/1000</t>
  </si>
  <si>
    <t>VLOOKUP($B75,RawData,X$4,FALSE)*VLOOKUP(X$3,ConversionFactors,2,FALSE)/1000</t>
  </si>
  <si>
    <t>VLOOKUP($B75,RawData,Y$4,FALSE)*VLOOKUP(Y$3,ConversionFactors,2,FALSE)/1000</t>
  </si>
  <si>
    <t>VLOOKUP($B75,RawData,Z$4,FALSE)*VLOOKUP(Z$3,ConversionFactors,2,FALSE)/1000</t>
  </si>
  <si>
    <t>VLOOKUP($B75,RawData,AA$4,FALSE)*VLOOKUP(AA$3,ConversionFactors,2,FALSE)/1000</t>
  </si>
  <si>
    <t>VLOOKUP($B75,RawData,AB$4,FALSE)*VLOOKUP(AB$3,ConversionFactors,2,FALSE)/1000</t>
  </si>
  <si>
    <t>VLOOKUP($B75,RawData,AC$4,FALSE)*VLOOKUP(AC$3,ConversionFactors,2,FALSE)/1000</t>
  </si>
  <si>
    <t>VLOOKUP($B75,RawData,AD$4,FALSE)*VLOOKUP(AD$3,ConversionFactors,2,FALSE)/1000</t>
  </si>
  <si>
    <t>VLOOKUP($B75,RawData,AE$4,FALSE)*VLOOKUP(AE$3,ConversionFactors,2,FALSE)/1000</t>
  </si>
  <si>
    <t>VLOOKUP($B75,RawData,AF$4,FALSE)*VLOOKUP(AF$3,ConversionFactors,2,FALSE)/1000</t>
  </si>
  <si>
    <t>VLOOKUP($B75,RawData,AG$4,FALSE)*VLOOKUP(AG$3,ConversionFactors,2,FALSE)/1000</t>
  </si>
  <si>
    <t>VLOOKUP($B75,RawData,AH$4,FALSE)*VLOOKUP(AH$3,ConversionFactors,2,FALSE)/1000</t>
  </si>
  <si>
    <t>VLOOKUP($B75,RawData,AI$4,FALSE)*VLOOKUP(AI$3,ConversionFactors,2,FALSE)/1000</t>
  </si>
  <si>
    <t>VLOOKUP($B75,RawData,AJ$4,FALSE)*VLOOKUP(AJ$3,ConversionFactors,2,FALSE)/1000</t>
  </si>
  <si>
    <t>VLOOKUP($B75,RawData,AK$4,FALSE)*VLOOKUP(AK$3,ConversionFactors,2,FALSE)/1000</t>
  </si>
  <si>
    <t>VLOOKUP($B75,RawData,AL$4,FALSE)*VLOOKUP(AL$3,ConversionFactors,2,FALSE)/1000</t>
  </si>
  <si>
    <t>VLOOKUP($B75,RawData,AM$4,FALSE)*VLOOKUP(AM$3,ConversionFactors,2,FALSE)/1000</t>
  </si>
  <si>
    <t>VLOOKUP($B75,RawData,AN$4,FALSE)*VLOOKUP(AN$3,ConversionFactors,2,FALSE)/1000</t>
  </si>
  <si>
    <t>VLOOKUP($B75,RawData,AO$4,FALSE)*VLOOKUP(AO$3,ConversionFactors,2,FALSE)/1000</t>
  </si>
  <si>
    <t>VLOOKUP($B75,RawData,AP$4,FALSE)*VLOOKUP(AP$3,ConversionFactors,2,FALSE)/1000</t>
  </si>
  <si>
    <t>VLOOKUP($B75,RawData,AQ$4,FALSE)*VLOOKUP(AQ$3,ConversionFactors,2,FALSE)/1000</t>
  </si>
  <si>
    <t>VLOOKUP($B75,RawData,AR$4,FALSE)*VLOOKUP(AR$3,ConversionFactors,2,FALSE)/1000</t>
  </si>
  <si>
    <t>VLOOKUP($B75,RawData,AS$4,FALSE)*VLOOKUP(AS$3,ConversionFactors,2,FALSE)*1</t>
  </si>
  <si>
    <t>VLOOKUP($B75,RawData,AT$4,FALSE)*1</t>
  </si>
  <si>
    <t>VLOOKUP($B75,RawData,AU$4,FALSE)*1</t>
  </si>
  <si>
    <t>VLOOKUP($B75,RawData,AV$4,FALSE)*1</t>
  </si>
  <si>
    <t>VLOOKUP($B75,RawData,AW$4,FALSE)*1</t>
  </si>
  <si>
    <t>VLOOKUP($B75,RawData,AX$4,FALSE)*1</t>
  </si>
  <si>
    <t>VLOOKUP($B75,RawData,AY$4,FALSE)*VLOOKUP(AY$3,ConversionFactors,2,FALSE)/1000</t>
  </si>
  <si>
    <t>VLOOKUP($B75,RawData,AZ$4,FALSE)*VLOOKUP(AZ$3,ConversionFactors,2,FALSE)/1000</t>
  </si>
  <si>
    <t>VLOOKUP($B75,RawData,BA$4,FALSE)*VLOOKUP(BA$3,ConversionFactors,2,FALSE)/1000</t>
  </si>
  <si>
    <t>VLOOKUP($B75,RawData,BB$4,FALSE)*VLOOKUP(BB$3,ConversionFactors,2,FALSE)/1000</t>
  </si>
  <si>
    <t>VLOOKUP($B75,RawData,BC$4,FALSE)*1</t>
  </si>
  <si>
    <t>VLOOKUP($B75,RawData,BD$4,FALSE)*VLOOKUP(BD$3,ConversionFactors,2,FALSE)/1000</t>
  </si>
  <si>
    <t>VLOOKUP($B75,RawData,BG$4,FALSE)*1</t>
  </si>
  <si>
    <t>VLOOKUP($B75,RawData,BI$4,FALSE)*1</t>
  </si>
  <si>
    <t>VLOOKUP($B75,RawData,BM$4,FALSE)*3.6</t>
  </si>
  <si>
    <t>VLOOKUP($B75,RawData,BN$4,FALSE)*1</t>
  </si>
  <si>
    <t>VLOOKUP($B76,RawData,E$4,FALSE)*VLOOKUP(E$3,ConversionFactors,$D76,FALSE)/1000</t>
  </si>
  <si>
    <t>VLOOKUP($B76,RawData,F$4,FALSE)*VLOOKUP(F$3,ConversionFactors,$D76,FALSE)/1000</t>
  </si>
  <si>
    <t>VLOOKUP($B76,RawData,G$4,FALSE)*VLOOKUP(G$3,ConversionFactors,$D76,FALSE)/1000</t>
  </si>
  <si>
    <t>VLOOKUP($B76,RawData,H$4,FALSE)*VLOOKUP(H$3,ConversionFactors,$D76,FALSE)/1000</t>
  </si>
  <si>
    <t>VLOOKUP($B76,RawData,I$4,FALSE)*VLOOKUP(I$3,ConversionFactors,$D76,FALSE)/1000</t>
  </si>
  <si>
    <t>VLOOKUP($B76,RawData,J$4,FALSE)*VLOOKUP(J$3,ConversionFactors,$D76,FALSE)/1000</t>
  </si>
  <si>
    <t>VLOOKUP($B76,RawData,K$4,FALSE)*VLOOKUP(K$3,ConversionFactors,$D76,FALSE)/1000</t>
  </si>
  <si>
    <t>VLOOKUP($B76,RawData,L$4,FALSE)*VLOOKUP(L$3,ConversionFactors,$D76,FALSE)/1000</t>
  </si>
  <si>
    <t>VLOOKUP($B76,RawData,M$4,FALSE)*VLOOKUP(M$3,ConversionFactors,$D76,FALSE)/1000</t>
  </si>
  <si>
    <t>VLOOKUP($B76,RawData,N$4,FALSE)*VLOOKUP(N$3,ConversionFactors,$D76,FALSE)/1000</t>
  </si>
  <si>
    <t>(VLOOKUP($B76,RawData,O$4,FALSE)*VLOOKUP(O$3,ConversionFactors,2,FALSE))*1</t>
  </si>
  <si>
    <t>(VLOOKUP($B76,RawData,P$4,FALSE)*VLOOKUP(P$3,ConversionFactors,2,FALSE))*1</t>
  </si>
  <si>
    <t>(VLOOKUP($B76,RawData,Q$4,FALSE)*VLOOKUP(Q$3,ConversionFactors,2,FALSE))*1</t>
  </si>
  <si>
    <t>(VLOOKUP($B76,RawData,R$4,FALSE)*VLOOKUP(R$3,ConversionFactors,2,FALSE))*1</t>
  </si>
  <si>
    <t>VLOOKUP($B76,RawData,T$4,FALSE)*VLOOKUP(T$3,ConversionFactors,$D76,FALSE)/1000</t>
  </si>
  <si>
    <t>VLOOKUP($B76,RawData,U$4,FALSE)*VLOOKUP(U$3,ConversionFactors,$D76,FALSE)/1000</t>
  </si>
  <si>
    <t>VLOOKUP($B76,RawData,V$4,FALSE)*VLOOKUP(V$3,ConversionFactors,$D76,FALSE)/1000</t>
  </si>
  <si>
    <t>VLOOKUP($B76,RawData,W$4,FALSE)*VLOOKUP(W$3,ConversionFactors,2,FALSE)/1000</t>
  </si>
  <si>
    <t>VLOOKUP($B76,RawData,X$4,FALSE)*VLOOKUP(X$3,ConversionFactors,2,FALSE)/1000</t>
  </si>
  <si>
    <t>VLOOKUP($B76,RawData,Y$4,FALSE)*VLOOKUP(Y$3,ConversionFactors,2,FALSE)/1000</t>
  </si>
  <si>
    <t>VLOOKUP($B76,RawData,Z$4,FALSE)*VLOOKUP(Z$3,ConversionFactors,2,FALSE)/1000</t>
  </si>
  <si>
    <t>VLOOKUP($B76,RawData,AA$4,FALSE)*VLOOKUP(AA$3,ConversionFactors,2,FALSE)/1000</t>
  </si>
  <si>
    <t>VLOOKUP($B76,RawData,AB$4,FALSE)*VLOOKUP(AB$3,ConversionFactors,2,FALSE)/1000</t>
  </si>
  <si>
    <t>VLOOKUP($B76,RawData,AC$4,FALSE)*VLOOKUP(AC$3,ConversionFactors,2,FALSE)/1000</t>
  </si>
  <si>
    <t>VLOOKUP($B76,RawData,AD$4,FALSE)*VLOOKUP(AD$3,ConversionFactors,2,FALSE)/1000</t>
  </si>
  <si>
    <t>VLOOKUP($B76,RawData,AE$4,FALSE)*VLOOKUP(AE$3,ConversionFactors,2,FALSE)/1000</t>
  </si>
  <si>
    <t>VLOOKUP($B76,RawData,AF$4,FALSE)*VLOOKUP(AF$3,ConversionFactors,2,FALSE)/1000</t>
  </si>
  <si>
    <t>VLOOKUP($B76,RawData,AG$4,FALSE)*VLOOKUP(AG$3,ConversionFactors,2,FALSE)/1000</t>
  </si>
  <si>
    <t>VLOOKUP($B76,RawData,AH$4,FALSE)*VLOOKUP(AH$3,ConversionFactors,2,FALSE)/1000</t>
  </si>
  <si>
    <t>VLOOKUP($B76,RawData,AI$4,FALSE)*VLOOKUP(AI$3,ConversionFactors,2,FALSE)/1000</t>
  </si>
  <si>
    <t>VLOOKUP($B76,RawData,AJ$4,FALSE)*VLOOKUP(AJ$3,ConversionFactors,2,FALSE)/1000</t>
  </si>
  <si>
    <t>VLOOKUP($B76,RawData,AK$4,FALSE)*VLOOKUP(AK$3,ConversionFactors,2,FALSE)/1000</t>
  </si>
  <si>
    <t>VLOOKUP($B76,RawData,AL$4,FALSE)*VLOOKUP(AL$3,ConversionFactors,2,FALSE)/1000</t>
  </si>
  <si>
    <t>VLOOKUP($B76,RawData,AM$4,FALSE)*VLOOKUP(AM$3,ConversionFactors,2,FALSE)/1000</t>
  </si>
  <si>
    <t>VLOOKUP($B76,RawData,AN$4,FALSE)*VLOOKUP(AN$3,ConversionFactors,2,FALSE)/1000</t>
  </si>
  <si>
    <t>VLOOKUP($B76,RawData,AO$4,FALSE)*VLOOKUP(AO$3,ConversionFactors,2,FALSE)/1000</t>
  </si>
  <si>
    <t>VLOOKUP($B76,RawData,AP$4,FALSE)*VLOOKUP(AP$3,ConversionFactors,2,FALSE)/1000</t>
  </si>
  <si>
    <t>VLOOKUP($B76,RawData,AQ$4,FALSE)*VLOOKUP(AQ$3,ConversionFactors,2,FALSE)/1000</t>
  </si>
  <si>
    <t>VLOOKUP($B76,RawData,AR$4,FALSE)*VLOOKUP(AR$3,ConversionFactors,2,FALSE)/1000</t>
  </si>
  <si>
    <t>VLOOKUP($B76,RawData,AS$4,FALSE)*VLOOKUP(AS$3,ConversionFactors,2,FALSE)*1</t>
  </si>
  <si>
    <t>VLOOKUP($B76,RawData,AT$4,FALSE)*1</t>
  </si>
  <si>
    <t>VLOOKUP($B76,RawData,AU$4,FALSE)*1</t>
  </si>
  <si>
    <t>VLOOKUP($B76,RawData,AV$4,FALSE)*1</t>
  </si>
  <si>
    <t>VLOOKUP($B76,RawData,AW$4,FALSE)*1</t>
  </si>
  <si>
    <t>VLOOKUP($B76,RawData,AX$4,FALSE)*1</t>
  </si>
  <si>
    <t>VLOOKUP($B76,RawData,AY$4,FALSE)*VLOOKUP(AY$3,ConversionFactors,2,FALSE)/1000</t>
  </si>
  <si>
    <t>VLOOKUP($B76,RawData,AZ$4,FALSE)*VLOOKUP(AZ$3,ConversionFactors,2,FALSE)/1000</t>
  </si>
  <si>
    <t>VLOOKUP($B76,RawData,BA$4,FALSE)*VLOOKUP(BA$3,ConversionFactors,2,FALSE)/1000</t>
  </si>
  <si>
    <t>VLOOKUP($B76,RawData,BB$4,FALSE)*VLOOKUP(BB$3,ConversionFactors,2,FALSE)/1000</t>
  </si>
  <si>
    <t>VLOOKUP($B76,RawData,BC$4,FALSE)*1</t>
  </si>
  <si>
    <t>VLOOKUP($B76,RawData,BD$4,FALSE)*VLOOKUP(BD$3,ConversionFactors,2,FALSE)/1000</t>
  </si>
  <si>
    <t>VLOOKUP($B76,RawData,BG$4,FALSE)*1</t>
  </si>
  <si>
    <t>VLOOKUP($B76,RawData,BI$4,FALSE)*1</t>
  </si>
  <si>
    <t>VLOOKUP($B76,RawData,BM$4,FALSE)*3.6</t>
  </si>
  <si>
    <t>VLOOKUP($B76,RawData,BN$4,FALSE)*1</t>
  </si>
  <si>
    <t>SUM(E78:E82)</t>
  </si>
  <si>
    <t>SUM(F78:F82)</t>
  </si>
  <si>
    <t>SUM(G78:G82)</t>
  </si>
  <si>
    <t>SUM(H78:H82)</t>
  </si>
  <si>
    <t>SUM(I78:I82)</t>
  </si>
  <si>
    <t>SUM(J78:J82)</t>
  </si>
  <si>
    <t>SUM(K78:K82)</t>
  </si>
  <si>
    <t>SUM(L78:L82)</t>
  </si>
  <si>
    <t>SUM(M78:M82)</t>
  </si>
  <si>
    <t>SUM(N78:N82)</t>
  </si>
  <si>
    <t>SUM(O78:O82)</t>
  </si>
  <si>
    <t>SUM(P78:P82)</t>
  </si>
  <si>
    <t>SUM(Q78:Q82)</t>
  </si>
  <si>
    <t>SUM(R78:R82)</t>
  </si>
  <si>
    <t>SUM(T78:T82)</t>
  </si>
  <si>
    <t>SUM(U78:U82)</t>
  </si>
  <si>
    <t>SUM(V78:V82)</t>
  </si>
  <si>
    <t>SUM(W78:W82)</t>
  </si>
  <si>
    <t>SUM(X78:X82)</t>
  </si>
  <si>
    <t>SUM(Y78:Y82)</t>
  </si>
  <si>
    <t>SUM(Z78:Z82)</t>
  </si>
  <si>
    <t>SUM(AA78:AA82)</t>
  </si>
  <si>
    <t>SUM(AB78:AB82)</t>
  </si>
  <si>
    <t>SUM(AC78:AC82)</t>
  </si>
  <si>
    <t>SUM(AD78:AD82)</t>
  </si>
  <si>
    <t>SUM(AE78:AE82)</t>
  </si>
  <si>
    <t>SUM(AF78:AF82)</t>
  </si>
  <si>
    <t>SUM(AG78:AG82)</t>
  </si>
  <si>
    <t>SUM(AH78:AH82)</t>
  </si>
  <si>
    <t>SUM(AI78:AI82)</t>
  </si>
  <si>
    <t>SUM(AJ78:AJ82)</t>
  </si>
  <si>
    <t>SUM(AK78:AK82)</t>
  </si>
  <si>
    <t>SUM(AL78:AL82)</t>
  </si>
  <si>
    <t>SUM(AM78:AM82)</t>
  </si>
  <si>
    <t>SUM(AN78:AN82)</t>
  </si>
  <si>
    <t>SUM(AO78:AO82)</t>
  </si>
  <si>
    <t>SUM(AP78:AP82)</t>
  </si>
  <si>
    <t>SUM(AQ78:AQ82)</t>
  </si>
  <si>
    <t>SUM(AR78:AR82)</t>
  </si>
  <si>
    <t>SUM(AS78:AS82)</t>
  </si>
  <si>
    <t>SUM(AT78:AT82)</t>
  </si>
  <si>
    <t>SUM(AU78:AU82)</t>
  </si>
  <si>
    <t>SUM(AV78:AV82)</t>
  </si>
  <si>
    <t>SUM(AW78:AW82)</t>
  </si>
  <si>
    <t>SUM(AX78:AX82)</t>
  </si>
  <si>
    <t>SUM(AY78:AY82)</t>
  </si>
  <si>
    <t>SUM(AZ78:AZ82)</t>
  </si>
  <si>
    <t>SUM(BA78:BA82)</t>
  </si>
  <si>
    <t>SUM(BB78:BB82)</t>
  </si>
  <si>
    <t>SUM(BC78:BC82)</t>
  </si>
  <si>
    <t>SUM(BD78:BD82)</t>
  </si>
  <si>
    <t>SUM(BG78:BG82)</t>
  </si>
  <si>
    <t>SUM(BI78:BI82)</t>
  </si>
  <si>
    <t>SUM(BL78:BL82)</t>
  </si>
  <si>
    <t>SUM(BM78:BM82)</t>
  </si>
  <si>
    <t>SUM(BN78:BN82)</t>
  </si>
  <si>
    <t>VLOOKUP($B78,RawData,E$4,FALSE)*VLOOKUP(E$3,ConversionFactors,$D78,FALSE)/1000</t>
  </si>
  <si>
    <t>VLOOKUP($B78,RawData,F$4,FALSE)*VLOOKUP(F$3,ConversionFactors,$D78,FALSE)/1000</t>
  </si>
  <si>
    <t>VLOOKUP($B78,RawData,G$4,FALSE)*VLOOKUP(G$3,ConversionFactors,$D78,FALSE)/1000</t>
  </si>
  <si>
    <t>VLOOKUP($B78,RawData,H$4,FALSE)*VLOOKUP(H$3,ConversionFactors,$D78,FALSE)/1000</t>
  </si>
  <si>
    <t>VLOOKUP($B78,RawData,I$4,FALSE)*VLOOKUP(I$3,ConversionFactors,$D78,FALSE)/1000</t>
  </si>
  <si>
    <t>VLOOKUP($B78,RawData,J$4,FALSE)*VLOOKUP(J$3,ConversionFactors,$D78,FALSE)/1000</t>
  </si>
  <si>
    <t>VLOOKUP($B78,RawData,K$4,FALSE)*VLOOKUP(K$3,ConversionFactors,$D78,FALSE)/1000</t>
  </si>
  <si>
    <t>VLOOKUP($B78,RawData,L$4,FALSE)*VLOOKUP(L$3,ConversionFactors,$D78,FALSE)/1000</t>
  </si>
  <si>
    <t>VLOOKUP($B78,RawData,M$4,FALSE)*VLOOKUP(M$3,ConversionFactors,$D78,FALSE)/1000</t>
  </si>
  <si>
    <t>VLOOKUP($B78,RawData,N$4,FALSE)*VLOOKUP(N$3,ConversionFactors,$D78,FALSE)/1000</t>
  </si>
  <si>
    <t>(VLOOKUP($B78,RawData,O$4,FALSE)*VLOOKUP(O$3,ConversionFactors,2,FALSE))*1</t>
  </si>
  <si>
    <t>(VLOOKUP($B78,RawData,P$4,FALSE)*VLOOKUP(P$3,ConversionFactors,2,FALSE))*1</t>
  </si>
  <si>
    <t>(VLOOKUP($B78,RawData,Q$4,FALSE)*VLOOKUP(Q$3,ConversionFactors,2,FALSE))*1</t>
  </si>
  <si>
    <t>(VLOOKUP($B78,RawData,R$4,FALSE)*VLOOKUP(R$3,ConversionFactors,2,FALSE))*1</t>
  </si>
  <si>
    <t>VLOOKUP($B78,RawData,T$4,FALSE)*VLOOKUP(T$3,ConversionFactors,$D78,FALSE)/1000</t>
  </si>
  <si>
    <t>VLOOKUP($B78,RawData,U$4,FALSE)*VLOOKUP(U$3,ConversionFactors,$D78,FALSE)/1000</t>
  </si>
  <si>
    <t>VLOOKUP($B78,RawData,V$4,FALSE)*VLOOKUP(V$3,ConversionFactors,$D78,FALSE)/1000</t>
  </si>
  <si>
    <t>VLOOKUP($B78,RawData,W$4,FALSE)*VLOOKUP(W$3,ConversionFactors,2,FALSE)/1000</t>
  </si>
  <si>
    <t>VLOOKUP($B78,RawData,X$4,FALSE)*VLOOKUP(X$3,ConversionFactors,2,FALSE)/1000</t>
  </si>
  <si>
    <t>VLOOKUP($B78,RawData,Y$4,FALSE)*VLOOKUP(Y$3,ConversionFactors,2,FALSE)/1000</t>
  </si>
  <si>
    <t>VLOOKUP($B78,RawData,Z$4,FALSE)*VLOOKUP(Z$3,ConversionFactors,2,FALSE)/1000</t>
  </si>
  <si>
    <t>VLOOKUP($B78,RawData,AA$4,FALSE)*VLOOKUP(AA$3,ConversionFactors,2,FALSE)/1000</t>
  </si>
  <si>
    <t>VLOOKUP($B78,RawData,AB$4,FALSE)*VLOOKUP(AB$3,ConversionFactors,2,FALSE)/1000</t>
  </si>
  <si>
    <t>VLOOKUP($B78,RawData,AC$4,FALSE)*VLOOKUP(AC$3,ConversionFactors,2,FALSE)/1000</t>
  </si>
  <si>
    <t>VLOOKUP($B78,RawData,AD$4,FALSE)*VLOOKUP(AD$3,ConversionFactors,2,FALSE)/1000</t>
  </si>
  <si>
    <t>VLOOKUP($B78,RawData,AE$4,FALSE)*VLOOKUP(AE$3,ConversionFactors,2,FALSE)/1000</t>
  </si>
  <si>
    <t>VLOOKUP($B78,RawData,AF$4,FALSE)*VLOOKUP(AF$3,ConversionFactors,2,FALSE)/1000</t>
  </si>
  <si>
    <t>VLOOKUP($B78,RawData,AG$4,FALSE)*VLOOKUP(AG$3,ConversionFactors,2,FALSE)/1000</t>
  </si>
  <si>
    <t>VLOOKUP($B78,RawData,AH$4,FALSE)*VLOOKUP(AH$3,ConversionFactors,2,FALSE)/1000</t>
  </si>
  <si>
    <t>VLOOKUP($B78,RawData,AI$4,FALSE)*VLOOKUP(AI$3,ConversionFactors,2,FALSE)/1000</t>
  </si>
  <si>
    <t>VLOOKUP($B78,RawData,AJ$4,FALSE)*VLOOKUP(AJ$3,ConversionFactors,2,FALSE)/1000</t>
  </si>
  <si>
    <t>VLOOKUP($B78,RawData,AK$4,FALSE)*VLOOKUP(AK$3,ConversionFactors,2,FALSE)/1000</t>
  </si>
  <si>
    <t>VLOOKUP($B78,RawData,AL$4,FALSE)*VLOOKUP(AL$3,ConversionFactors,2,FALSE)/1000</t>
  </si>
  <si>
    <t>VLOOKUP($B78,RawData,AM$4,FALSE)*VLOOKUP(AM$3,ConversionFactors,2,FALSE)/1000</t>
  </si>
  <si>
    <t>VLOOKUP($B78,RawData,AN$4,FALSE)*VLOOKUP(AN$3,ConversionFactors,2,FALSE)/1000</t>
  </si>
  <si>
    <t>VLOOKUP($B78,RawData,AO$4,FALSE)*VLOOKUP(AO$3,ConversionFactors,2,FALSE)/1000</t>
  </si>
  <si>
    <t>VLOOKUP($B78,RawData,AP$4,FALSE)*VLOOKUP(AP$3,ConversionFactors,2,FALSE)/1000</t>
  </si>
  <si>
    <t>VLOOKUP($B78,RawData,AQ$4,FALSE)*VLOOKUP(AQ$3,ConversionFactors,2,FALSE)/1000</t>
  </si>
  <si>
    <t>VLOOKUP($B78,RawData,AR$4,FALSE)*VLOOKUP(AR$3,ConversionFactors,2,FALSE)/1000</t>
  </si>
  <si>
    <t>VLOOKUP($B78,RawData,AS$4,FALSE)*VLOOKUP(AS$3,ConversionFactors,2,FALSE)*1</t>
  </si>
  <si>
    <t>VLOOKUP($B78,RawData,AT$4,FALSE)*1</t>
  </si>
  <si>
    <t>VLOOKUP($B78,RawData,AU$4,FALSE)*1</t>
  </si>
  <si>
    <t>VLOOKUP($B78,RawData,AV$4,FALSE)*1</t>
  </si>
  <si>
    <t>VLOOKUP($B78,RawData,AW$4,FALSE)*1</t>
  </si>
  <si>
    <t>VLOOKUP($B78,RawData,AX$4,FALSE)*1</t>
  </si>
  <si>
    <t>VLOOKUP($B78,RawData,AY$4,FALSE)*VLOOKUP(AY$3,ConversionFactors,2,FALSE)/1000</t>
  </si>
  <si>
    <t>VLOOKUP($B78,RawData,AZ$4,FALSE)*VLOOKUP(AZ$3,ConversionFactors,2,FALSE)/1000</t>
  </si>
  <si>
    <t>VLOOKUP($B78,RawData,BA$4,FALSE)*VLOOKUP(BA$3,ConversionFactors,2,FALSE)/1000</t>
  </si>
  <si>
    <t>VLOOKUP($B78,RawData,BB$4,FALSE)*VLOOKUP(BB$3,ConversionFactors,2,FALSE)/1000</t>
  </si>
  <si>
    <t>VLOOKUP($B78,RawData,BC$4,FALSE)*1</t>
  </si>
  <si>
    <t>VLOOKUP($B78,RawData,BD$4,FALSE)*VLOOKUP(BD$3,ConversionFactors,2,FALSE)/1000</t>
  </si>
  <si>
    <t>VLOOKUP($B78,RawData,BG$4,FALSE)*1</t>
  </si>
  <si>
    <t>VLOOKUP($B78,RawData,BI$4,FALSE)*1</t>
  </si>
  <si>
    <t>VLOOKUP($B78,RawData,BM$4,FALSE)*3.6</t>
  </si>
  <si>
    <t>VLOOKUP($B78,RawData,BN$4,FALSE)*1</t>
  </si>
  <si>
    <t>VLOOKUP($B79,RawData,E$4,FALSE)*VLOOKUP(E$3,ConversionFactors,$D79,FALSE)/1000</t>
  </si>
  <si>
    <t>VLOOKUP($B79,RawData,F$4,FALSE)*VLOOKUP(F$3,ConversionFactors,$D79,FALSE)/1000</t>
  </si>
  <si>
    <t>VLOOKUP($B79,RawData,G$4,FALSE)*VLOOKUP(G$3,ConversionFactors,$D79,FALSE)/1000</t>
  </si>
  <si>
    <t>VLOOKUP($B79,RawData,H$4,FALSE)*VLOOKUP(H$3,ConversionFactors,$D79,FALSE)/1000</t>
  </si>
  <si>
    <t>VLOOKUP($B79,RawData,I$4,FALSE)*VLOOKUP(I$3,ConversionFactors,$D79,FALSE)/1000</t>
  </si>
  <si>
    <t>VLOOKUP($B79,RawData,J$4,FALSE)*VLOOKUP(J$3,ConversionFactors,$D79,FALSE)/1000</t>
  </si>
  <si>
    <t>VLOOKUP($B79,RawData,K$4,FALSE)*VLOOKUP(K$3,ConversionFactors,$D79,FALSE)/1000</t>
  </si>
  <si>
    <t>VLOOKUP($B79,RawData,L$4,FALSE)*VLOOKUP(L$3,ConversionFactors,$D79,FALSE)/1000</t>
  </si>
  <si>
    <t>VLOOKUP($B79,RawData,M$4,FALSE)*VLOOKUP(M$3,ConversionFactors,$D79,FALSE)/1000</t>
  </si>
  <si>
    <t>VLOOKUP($B79,RawData,N$4,FALSE)*VLOOKUP(N$3,ConversionFactors,$D79,FALSE)/1000</t>
  </si>
  <si>
    <t>(VLOOKUP($B79,RawData,O$4,FALSE)*VLOOKUP(O$3,ConversionFactors,2,FALSE))*1</t>
  </si>
  <si>
    <t>(VLOOKUP($B79,RawData,P$4,FALSE)*VLOOKUP(P$3,ConversionFactors,2,FALSE))*1</t>
  </si>
  <si>
    <t>(VLOOKUP($B79,RawData,Q$4,FALSE)*VLOOKUP(Q$3,ConversionFactors,2,FALSE))*1</t>
  </si>
  <si>
    <t>(VLOOKUP($B79,RawData,R$4,FALSE)*VLOOKUP(R$3,ConversionFactors,2,FALSE))*1</t>
  </si>
  <si>
    <t>VLOOKUP($B79,RawData,T$4,FALSE)*VLOOKUP(T$3,ConversionFactors,$D79,FALSE)/1000</t>
  </si>
  <si>
    <t>VLOOKUP($B79,RawData,U$4,FALSE)*VLOOKUP(U$3,ConversionFactors,$D79,FALSE)/1000</t>
  </si>
  <si>
    <t>VLOOKUP($B79,RawData,V$4,FALSE)*VLOOKUP(V$3,ConversionFactors,$D79,FALSE)/1000</t>
  </si>
  <si>
    <t>VLOOKUP($B79,RawData,W$4,FALSE)*VLOOKUP(W$3,ConversionFactors,2,FALSE)/1000</t>
  </si>
  <si>
    <t>VLOOKUP($B79,RawData,X$4,FALSE)*VLOOKUP(X$3,ConversionFactors,2,FALSE)/1000</t>
  </si>
  <si>
    <t>VLOOKUP($B79,RawData,Y$4,FALSE)*VLOOKUP(Y$3,ConversionFactors,2,FALSE)/1000</t>
  </si>
  <si>
    <t>VLOOKUP($B79,RawData,Z$4,FALSE)*VLOOKUP(Z$3,ConversionFactors,2,FALSE)/1000</t>
  </si>
  <si>
    <t>VLOOKUP($B79,RawData,AA$4,FALSE)*VLOOKUP(AA$3,ConversionFactors,2,FALSE)/1000</t>
  </si>
  <si>
    <t>VLOOKUP($B79,RawData,AB$4,FALSE)*VLOOKUP(AB$3,ConversionFactors,2,FALSE)/1000</t>
  </si>
  <si>
    <t>VLOOKUP($B79,RawData,AC$4,FALSE)*VLOOKUP(AC$3,ConversionFactors,2,FALSE)/1000</t>
  </si>
  <si>
    <t>VLOOKUP($B79,RawData,AD$4,FALSE)*VLOOKUP(AD$3,ConversionFactors,2,FALSE)/1000</t>
  </si>
  <si>
    <t>VLOOKUP($B79,RawData,AE$4,FALSE)*VLOOKUP(AE$3,ConversionFactors,2,FALSE)/1000</t>
  </si>
  <si>
    <t>VLOOKUP($B79,RawData,AF$4,FALSE)*VLOOKUP(AF$3,ConversionFactors,2,FALSE)/1000</t>
  </si>
  <si>
    <t>VLOOKUP($B79,RawData,AG$4,FALSE)*VLOOKUP(AG$3,ConversionFactors,2,FALSE)/1000</t>
  </si>
  <si>
    <t>VLOOKUP($B79,RawData,AH$4,FALSE)*VLOOKUP(AH$3,ConversionFactors,2,FALSE)/1000</t>
  </si>
  <si>
    <t>VLOOKUP($B79,RawData,AI$4,FALSE)*VLOOKUP(AI$3,ConversionFactors,2,FALSE)/1000</t>
  </si>
  <si>
    <t>VLOOKUP($B79,RawData,AJ$4,FALSE)*VLOOKUP(AJ$3,ConversionFactors,2,FALSE)/1000</t>
  </si>
  <si>
    <t>VLOOKUP($B79,RawData,AK$4,FALSE)*VLOOKUP(AK$3,ConversionFactors,2,FALSE)/1000</t>
  </si>
  <si>
    <t>VLOOKUP($B79,RawData,AL$4,FALSE)*VLOOKUP(AL$3,ConversionFactors,2,FALSE)/1000</t>
  </si>
  <si>
    <t>VLOOKUP($B79,RawData,AM$4,FALSE)*VLOOKUP(AM$3,ConversionFactors,2,FALSE)/1000</t>
  </si>
  <si>
    <t>VLOOKUP($B79,RawData,AN$4,FALSE)*VLOOKUP(AN$3,ConversionFactors,2,FALSE)/1000</t>
  </si>
  <si>
    <t>VLOOKUP($B79,RawData,AO$4,FALSE)*VLOOKUP(AO$3,ConversionFactors,2,FALSE)/1000</t>
  </si>
  <si>
    <t>VLOOKUP($B79,RawData,AP$4,FALSE)*VLOOKUP(AP$3,ConversionFactors,2,FALSE)/1000</t>
  </si>
  <si>
    <t>VLOOKUP($B79,RawData,AQ$4,FALSE)*VLOOKUP(AQ$3,ConversionFactors,2,FALSE)/1000</t>
  </si>
  <si>
    <t>VLOOKUP($B79,RawData,AR$4,FALSE)*VLOOKUP(AR$3,ConversionFactors,2,FALSE)/1000</t>
  </si>
  <si>
    <t>VLOOKUP($B79,RawData,AS$4,FALSE)*VLOOKUP(AS$3,ConversionFactors,2,FALSE)*1</t>
  </si>
  <si>
    <t>VLOOKUP($B79,RawData,AT$4,FALSE)*1</t>
  </si>
  <si>
    <t>VLOOKUP($B79,RawData,AU$4,FALSE)*1</t>
  </si>
  <si>
    <t>VLOOKUP($B79,RawData,AV$4,FALSE)*1</t>
  </si>
  <si>
    <t>VLOOKUP($B79,RawData,AW$4,FALSE)*1</t>
  </si>
  <si>
    <t>VLOOKUP($B79,RawData,AX$4,FALSE)*1</t>
  </si>
  <si>
    <t>VLOOKUP($B79,RawData,AY$4,FALSE)*VLOOKUP(AY$3,ConversionFactors,2,FALSE)/1000</t>
  </si>
  <si>
    <t>VLOOKUP($B79,RawData,AZ$4,FALSE)*VLOOKUP(AZ$3,ConversionFactors,2,FALSE)/1000</t>
  </si>
  <si>
    <t>VLOOKUP($B79,RawData,BA$4,FALSE)*VLOOKUP(BA$3,ConversionFactors,2,FALSE)/1000</t>
  </si>
  <si>
    <t>VLOOKUP($B79,RawData,BB$4,FALSE)*VLOOKUP(BB$3,ConversionFactors,2,FALSE)/1000</t>
  </si>
  <si>
    <t>VLOOKUP($B79,RawData,BC$4,FALSE)*1</t>
  </si>
  <si>
    <t>VLOOKUP($B79,RawData,BD$4,FALSE)*VLOOKUP(BD$3,ConversionFactors,2,FALSE)/1000</t>
  </si>
  <si>
    <t>VLOOKUP($B79,RawData,BG$4,FALSE)*1</t>
  </si>
  <si>
    <t>VLOOKUP($B79,RawData,BI$4,FALSE)*1</t>
  </si>
  <si>
    <t>VLOOKUP($B79,RawData,BM$4,FALSE)*3.6</t>
  </si>
  <si>
    <t>VLOOKUP($B79,RawData,BN$4,FALSE)*1</t>
  </si>
  <si>
    <t>VLOOKUP($B80,RawData,E$4,FALSE)*VLOOKUP(E$3,ConversionFactors,$D80,FALSE)/1000</t>
  </si>
  <si>
    <t>VLOOKUP($B80,RawData,F$4,FALSE)*VLOOKUP(F$3,ConversionFactors,$D80,FALSE)/1000</t>
  </si>
  <si>
    <t>VLOOKUP($B80,RawData,G$4,FALSE)*VLOOKUP(G$3,ConversionFactors,$D80,FALSE)/1000</t>
  </si>
  <si>
    <t>VLOOKUP($B80,RawData,H$4,FALSE)*VLOOKUP(H$3,ConversionFactors,$D80,FALSE)/1000</t>
  </si>
  <si>
    <t>VLOOKUP($B80,RawData,I$4,FALSE)*VLOOKUP(I$3,ConversionFactors,$D80,FALSE)/1000</t>
  </si>
  <si>
    <t>VLOOKUP($B80,RawData,J$4,FALSE)*VLOOKUP(J$3,ConversionFactors,$D80,FALSE)/1000</t>
  </si>
  <si>
    <t>VLOOKUP($B80,RawData,K$4,FALSE)*VLOOKUP(K$3,ConversionFactors,$D80,FALSE)/1000</t>
  </si>
  <si>
    <t>VLOOKUP($B80,RawData,L$4,FALSE)*VLOOKUP(L$3,ConversionFactors,$D80,FALSE)/1000</t>
  </si>
  <si>
    <t>VLOOKUP($B80,RawData,M$4,FALSE)*VLOOKUP(M$3,ConversionFactors,$D80,FALSE)/1000</t>
  </si>
  <si>
    <t>VLOOKUP($B80,RawData,N$4,FALSE)*VLOOKUP(N$3,ConversionFactors,$D80,FALSE)/1000</t>
  </si>
  <si>
    <t>(VLOOKUP($B80,RawData,O$4,FALSE)*VLOOKUP(O$3,ConversionFactors,2,FALSE))*1</t>
  </si>
  <si>
    <t>(VLOOKUP($B80,RawData,P$4,FALSE)*VLOOKUP(P$3,ConversionFactors,2,FALSE))*1</t>
  </si>
  <si>
    <t>(VLOOKUP($B80,RawData,Q$4,FALSE)*VLOOKUP(Q$3,ConversionFactors,2,FALSE))*1</t>
  </si>
  <si>
    <t>(VLOOKUP($B80,RawData,R$4,FALSE)*VLOOKUP(R$3,ConversionFactors,2,FALSE))*1</t>
  </si>
  <si>
    <t>VLOOKUP($B80,RawData,T$4,FALSE)*VLOOKUP(T$3,ConversionFactors,$D80,FALSE)/1000</t>
  </si>
  <si>
    <t>VLOOKUP($B80,RawData,U$4,FALSE)*VLOOKUP(U$3,ConversionFactors,$D80,FALSE)/1000</t>
  </si>
  <si>
    <t>VLOOKUP($B80,RawData,V$4,FALSE)*VLOOKUP(V$3,ConversionFactors,$D80,FALSE)/1000</t>
  </si>
  <si>
    <t>VLOOKUP($B80,RawData,W$4,FALSE)*VLOOKUP(W$3,ConversionFactors,2,FALSE)/1000</t>
  </si>
  <si>
    <t>VLOOKUP($B80,RawData,X$4,FALSE)*VLOOKUP(X$3,ConversionFactors,2,FALSE)/1000</t>
  </si>
  <si>
    <t>VLOOKUP($B80,RawData,Y$4,FALSE)*VLOOKUP(Y$3,ConversionFactors,2,FALSE)/1000</t>
  </si>
  <si>
    <t>VLOOKUP($B80,RawData,Z$4,FALSE)*VLOOKUP(Z$3,ConversionFactors,2,FALSE)/1000</t>
  </si>
  <si>
    <t>VLOOKUP($B80,RawData,AA$4,FALSE)*VLOOKUP(AA$3,ConversionFactors,2,FALSE)/1000</t>
  </si>
  <si>
    <t>VLOOKUP($B80,RawData,AB$4,FALSE)*VLOOKUP(AB$3,ConversionFactors,2,FALSE)/1000</t>
  </si>
  <si>
    <t>VLOOKUP($B80,RawData,AC$4,FALSE)*VLOOKUP(AC$3,ConversionFactors,2,FALSE)/1000</t>
  </si>
  <si>
    <t>VLOOKUP($B80,RawData,AD$4,FALSE)*VLOOKUP(AD$3,ConversionFactors,2,FALSE)/1000</t>
  </si>
  <si>
    <t>VLOOKUP($B80,RawData,AE$4,FALSE)*VLOOKUP(AE$3,ConversionFactors,2,FALSE)/1000</t>
  </si>
  <si>
    <t>VLOOKUP($B80,RawData,AF$4,FALSE)*VLOOKUP(AF$3,ConversionFactors,2,FALSE)/1000</t>
  </si>
  <si>
    <t>VLOOKUP($B80,RawData,AG$4,FALSE)*VLOOKUP(AG$3,ConversionFactors,2,FALSE)/1000</t>
  </si>
  <si>
    <t>VLOOKUP($B80,RawData,AH$4,FALSE)*VLOOKUP(AH$3,ConversionFactors,2,FALSE)/1000</t>
  </si>
  <si>
    <t>VLOOKUP($B80,RawData,AI$4,FALSE)*VLOOKUP(AI$3,ConversionFactors,2,FALSE)/1000</t>
  </si>
  <si>
    <t>VLOOKUP($B80,RawData,AJ$4,FALSE)*VLOOKUP(AJ$3,ConversionFactors,2,FALSE)/1000</t>
  </si>
  <si>
    <t>VLOOKUP($B80,RawData,AK$4,FALSE)*VLOOKUP(AK$3,ConversionFactors,2,FALSE)/1000</t>
  </si>
  <si>
    <t>VLOOKUP($B80,RawData,AL$4,FALSE)*VLOOKUP(AL$3,ConversionFactors,2,FALSE)/1000</t>
  </si>
  <si>
    <t>VLOOKUP($B80,RawData,AM$4,FALSE)*VLOOKUP(AM$3,ConversionFactors,2,FALSE)/1000</t>
  </si>
  <si>
    <t>VLOOKUP($B80,RawData,AN$4,FALSE)*VLOOKUP(AN$3,ConversionFactors,2,FALSE)/1000</t>
  </si>
  <si>
    <t>VLOOKUP($B80,RawData,AO$4,FALSE)*VLOOKUP(AO$3,ConversionFactors,2,FALSE)/1000</t>
  </si>
  <si>
    <t>VLOOKUP($B80,RawData,AP$4,FALSE)*VLOOKUP(AP$3,ConversionFactors,2,FALSE)/1000</t>
  </si>
  <si>
    <t>VLOOKUP($B80,RawData,AQ$4,FALSE)*VLOOKUP(AQ$3,ConversionFactors,2,FALSE)/1000</t>
  </si>
  <si>
    <t>VLOOKUP($B80,RawData,AR$4,FALSE)*VLOOKUP(AR$3,ConversionFactors,2,FALSE)/1000</t>
  </si>
  <si>
    <t>VLOOKUP($B80,RawData,AS$4,FALSE)*VLOOKUP(AS$3,ConversionFactors,2,FALSE)*1</t>
  </si>
  <si>
    <t>VLOOKUP($B80,RawData,AT$4,FALSE)*1</t>
  </si>
  <si>
    <t>VLOOKUP($B80,RawData,AU$4,FALSE)*1</t>
  </si>
  <si>
    <t>VLOOKUP($B80,RawData,AV$4,FALSE)*1</t>
  </si>
  <si>
    <t>VLOOKUP($B80,RawData,AW$4,FALSE)*1</t>
  </si>
  <si>
    <t>VLOOKUP($B80,RawData,AX$4,FALSE)*1</t>
  </si>
  <si>
    <t>VLOOKUP($B80,RawData,AY$4,FALSE)*VLOOKUP(AY$3,ConversionFactors,2,FALSE)/1000</t>
  </si>
  <si>
    <t>VLOOKUP($B80,RawData,AZ$4,FALSE)*VLOOKUP(AZ$3,ConversionFactors,2,FALSE)/1000</t>
  </si>
  <si>
    <t>VLOOKUP($B80,RawData,BA$4,FALSE)*VLOOKUP(BA$3,ConversionFactors,2,FALSE)/1000</t>
  </si>
  <si>
    <t>VLOOKUP($B80,RawData,BB$4,FALSE)*VLOOKUP(BB$3,ConversionFactors,2,FALSE)/1000</t>
  </si>
  <si>
    <t>VLOOKUP($B80,RawData,BC$4,FALSE)*1</t>
  </si>
  <si>
    <t>VLOOKUP($B80,RawData,BD$4,FALSE)*VLOOKUP(BD$3,ConversionFactors,2,FALSE)/1000</t>
  </si>
  <si>
    <t>VLOOKUP($B80,RawData,BG$4,FALSE)*1</t>
  </si>
  <si>
    <t>VLOOKUP($B80,RawData,BI$4,FALSE)*1</t>
  </si>
  <si>
    <t>VLOOKUP($B80,RawData,BM$4,FALSE)*3.6</t>
  </si>
  <si>
    <t>VLOOKUP($B80,RawData,BN$4,FALSE)*1</t>
  </si>
  <si>
    <t>VLOOKUP($B81,RawData,E$4,FALSE)*VLOOKUP(E$3,ConversionFactors,$D81,FALSE)/1000</t>
  </si>
  <si>
    <t>VLOOKUP($B81,RawData,F$4,FALSE)*VLOOKUP(F$3,ConversionFactors,$D81,FALSE)/1000</t>
  </si>
  <si>
    <t>VLOOKUP($B81,RawData,G$4,FALSE)*VLOOKUP(G$3,ConversionFactors,$D81,FALSE)/1000</t>
  </si>
  <si>
    <t>VLOOKUP($B81,RawData,H$4,FALSE)*VLOOKUP(H$3,ConversionFactors,$D81,FALSE)/1000</t>
  </si>
  <si>
    <t>VLOOKUP($B81,RawData,I$4,FALSE)*VLOOKUP(I$3,ConversionFactors,$D81,FALSE)/1000</t>
  </si>
  <si>
    <t>VLOOKUP($B81,RawData,J$4,FALSE)*VLOOKUP(J$3,ConversionFactors,$D81,FALSE)/1000</t>
  </si>
  <si>
    <t>VLOOKUP($B81,RawData,K$4,FALSE)*VLOOKUP(K$3,ConversionFactors,$D81,FALSE)/1000</t>
  </si>
  <si>
    <t>VLOOKUP($B81,RawData,L$4,FALSE)*VLOOKUP(L$3,ConversionFactors,$D81,FALSE)/1000</t>
  </si>
  <si>
    <t>VLOOKUP($B81,RawData,M$4,FALSE)*VLOOKUP(M$3,ConversionFactors,$D81,FALSE)/1000</t>
  </si>
  <si>
    <t>VLOOKUP($B81,RawData,N$4,FALSE)*VLOOKUP(N$3,ConversionFactors,$D81,FALSE)/1000</t>
  </si>
  <si>
    <t>(VLOOKUP($B81,RawData,O$4,FALSE)*VLOOKUP(O$3,ConversionFactors,2,FALSE))*1</t>
  </si>
  <si>
    <t>(VLOOKUP($B81,RawData,P$4,FALSE)*VLOOKUP(P$3,ConversionFactors,2,FALSE))*1</t>
  </si>
  <si>
    <t>(VLOOKUP($B81,RawData,Q$4,FALSE)*VLOOKUP(Q$3,ConversionFactors,2,FALSE))*1</t>
  </si>
  <si>
    <t>(VLOOKUP($B81,RawData,R$4,FALSE)*VLOOKUP(R$3,ConversionFactors,2,FALSE))*1</t>
  </si>
  <si>
    <t>VLOOKUP($B81,RawData,T$4,FALSE)*VLOOKUP(T$3,ConversionFactors,$D81,FALSE)/1000</t>
  </si>
  <si>
    <t>VLOOKUP($B81,RawData,U$4,FALSE)*VLOOKUP(U$3,ConversionFactors,$D81,FALSE)/1000</t>
  </si>
  <si>
    <t>VLOOKUP($B81,RawData,V$4,FALSE)*VLOOKUP(V$3,ConversionFactors,$D81,FALSE)/1000</t>
  </si>
  <si>
    <t>VLOOKUP($B81,RawData,W$4,FALSE)*VLOOKUP(W$3,ConversionFactors,2,FALSE)/1000</t>
  </si>
  <si>
    <t>VLOOKUP($B81,RawData,X$4,FALSE)*VLOOKUP(X$3,ConversionFactors,2,FALSE)/1000</t>
  </si>
  <si>
    <t>VLOOKUP($B81,RawData,Y$4,FALSE)*VLOOKUP(Y$3,ConversionFactors,2,FALSE)/1000</t>
  </si>
  <si>
    <t>VLOOKUP($B81,RawData,Z$4,FALSE)*VLOOKUP(Z$3,ConversionFactors,2,FALSE)/1000</t>
  </si>
  <si>
    <t>VLOOKUP($B81,RawData,AA$4,FALSE)*VLOOKUP(AA$3,ConversionFactors,2,FALSE)/1000</t>
  </si>
  <si>
    <t>VLOOKUP($B81,RawData,AB$4,FALSE)*VLOOKUP(AB$3,ConversionFactors,2,FALSE)/1000</t>
  </si>
  <si>
    <t>VLOOKUP($B81,RawData,AC$4,FALSE)*VLOOKUP(AC$3,ConversionFactors,2,FALSE)/1000</t>
  </si>
  <si>
    <t>VLOOKUP($B81,RawData,AD$4,FALSE)*VLOOKUP(AD$3,ConversionFactors,2,FALSE)/1000</t>
  </si>
  <si>
    <t>VLOOKUP($B81,RawData,AE$4,FALSE)*VLOOKUP(AE$3,ConversionFactors,2,FALSE)/1000</t>
  </si>
  <si>
    <t>VLOOKUP($B81,RawData,AF$4,FALSE)*VLOOKUP(AF$3,ConversionFactors,2,FALSE)/1000</t>
  </si>
  <si>
    <t>VLOOKUP($B81,RawData,AG$4,FALSE)*VLOOKUP(AG$3,ConversionFactors,2,FALSE)/1000</t>
  </si>
  <si>
    <t>VLOOKUP($B81,RawData,AH$4,FALSE)*VLOOKUP(AH$3,ConversionFactors,2,FALSE)/1000</t>
  </si>
  <si>
    <t>VLOOKUP($B81,RawData,AI$4,FALSE)*VLOOKUP(AI$3,ConversionFactors,2,FALSE)/1000</t>
  </si>
  <si>
    <t>VLOOKUP($B81,RawData,AJ$4,FALSE)*VLOOKUP(AJ$3,ConversionFactors,2,FALSE)/1000</t>
  </si>
  <si>
    <t>VLOOKUP($B81,RawData,AK$4,FALSE)*VLOOKUP(AK$3,ConversionFactors,2,FALSE)/1000</t>
  </si>
  <si>
    <t>VLOOKUP($B81,RawData,AL$4,FALSE)*VLOOKUP(AL$3,ConversionFactors,2,FALSE)/1000</t>
  </si>
  <si>
    <t>VLOOKUP($B81,RawData,AM$4,FALSE)*VLOOKUP(AM$3,ConversionFactors,2,FALSE)/1000</t>
  </si>
  <si>
    <t>VLOOKUP($B81,RawData,AN$4,FALSE)*VLOOKUP(AN$3,ConversionFactors,2,FALSE)/1000</t>
  </si>
  <si>
    <t>VLOOKUP($B81,RawData,AO$4,FALSE)*VLOOKUP(AO$3,ConversionFactors,2,FALSE)/1000</t>
  </si>
  <si>
    <t>VLOOKUP($B81,RawData,AP$4,FALSE)*VLOOKUP(AP$3,ConversionFactors,2,FALSE)/1000</t>
  </si>
  <si>
    <t>VLOOKUP($B81,RawData,AQ$4,FALSE)*VLOOKUP(AQ$3,ConversionFactors,2,FALSE)/1000</t>
  </si>
  <si>
    <t>VLOOKUP($B81,RawData,AR$4,FALSE)*VLOOKUP(AR$3,ConversionFactors,2,FALSE)/1000</t>
  </si>
  <si>
    <t>VLOOKUP($B81,RawData,AS$4,FALSE)*VLOOKUP(AS$3,ConversionFactors,2,FALSE)*1</t>
  </si>
  <si>
    <t>VLOOKUP($B81,RawData,AT$4,FALSE)*1</t>
  </si>
  <si>
    <t>VLOOKUP($B81,RawData,AU$4,FALSE)*1</t>
  </si>
  <si>
    <t>VLOOKUP($B81,RawData,AV$4,FALSE)*1</t>
  </si>
  <si>
    <t>VLOOKUP($B81,RawData,AW$4,FALSE)*1</t>
  </si>
  <si>
    <t>VLOOKUP($B81,RawData,AX$4,FALSE)*1</t>
  </si>
  <si>
    <t>VLOOKUP($B81,RawData,AY$4,FALSE)*VLOOKUP(AY$3,ConversionFactors,2,FALSE)/1000</t>
  </si>
  <si>
    <t>VLOOKUP($B81,RawData,AZ$4,FALSE)*VLOOKUP(AZ$3,ConversionFactors,2,FALSE)/1000</t>
  </si>
  <si>
    <t>VLOOKUP($B81,RawData,BA$4,FALSE)*VLOOKUP(BA$3,ConversionFactors,2,FALSE)/1000</t>
  </si>
  <si>
    <t>VLOOKUP($B81,RawData,BB$4,FALSE)*VLOOKUP(BB$3,ConversionFactors,2,FALSE)/1000</t>
  </si>
  <si>
    <t>VLOOKUP($B81,RawData,BC$4,FALSE)*1</t>
  </si>
  <si>
    <t>VLOOKUP($B81,RawData,BD$4,FALSE)*VLOOKUP(BD$3,ConversionFactors,2,FALSE)/1000</t>
  </si>
  <si>
    <t>VLOOKUP($B81,RawData,BG$4,FALSE)*1</t>
  </si>
  <si>
    <t>VLOOKUP($B81,RawData,BI$4,FALSE)*1</t>
  </si>
  <si>
    <t>VLOOKUP($B81,RawData,BM$4,FALSE)*3.6</t>
  </si>
  <si>
    <t>VLOOKUP($B81,RawData,BN$4,FALSE)*1</t>
  </si>
  <si>
    <t>VLOOKUP($B82,RawData,E$4,FALSE)*VLOOKUP(E$3,ConversionFactors,$D82,FALSE)/1000</t>
  </si>
  <si>
    <t>VLOOKUP($B82,RawData,F$4,FALSE)*VLOOKUP(F$3,ConversionFactors,$D82,FALSE)/1000</t>
  </si>
  <si>
    <t>VLOOKUP($B82,RawData,G$4,FALSE)*VLOOKUP(G$3,ConversionFactors,$D82,FALSE)/1000</t>
  </si>
  <si>
    <t>VLOOKUP($B82,RawData,H$4,FALSE)*VLOOKUP(H$3,ConversionFactors,$D82,FALSE)/1000</t>
  </si>
  <si>
    <t>VLOOKUP($B82,RawData,I$4,FALSE)*VLOOKUP(I$3,ConversionFactors,$D82,FALSE)/1000</t>
  </si>
  <si>
    <t>VLOOKUP($B82,RawData,J$4,FALSE)*VLOOKUP(J$3,ConversionFactors,$D82,FALSE)/1000</t>
  </si>
  <si>
    <t>VLOOKUP($B82,RawData,K$4,FALSE)*VLOOKUP(K$3,ConversionFactors,$D82,FALSE)/1000</t>
  </si>
  <si>
    <t>VLOOKUP($B82,RawData,L$4,FALSE)*VLOOKUP(L$3,ConversionFactors,$D82,FALSE)/1000</t>
  </si>
  <si>
    <t>VLOOKUP($B82,RawData,M$4,FALSE)*VLOOKUP(M$3,ConversionFactors,$D82,FALSE)/1000</t>
  </si>
  <si>
    <t>VLOOKUP($B82,RawData,N$4,FALSE)*VLOOKUP(N$3,ConversionFactors,$D82,FALSE)/1000</t>
  </si>
  <si>
    <t>(VLOOKUP($B82,RawData,O$4,FALSE)*VLOOKUP(O$3,ConversionFactors,2,FALSE))*1</t>
  </si>
  <si>
    <t>(VLOOKUP($B82,RawData,P$4,FALSE)*VLOOKUP(P$3,ConversionFactors,2,FALSE))*1</t>
  </si>
  <si>
    <t>(VLOOKUP($B82,RawData,Q$4,FALSE)*VLOOKUP(Q$3,ConversionFactors,2,FALSE))*1</t>
  </si>
  <si>
    <t>(VLOOKUP($B82,RawData,R$4,FALSE)*VLOOKUP(R$3,ConversionFactors,2,FALSE))*1</t>
  </si>
  <si>
    <t>VLOOKUP($B82,RawData,T$4,FALSE)*VLOOKUP(T$3,ConversionFactors,$D82,FALSE)/1000</t>
  </si>
  <si>
    <t>VLOOKUP($B82,RawData,U$4,FALSE)*VLOOKUP(U$3,ConversionFactors,$D82,FALSE)/1000</t>
  </si>
  <si>
    <t>VLOOKUP($B82,RawData,V$4,FALSE)*VLOOKUP(V$3,ConversionFactors,$D82,FALSE)/1000</t>
  </si>
  <si>
    <t>VLOOKUP($B82,RawData,W$4,FALSE)*VLOOKUP(W$3,ConversionFactors,2,FALSE)/1000</t>
  </si>
  <si>
    <t>VLOOKUP($B82,RawData,X$4,FALSE)*VLOOKUP(X$3,ConversionFactors,2,FALSE)/1000</t>
  </si>
  <si>
    <t>VLOOKUP($B82,RawData,Y$4,FALSE)*VLOOKUP(Y$3,ConversionFactors,2,FALSE)/1000</t>
  </si>
  <si>
    <t>VLOOKUP($B82,RawData,Z$4,FALSE)*VLOOKUP(Z$3,ConversionFactors,2,FALSE)/1000</t>
  </si>
  <si>
    <t>VLOOKUP($B82,RawData,AA$4,FALSE)*VLOOKUP(AA$3,ConversionFactors,2,FALSE)/1000</t>
  </si>
  <si>
    <t>VLOOKUP($B82,RawData,AB$4,FALSE)*VLOOKUP(AB$3,ConversionFactors,2,FALSE)/1000</t>
  </si>
  <si>
    <t>VLOOKUP($B82,RawData,AC$4,FALSE)*VLOOKUP(AC$3,ConversionFactors,2,FALSE)/1000</t>
  </si>
  <si>
    <t>VLOOKUP($B82,RawData,AD$4,FALSE)*VLOOKUP(AD$3,ConversionFactors,2,FALSE)/1000</t>
  </si>
  <si>
    <t>VLOOKUP($B82,RawData,AE$4,FALSE)*VLOOKUP(AE$3,ConversionFactors,2,FALSE)/1000</t>
  </si>
  <si>
    <t>VLOOKUP($B82,RawData,AF$4,FALSE)*VLOOKUP(AF$3,ConversionFactors,2,FALSE)/1000</t>
  </si>
  <si>
    <t>VLOOKUP($B82,RawData,AG$4,FALSE)*VLOOKUP(AG$3,ConversionFactors,2,FALSE)/1000</t>
  </si>
  <si>
    <t>VLOOKUP($B82,RawData,AH$4,FALSE)*VLOOKUP(AH$3,ConversionFactors,2,FALSE)/1000</t>
  </si>
  <si>
    <t>VLOOKUP($B82,RawData,AI$4,FALSE)*VLOOKUP(AI$3,ConversionFactors,2,FALSE)/1000</t>
  </si>
  <si>
    <t>VLOOKUP($B82,RawData,AJ$4,FALSE)*VLOOKUP(AJ$3,ConversionFactors,2,FALSE)/1000</t>
  </si>
  <si>
    <t>VLOOKUP($B82,RawData,AK$4,FALSE)*VLOOKUP(AK$3,ConversionFactors,2,FALSE)/1000</t>
  </si>
  <si>
    <t>VLOOKUP($B82,RawData,AL$4,FALSE)*VLOOKUP(AL$3,ConversionFactors,2,FALSE)/1000</t>
  </si>
  <si>
    <t>VLOOKUP($B82,RawData,AM$4,FALSE)*VLOOKUP(AM$3,ConversionFactors,2,FALSE)/1000</t>
  </si>
  <si>
    <t>VLOOKUP($B82,RawData,AN$4,FALSE)*VLOOKUP(AN$3,ConversionFactors,2,FALSE)/1000</t>
  </si>
  <si>
    <t>VLOOKUP($B82,RawData,AO$4,FALSE)*VLOOKUP(AO$3,ConversionFactors,2,FALSE)/1000</t>
  </si>
  <si>
    <t>VLOOKUP($B82,RawData,AP$4,FALSE)*VLOOKUP(AP$3,ConversionFactors,2,FALSE)/1000</t>
  </si>
  <si>
    <t>VLOOKUP($B82,RawData,AQ$4,FALSE)*VLOOKUP(AQ$3,ConversionFactors,2,FALSE)/1000</t>
  </si>
  <si>
    <t>VLOOKUP($B82,RawData,AR$4,FALSE)*VLOOKUP(AR$3,ConversionFactors,2,FALSE)/1000</t>
  </si>
  <si>
    <t>VLOOKUP($B82,RawData,AS$4,FALSE)*VLOOKUP(AS$3,ConversionFactors,2,FALSE)*1</t>
  </si>
  <si>
    <t>VLOOKUP($B82,RawData,AT$4,FALSE)*1</t>
  </si>
  <si>
    <t>VLOOKUP($B82,RawData,AU$4,FALSE)*1</t>
  </si>
  <si>
    <t>VLOOKUP($B82,RawData,AV$4,FALSE)*1</t>
  </si>
  <si>
    <t>VLOOKUP($B82,RawData,AW$4,FALSE)*1</t>
  </si>
  <si>
    <t>VLOOKUP($B82,RawData,AX$4,FALSE)*1</t>
  </si>
  <si>
    <t>VLOOKUP($B82,RawData,AY$4,FALSE)*VLOOKUP(AY$3,ConversionFactors,2,FALSE)/1000</t>
  </si>
  <si>
    <t>VLOOKUP($B82,RawData,AZ$4,FALSE)*VLOOKUP(AZ$3,ConversionFactors,2,FALSE)/1000</t>
  </si>
  <si>
    <t>VLOOKUP($B82,RawData,BA$4,FALSE)*VLOOKUP(BA$3,ConversionFactors,2,FALSE)/1000</t>
  </si>
  <si>
    <t>VLOOKUP($B82,RawData,BB$4,FALSE)*VLOOKUP(BB$3,ConversionFactors,2,FALSE)/1000</t>
  </si>
  <si>
    <t>VLOOKUP($B82,RawData,BC$4,FALSE)*1</t>
  </si>
  <si>
    <t>VLOOKUP($B82,RawData,BD$4,FALSE)*VLOOKUP(BD$3,ConversionFactors,2,FALSE)/1000</t>
  </si>
  <si>
    <t>VLOOKUP($B82,RawData,BG$4,FALSE)*1</t>
  </si>
  <si>
    <t>VLOOKUP($B82,RawData,BI$4,FALSE)*1</t>
  </si>
  <si>
    <t>VLOOKUP($B82,RawData,BM$4,FALSE)*3.6</t>
  </si>
  <si>
    <t>VLOOKUP($B82,RawData,BN$4,FALSE)*1</t>
  </si>
  <si>
    <t>SUM(E84:E86)</t>
  </si>
  <si>
    <t>SUM(F84:F86)</t>
  </si>
  <si>
    <t>SUM(G84:G86)</t>
  </si>
  <si>
    <t>SUM(H84:H86)</t>
  </si>
  <si>
    <t>SUM(I84:I86)</t>
  </si>
  <si>
    <t>SUM(J84:J86)</t>
  </si>
  <si>
    <t>SUM(K84:K86)</t>
  </si>
  <si>
    <t>SUM(L84:L86)</t>
  </si>
  <si>
    <t>SUM(M84:M86)</t>
  </si>
  <si>
    <t>SUM(N84:N86)</t>
  </si>
  <si>
    <t>SUM(O84:O86)</t>
  </si>
  <si>
    <t>SUM(P84:P86)</t>
  </si>
  <si>
    <t>SUM(Q84:Q86)</t>
  </si>
  <si>
    <t>SUM(R84:R86)</t>
  </si>
  <si>
    <t>SUM(T84:T86)</t>
  </si>
  <si>
    <t>SUM(U84:U86)</t>
  </si>
  <si>
    <t>SUM(V84:V86)</t>
  </si>
  <si>
    <t>SUM(W84:W86)</t>
  </si>
  <si>
    <t>SUM(X84:X86)</t>
  </si>
  <si>
    <t>SUM(Y84:Y86)</t>
  </si>
  <si>
    <t>SUM(Z84:Z86)</t>
  </si>
  <si>
    <t>SUM(AA84:AA86)</t>
  </si>
  <si>
    <t>SUM(AB84:AB86)</t>
  </si>
  <si>
    <t>SUM(AC84:AC86)</t>
  </si>
  <si>
    <t>SUM(AD84:AD86)</t>
  </si>
  <si>
    <t>SUM(AE84:AE86)</t>
  </si>
  <si>
    <t>SUM(AF84:AF86)</t>
  </si>
  <si>
    <t>SUM(AG84:AG86)</t>
  </si>
  <si>
    <t>SUM(AH84:AH86)</t>
  </si>
  <si>
    <t>SUM(AI84:AI86)</t>
  </si>
  <si>
    <t>SUM(AJ84:AJ86)</t>
  </si>
  <si>
    <t>SUM(AK84:AK86)</t>
  </si>
  <si>
    <t>SUM(AL84:AL86)</t>
  </si>
  <si>
    <t>SUM(AM84:AM86)</t>
  </si>
  <si>
    <t>SUM(AN84:AN86)</t>
  </si>
  <si>
    <t>SUM(AO84:AO86)</t>
  </si>
  <si>
    <t>SUM(AP84:AP86)</t>
  </si>
  <si>
    <t>SUM(AQ84:AQ86)</t>
  </si>
  <si>
    <t>SUM(AR84:AR86)</t>
  </si>
  <si>
    <t>SUM(AS84:AS86)</t>
  </si>
  <si>
    <t>SUM(AT84:AT86)</t>
  </si>
  <si>
    <t>SUM(AU84:AU86)</t>
  </si>
  <si>
    <t>SUM(AV84:AV86)</t>
  </si>
  <si>
    <t>SUM(AX84:AX86)</t>
  </si>
  <si>
    <t>SUM(AY84:AY86)</t>
  </si>
  <si>
    <t>SUM(AZ84:AZ86)</t>
  </si>
  <si>
    <t>SUM(BA84:BA86)</t>
  </si>
  <si>
    <t>SUM(BB84:BB86)</t>
  </si>
  <si>
    <t>SUM(BC84:BC86)</t>
  </si>
  <si>
    <t>SUM(BD84:BD86)</t>
  </si>
  <si>
    <t>SUM(BM84:BM86)</t>
  </si>
  <si>
    <t>SUM(BN84:BN86)</t>
  </si>
  <si>
    <t>VLOOKUP($B84,RawData,E$4,FALSE)*VLOOKUP(E$3,ConversionFactors,$D84,FALSE)/1000</t>
  </si>
  <si>
    <t>VLOOKUP($B84,RawData,F$4,FALSE)*VLOOKUP(F$3,ConversionFactors,$D84,FALSE)/1000</t>
  </si>
  <si>
    <t>VLOOKUP($B84,RawData,G$4,FALSE)*VLOOKUP(G$3,ConversionFactors,$D84,FALSE)/1000</t>
  </si>
  <si>
    <t>VLOOKUP($B84,RawData,H$4,FALSE)*VLOOKUP(H$3,ConversionFactors,$D84,FALSE)/1000</t>
  </si>
  <si>
    <t>VLOOKUP($B84,RawData,I$4,FALSE)*VLOOKUP(I$3,ConversionFactors,$D84,FALSE)/1000</t>
  </si>
  <si>
    <t>VLOOKUP($B84,RawData,J$4,FALSE)*VLOOKUP(J$3,ConversionFactors,$D84,FALSE)/1000</t>
  </si>
  <si>
    <t>VLOOKUP($B84,RawData,K$4,FALSE)*VLOOKUP(K$3,ConversionFactors,$D84,FALSE)/1000</t>
  </si>
  <si>
    <t>VLOOKUP($B84,RawData,L$4,FALSE)*VLOOKUP(L$3,ConversionFactors,$D84,FALSE)/1000</t>
  </si>
  <si>
    <t>VLOOKUP($B84,RawData,M$4,FALSE)*VLOOKUP(M$3,ConversionFactors,$D84,FALSE)/1000</t>
  </si>
  <si>
    <t>VLOOKUP($B84,RawData,N$4,FALSE)*VLOOKUP(N$3,ConversionFactors,$D84,FALSE)/1000</t>
  </si>
  <si>
    <t>(VLOOKUP($B84,RawData,O$4,FALSE)*VLOOKUP(O$3,ConversionFactors,2,FALSE))*1</t>
  </si>
  <si>
    <t>(VLOOKUP($B84,RawData,P$4,FALSE)*VLOOKUP(P$3,ConversionFactors,2,FALSE))*1</t>
  </si>
  <si>
    <t>(VLOOKUP($B84,RawData,Q$4,FALSE)*VLOOKUP(Q$3,ConversionFactors,2,FALSE))*1</t>
  </si>
  <si>
    <t>(VLOOKUP($B84,RawData,R$4,FALSE)*VLOOKUP(R$3,ConversionFactors,2,FALSE))*1</t>
  </si>
  <si>
    <t>VLOOKUP($B84,RawData,T$4,FALSE)*VLOOKUP(T$3,ConversionFactors,$D84,FALSE)/1000</t>
  </si>
  <si>
    <t>VLOOKUP($B84,RawData,U$4,FALSE)*VLOOKUP(U$3,ConversionFactors,$D84,FALSE)/1000</t>
  </si>
  <si>
    <t>VLOOKUP($B84,RawData,V$4,FALSE)*VLOOKUP(V$3,ConversionFactors,$D84,FALSE)/1000</t>
  </si>
  <si>
    <t>VLOOKUP($B84,RawData,W$4,FALSE)*VLOOKUP(W$3,ConversionFactors,2,FALSE)/1000</t>
  </si>
  <si>
    <t>VLOOKUP($B84,RawData,X$4,FALSE)*VLOOKUP(X$3,ConversionFactors,2,FALSE)/1000</t>
  </si>
  <si>
    <t>VLOOKUP($B84,RawData,Y$4,FALSE)*VLOOKUP(Y$3,ConversionFactors,2,FALSE)/1000</t>
  </si>
  <si>
    <t>VLOOKUP($B84,RawData,Z$4,FALSE)*VLOOKUP(Z$3,ConversionFactors,2,FALSE)/1000</t>
  </si>
  <si>
    <t>VLOOKUP($B84,RawData,AA$4,FALSE)*VLOOKUP(AA$3,ConversionFactors,2,FALSE)/1000</t>
  </si>
  <si>
    <t>VLOOKUP($B84,RawData,AB$4,FALSE)*VLOOKUP(AB$3,ConversionFactors,2,FALSE)/1000</t>
  </si>
  <si>
    <t>VLOOKUP($B84,RawData,AC$4,FALSE)*VLOOKUP(AC$3,ConversionFactors,2,FALSE)/1000</t>
  </si>
  <si>
    <t>VLOOKUP($B84,RawData,AD$4,FALSE)*VLOOKUP(AD$3,ConversionFactors,2,FALSE)/1000</t>
  </si>
  <si>
    <t>VLOOKUP($B84,RawData,AE$4,FALSE)*VLOOKUP(AE$3,ConversionFactors,2,FALSE)/1000</t>
  </si>
  <si>
    <t>VLOOKUP($B84,RawData,AF$4,FALSE)*VLOOKUP(AF$3,ConversionFactors,2,FALSE)/1000</t>
  </si>
  <si>
    <t>VLOOKUP($B84,RawData,AG$4,FALSE)*VLOOKUP(AG$3,ConversionFactors,2,FALSE)/1000</t>
  </si>
  <si>
    <t>VLOOKUP($B84,RawData,AH$4,FALSE)*VLOOKUP(AH$3,ConversionFactors,2,FALSE)/1000</t>
  </si>
  <si>
    <t>VLOOKUP($B84,RawData,AI$4,FALSE)*VLOOKUP(AI$3,ConversionFactors,2,FALSE)/1000</t>
  </si>
  <si>
    <t>VLOOKUP($B84,RawData,AJ$4,FALSE)*VLOOKUP(AJ$3,ConversionFactors,2,FALSE)/1000</t>
  </si>
  <si>
    <t>VLOOKUP($B84,RawData,AK$4,FALSE)*VLOOKUP(AK$3,ConversionFactors,2,FALSE)/1000</t>
  </si>
  <si>
    <t>VLOOKUP($B84,RawData,AL$4,FALSE)*VLOOKUP(AL$3,ConversionFactors,2,FALSE)/1000</t>
  </si>
  <si>
    <t>VLOOKUP($B84,RawData,AM$4,FALSE)*VLOOKUP(AM$3,ConversionFactors,2,FALSE)/1000</t>
  </si>
  <si>
    <t>VLOOKUP($B84,RawData,AN$4,FALSE)*VLOOKUP(AN$3,ConversionFactors,2,FALSE)/1000</t>
  </si>
  <si>
    <t>VLOOKUP($B84,RawData,AO$4,FALSE)*VLOOKUP(AO$3,ConversionFactors,2,FALSE)/1000</t>
  </si>
  <si>
    <t>VLOOKUP($B84,RawData,AP$4,FALSE)*VLOOKUP(AP$3,ConversionFactors,2,FALSE)/1000</t>
  </si>
  <si>
    <t>VLOOKUP($B84,RawData,AQ$4,FALSE)*VLOOKUP(AQ$3,ConversionFactors,2,FALSE)/1000</t>
  </si>
  <si>
    <t>VLOOKUP($B84,RawData,AR$4,FALSE)*VLOOKUP(AR$3,ConversionFactors,2,FALSE)/1000</t>
  </si>
  <si>
    <t>VLOOKUP($B84,RawData,AS$4,FALSE)*VLOOKUP(AS$3,ConversionFactors,2,FALSE)*1</t>
  </si>
  <si>
    <t>VLOOKUP($B84,RawData,AT$4,FALSE)*1</t>
  </si>
  <si>
    <t>VLOOKUP($B84,RawData,AU$4,FALSE)*1</t>
  </si>
  <si>
    <t>VLOOKUP($B84,RawData,AV$4,FALSE)*1</t>
  </si>
  <si>
    <t>VLOOKUP($B84,RawData,AX$4,FALSE)*1</t>
  </si>
  <si>
    <t>VLOOKUP($B84,RawData,AY$4,FALSE)*VLOOKUP(AY$3,ConversionFactors,2,FALSE)/1000</t>
  </si>
  <si>
    <t>VLOOKUP($B84,RawData,AZ$4,FALSE)*VLOOKUP(AZ$3,ConversionFactors,2,FALSE)/1000</t>
  </si>
  <si>
    <t>VLOOKUP($B84,RawData,BA$4,FALSE)*VLOOKUP(BA$3,ConversionFactors,2,FALSE)/1000</t>
  </si>
  <si>
    <t>VLOOKUP($B84,RawData,BB$4,FALSE)*VLOOKUP(BB$3,ConversionFactors,2,FALSE)/1000</t>
  </si>
  <si>
    <t>VLOOKUP($B84,RawData,BC$4,FALSE)*1</t>
  </si>
  <si>
    <t>VLOOKUP($B84,RawData,BD$4,FALSE)*VLOOKUP(BD$3,ConversionFactors,2,FALSE)/1000</t>
  </si>
  <si>
    <t>VLOOKUP($B84,RawData,BG$4,FALSE)</t>
  </si>
  <si>
    <t>VLOOKUP($B84,RawData,BI$4,FALSE)</t>
  </si>
  <si>
    <t>VLOOKUP($B84,RawData,BM$4,FALSE)*3.6</t>
  </si>
  <si>
    <t>VLOOKUP($B84,RawData,BN$4,FALSE)*1</t>
  </si>
  <si>
    <t>VLOOKUP($B85,RawData,E$4,FALSE)*VLOOKUP(E$3,ConversionFactors,$D85,FALSE)/1000</t>
  </si>
  <si>
    <t>VLOOKUP($B85,RawData,F$4,FALSE)*VLOOKUP(F$3,ConversionFactors,$D85,FALSE)/1000</t>
  </si>
  <si>
    <t>VLOOKUP($B85,RawData,G$4,FALSE)*VLOOKUP(G$3,ConversionFactors,$D85,FALSE)/1000</t>
  </si>
  <si>
    <t>VLOOKUP($B85,RawData,H$4,FALSE)*VLOOKUP(H$3,ConversionFactors,$D85,FALSE)/1000</t>
  </si>
  <si>
    <t>VLOOKUP($B85,RawData,I$4,FALSE)*VLOOKUP(I$3,ConversionFactors,$D85,FALSE)/1000</t>
  </si>
  <si>
    <t>VLOOKUP($B85,RawData,J$4,FALSE)*VLOOKUP(J$3,ConversionFactors,$D85,FALSE)/1000</t>
  </si>
  <si>
    <t>VLOOKUP($B85,RawData,K$4,FALSE)*VLOOKUP(K$3,ConversionFactors,$D85,FALSE)/1000</t>
  </si>
  <si>
    <t>VLOOKUP($B85,RawData,L$4,FALSE)*VLOOKUP(L$3,ConversionFactors,$D85,FALSE)/1000</t>
  </si>
  <si>
    <t>VLOOKUP($B85,RawData,M$4,FALSE)*VLOOKUP(M$3,ConversionFactors,$D85,FALSE)/1000</t>
  </si>
  <si>
    <t>VLOOKUP($B85,RawData,N$4,FALSE)*VLOOKUP(N$3,ConversionFactors,$D85,FALSE)/1000</t>
  </si>
  <si>
    <t>(VLOOKUP($B85,RawData,O$4,FALSE)*VLOOKUP(O$3,ConversionFactors,2,FALSE))*1</t>
  </si>
  <si>
    <t>(VLOOKUP($B85,RawData,P$4,FALSE)*VLOOKUP(P$3,ConversionFactors,2,FALSE))*1</t>
  </si>
  <si>
    <t>(VLOOKUP($B85,RawData,Q$4,FALSE)*VLOOKUP(Q$3,ConversionFactors,2,FALSE))*1</t>
  </si>
  <si>
    <t>(VLOOKUP($B85,RawData,R$4,FALSE)*VLOOKUP(R$3,ConversionFactors,2,FALSE))*1</t>
  </si>
  <si>
    <t>VLOOKUP($B85,RawData,T$4,FALSE)*VLOOKUP(T$3,ConversionFactors,$D85,FALSE)/1000</t>
  </si>
  <si>
    <t>VLOOKUP($B85,RawData,U$4,FALSE)*VLOOKUP(U$3,ConversionFactors,$D85,FALSE)/1000</t>
  </si>
  <si>
    <t>VLOOKUP($B85,RawData,V$4,FALSE)*VLOOKUP(V$3,ConversionFactors,$D85,FALSE)/1000</t>
  </si>
  <si>
    <t>VLOOKUP($B85,RawData,W$4,FALSE)*VLOOKUP(W$3,ConversionFactors,2,FALSE)/1000</t>
  </si>
  <si>
    <t>VLOOKUP($B85,RawData,X$4,FALSE)*VLOOKUP(X$3,ConversionFactors,2,FALSE)/1000</t>
  </si>
  <si>
    <t>VLOOKUP($B85,RawData,Y$4,FALSE)*VLOOKUP(Y$3,ConversionFactors,2,FALSE)/1000</t>
  </si>
  <si>
    <t>VLOOKUP($B85,RawData,Z$4,FALSE)*VLOOKUP(Z$3,ConversionFactors,2,FALSE)/1000</t>
  </si>
  <si>
    <t>VLOOKUP($B85,RawData,AA$4,FALSE)*VLOOKUP(AA$3,ConversionFactors,2,FALSE)/1000</t>
  </si>
  <si>
    <t>VLOOKUP($B85,RawData,AB$4,FALSE)*VLOOKUP(AB$3,ConversionFactors,2,FALSE)/1000</t>
  </si>
  <si>
    <t>VLOOKUP($B85,RawData,AC$4,FALSE)*VLOOKUP(AC$3,ConversionFactors,2,FALSE)/1000</t>
  </si>
  <si>
    <t>VLOOKUP($B85,RawData,AD$4,FALSE)*VLOOKUP(AD$3,ConversionFactors,2,FALSE)/1000</t>
  </si>
  <si>
    <t>VLOOKUP($B85,RawData,AE$4,FALSE)*VLOOKUP(AE$3,ConversionFactors,2,FALSE)/1000</t>
  </si>
  <si>
    <t>VLOOKUP($B85,RawData,AF$4,FALSE)*VLOOKUP(AF$3,ConversionFactors,2,FALSE)/1000</t>
  </si>
  <si>
    <t>VLOOKUP($B85,RawData,AG$4,FALSE)*VLOOKUP(AG$3,ConversionFactors,2,FALSE)/1000</t>
  </si>
  <si>
    <t>VLOOKUP($B85,RawData,AH$4,FALSE)*VLOOKUP(AH$3,ConversionFactors,2,FALSE)/1000</t>
  </si>
  <si>
    <t>VLOOKUP($B85,RawData,AI$4,FALSE)*VLOOKUP(AI$3,ConversionFactors,2,FALSE)/1000</t>
  </si>
  <si>
    <t>VLOOKUP($B85,RawData,AJ$4,FALSE)*VLOOKUP(AJ$3,ConversionFactors,2,FALSE)/1000</t>
  </si>
  <si>
    <t>VLOOKUP($B85,RawData,AK$4,FALSE)*VLOOKUP(AK$3,ConversionFactors,2,FALSE)/1000</t>
  </si>
  <si>
    <t>VLOOKUP($B85,RawData,AL$4,FALSE)*VLOOKUP(AL$3,ConversionFactors,2,FALSE)/1000</t>
  </si>
  <si>
    <t>VLOOKUP($B85,RawData,AM$4,FALSE)*VLOOKUP(AM$3,ConversionFactors,2,FALSE)/1000</t>
  </si>
  <si>
    <t>VLOOKUP($B85,RawData,AN$4,FALSE)*VLOOKUP(AN$3,ConversionFactors,2,FALSE)/1000</t>
  </si>
  <si>
    <t>VLOOKUP($B85,RawData,AO$4,FALSE)*VLOOKUP(AO$3,ConversionFactors,2,FALSE)/1000</t>
  </si>
  <si>
    <t>VLOOKUP($B85,RawData,AP$4,FALSE)*VLOOKUP(AP$3,ConversionFactors,2,FALSE)/1000</t>
  </si>
  <si>
    <t>VLOOKUP($B85,RawData,AQ$4,FALSE)*VLOOKUP(AQ$3,ConversionFactors,2,FALSE)/1000</t>
  </si>
  <si>
    <t>VLOOKUP($B85,RawData,AR$4,FALSE)*VLOOKUP(AR$3,ConversionFactors,2,FALSE)/1000</t>
  </si>
  <si>
    <t>VLOOKUP($B85,RawData,AS$4,FALSE)*VLOOKUP(AS$3,ConversionFactors,2,FALSE)*1</t>
  </si>
  <si>
    <t>VLOOKUP($B85,RawData,AT$4,FALSE)*1</t>
  </si>
  <si>
    <t>VLOOKUP($B85,RawData,AU$4,FALSE)*1</t>
  </si>
  <si>
    <t>VLOOKUP($B85,RawData,AV$4,FALSE)*1</t>
  </si>
  <si>
    <t>VLOOKUP($B85,RawData,AX$4,FALSE)*1</t>
  </si>
  <si>
    <t>VLOOKUP($B85,RawData,AY$4,FALSE)*VLOOKUP(AY$3,ConversionFactors,2,FALSE)/1000</t>
  </si>
  <si>
    <t>VLOOKUP($B85,RawData,AZ$4,FALSE)*VLOOKUP(AZ$3,ConversionFactors,2,FALSE)/1000</t>
  </si>
  <si>
    <t>VLOOKUP($B85,RawData,BA$4,FALSE)*VLOOKUP(BA$3,ConversionFactors,2,FALSE)/1000</t>
  </si>
  <si>
    <t>VLOOKUP($B85,RawData,BB$4,FALSE)*VLOOKUP(BB$3,ConversionFactors,2,FALSE)/1000</t>
  </si>
  <si>
    <t>VLOOKUP($B85,RawData,BC$4,FALSE)*1</t>
  </si>
  <si>
    <t>VLOOKUP($B85,RawData,BD$4,FALSE)*VLOOKUP(BD$3,ConversionFactors,2,FALSE)/1000</t>
  </si>
  <si>
    <t>VLOOKUP($B85,RawData,BG$4,FALSE)</t>
  </si>
  <si>
    <t>VLOOKUP($B85,RawData,BI$4,FALSE)</t>
  </si>
  <si>
    <t>VLOOKUP($B85,RawData,BM$4,FALSE)*3.6</t>
  </si>
  <si>
    <t>VLOOKUP($B85,RawData,BN$4,FALSE)*1</t>
  </si>
  <si>
    <t>VLOOKUP($B86,RawData,E$4,FALSE)*VLOOKUP(E$3,ConversionFactors,$D86,FALSE)/1000</t>
  </si>
  <si>
    <t>VLOOKUP($B86,RawData,F$4,FALSE)*VLOOKUP(F$3,ConversionFactors,$D86,FALSE)/1000</t>
  </si>
  <si>
    <t>VLOOKUP($B86,RawData,G$4,FALSE)*VLOOKUP(G$3,ConversionFactors,$D86,FALSE)/1000</t>
  </si>
  <si>
    <t>VLOOKUP($B86,RawData,H$4,FALSE)*VLOOKUP(H$3,ConversionFactors,$D86,FALSE)/1000</t>
  </si>
  <si>
    <t>VLOOKUP($B86,RawData,I$4,FALSE)*VLOOKUP(I$3,ConversionFactors,$D86,FALSE)/1000</t>
  </si>
  <si>
    <t>VLOOKUP($B86,RawData,J$4,FALSE)*VLOOKUP(J$3,ConversionFactors,$D86,FALSE)/1000</t>
  </si>
  <si>
    <t>VLOOKUP($B86,RawData,K$4,FALSE)*VLOOKUP(K$3,ConversionFactors,$D86,FALSE)/1000</t>
  </si>
  <si>
    <t>VLOOKUP($B86,RawData,L$4,FALSE)*VLOOKUP(L$3,ConversionFactors,$D86,FALSE)/1000</t>
  </si>
  <si>
    <t>VLOOKUP($B86,RawData,M$4,FALSE)*VLOOKUP(M$3,ConversionFactors,$D86,FALSE)/1000</t>
  </si>
  <si>
    <t>VLOOKUP($B86,RawData,N$4,FALSE)*VLOOKUP(N$3,ConversionFactors,$D86,FALSE)/1000</t>
  </si>
  <si>
    <t>(VLOOKUP($B86,RawData,O$4,FALSE)*VLOOKUP(O$3,ConversionFactors,2,FALSE))*1</t>
  </si>
  <si>
    <t>(VLOOKUP($B86,RawData,P$4,FALSE)*VLOOKUP(P$3,ConversionFactors,2,FALSE))*1</t>
  </si>
  <si>
    <t>(VLOOKUP($B86,RawData,Q$4,FALSE)*VLOOKUP(Q$3,ConversionFactors,2,FALSE))*1</t>
  </si>
  <si>
    <t>(VLOOKUP($B86,RawData,R$4,FALSE)*VLOOKUP(R$3,ConversionFactors,2,FALSE))*1</t>
  </si>
  <si>
    <t>VLOOKUP($B86,RawData,T$4,FALSE)*VLOOKUP(T$3,ConversionFactors,$D86,FALSE)/1000</t>
  </si>
  <si>
    <t>VLOOKUP($B86,RawData,U$4,FALSE)*VLOOKUP(U$3,ConversionFactors,$D86,FALSE)/1000</t>
  </si>
  <si>
    <t>VLOOKUP($B86,RawData,V$4,FALSE)*VLOOKUP(V$3,ConversionFactors,$D86,FALSE)/1000</t>
  </si>
  <si>
    <t>VLOOKUP($B86,RawData,W$4,FALSE)*VLOOKUP(W$3,ConversionFactors,2,FALSE)/1000</t>
  </si>
  <si>
    <t>VLOOKUP($B86,RawData,X$4,FALSE)*VLOOKUP(X$3,ConversionFactors,2,FALSE)/1000</t>
  </si>
  <si>
    <t>VLOOKUP($B86,RawData,Y$4,FALSE)*VLOOKUP(Y$3,ConversionFactors,2,FALSE)/1000</t>
  </si>
  <si>
    <t>VLOOKUP($B86,RawData,Z$4,FALSE)*VLOOKUP(Z$3,ConversionFactors,2,FALSE)/1000</t>
  </si>
  <si>
    <t>VLOOKUP($B86,RawData,AA$4,FALSE)*VLOOKUP(AA$3,ConversionFactors,2,FALSE)/1000</t>
  </si>
  <si>
    <t>VLOOKUP($B86,RawData,AB$4,FALSE)*VLOOKUP(AB$3,ConversionFactors,2,FALSE)/1000</t>
  </si>
  <si>
    <t>VLOOKUP($B86,RawData,AC$4,FALSE)*VLOOKUP(AC$3,ConversionFactors,2,FALSE)/1000</t>
  </si>
  <si>
    <t>VLOOKUP($B86,RawData,AD$4,FALSE)*VLOOKUP(AD$3,ConversionFactors,2,FALSE)/1000</t>
  </si>
  <si>
    <t>VLOOKUP($B86,RawData,AE$4,FALSE)*VLOOKUP(AE$3,ConversionFactors,2,FALSE)/1000</t>
  </si>
  <si>
    <t>VLOOKUP($B86,RawData,AF$4,FALSE)*VLOOKUP(AF$3,ConversionFactors,2,FALSE)/1000</t>
  </si>
  <si>
    <t>VLOOKUP($B86,RawData,AG$4,FALSE)*VLOOKUP(AG$3,ConversionFactors,2,FALSE)/1000</t>
  </si>
  <si>
    <t>VLOOKUP($B86,RawData,AH$4,FALSE)*VLOOKUP(AH$3,ConversionFactors,2,FALSE)/1000</t>
  </si>
  <si>
    <t>VLOOKUP($B86,RawData,AI$4,FALSE)*VLOOKUP(AI$3,ConversionFactors,2,FALSE)/1000</t>
  </si>
  <si>
    <t>VLOOKUP($B86,RawData,AJ$4,FALSE)*VLOOKUP(AJ$3,ConversionFactors,2,FALSE)/1000</t>
  </si>
  <si>
    <t>VLOOKUP($B86,RawData,AK$4,FALSE)*VLOOKUP(AK$3,ConversionFactors,2,FALSE)/1000</t>
  </si>
  <si>
    <t>VLOOKUP($B86,RawData,AL$4,FALSE)*VLOOKUP(AL$3,ConversionFactors,2,FALSE)/1000</t>
  </si>
  <si>
    <t>VLOOKUP($B86,RawData,AM$4,FALSE)*VLOOKUP(AM$3,ConversionFactors,2,FALSE)/1000</t>
  </si>
  <si>
    <t>VLOOKUP($B86,RawData,AN$4,FALSE)*VLOOKUP(AN$3,ConversionFactors,2,FALSE)/1000</t>
  </si>
  <si>
    <t>VLOOKUP($B86,RawData,AO$4,FALSE)*VLOOKUP(AO$3,ConversionFactors,2,FALSE)/1000</t>
  </si>
  <si>
    <t>VLOOKUP($B86,RawData,AP$4,FALSE)*VLOOKUP(AP$3,ConversionFactors,2,FALSE)/1000</t>
  </si>
  <si>
    <t>VLOOKUP($B86,RawData,AQ$4,FALSE)*VLOOKUP(AQ$3,ConversionFactors,2,FALSE)/1000</t>
  </si>
  <si>
    <t>VLOOKUP($B86,RawData,AR$4,FALSE)*VLOOKUP(AR$3,ConversionFactors,2,FALSE)/1000</t>
  </si>
  <si>
    <t>VLOOKUP($B86,RawData,AS$4,FALSE)*VLOOKUP(AS$3,ConversionFactors,2,FALSE)*1</t>
  </si>
  <si>
    <t>VLOOKUP($B86,RawData,AT$4,FALSE)*1</t>
  </si>
  <si>
    <t>VLOOKUP($B86,RawData,AU$4,FALSE)*1</t>
  </si>
  <si>
    <t>VLOOKUP($B86,RawData,AV$4,FALSE)*1</t>
  </si>
  <si>
    <t>VLOOKUP($B86,RawData,AX$4,FALSE)*1</t>
  </si>
  <si>
    <t>VLOOKUP($B86,RawData,AY$4,FALSE)*VLOOKUP(AY$3,ConversionFactors,2,FALSE)/1000</t>
  </si>
  <si>
    <t>VLOOKUP($B86,RawData,AZ$4,FALSE)*VLOOKUP(AZ$3,ConversionFactors,2,FALSE)/1000</t>
  </si>
  <si>
    <t>VLOOKUP($B86,RawData,BA$4,FALSE)*VLOOKUP(BA$3,ConversionFactors,2,FALSE)/1000</t>
  </si>
  <si>
    <t>VLOOKUP($B86,RawData,BB$4,FALSE)*VLOOKUP(BB$3,ConversionFactors,2,FALSE)/1000</t>
  </si>
  <si>
    <t>VLOOKUP($B86,RawData,BC$4,FALSE)*1</t>
  </si>
  <si>
    <t>VLOOKUP($B86,RawData,BD$4,FALSE)*VLOOKUP(BD$3,ConversionFactors,2,FALSE)/1000</t>
  </si>
  <si>
    <t>VLOOKUP($B86,RawData,BG$4,FALSE)</t>
  </si>
  <si>
    <t>VLOOKUP($B86,RawData,BI$4,FALSE)</t>
  </si>
  <si>
    <t>VLOOKUP($B86,RawData,BM$4,FALSE)*3.6</t>
  </si>
  <si>
    <t>VLOOKUP($B86,RawData,BN$4,FALSE)*1</t>
  </si>
  <si>
    <t>VLOOKUP($B87,RawData,E$4,FALSE)*VLOOKUP(E$3,ConversionFactors,$D87,FALSE)/1000</t>
  </si>
  <si>
    <t>VLOOKUP($B87,RawData,F$4,FALSE)*VLOOKUP(F$3,ConversionFactors,$D87,FALSE)/1000</t>
  </si>
  <si>
    <t>VLOOKUP($B87,RawData,G$4,FALSE)*VLOOKUP(G$3,ConversionFactors,$D87,FALSE)/1000</t>
  </si>
  <si>
    <t>VLOOKUP($B87,RawData,H$4,FALSE)*VLOOKUP(H$3,ConversionFactors,$D87,FALSE)/1000</t>
  </si>
  <si>
    <t>VLOOKUP($B87,RawData,I$4,FALSE)*VLOOKUP(I$3,ConversionFactors,$D87,FALSE)/1000</t>
  </si>
  <si>
    <t>VLOOKUP($B87,RawData,J$4,FALSE)*VLOOKUP(J$3,ConversionFactors,$D87,FALSE)/1000</t>
  </si>
  <si>
    <t>VLOOKUP($B87,RawData,K$4,FALSE)*VLOOKUP(K$3,ConversionFactors,$D87,FALSE)/1000</t>
  </si>
  <si>
    <t>VLOOKUP($B87,RawData,L$4,FALSE)*VLOOKUP(L$3,ConversionFactors,$D87,FALSE)/1000</t>
  </si>
  <si>
    <t>VLOOKUP($B87,RawData,M$4,FALSE)*VLOOKUP(M$3,ConversionFactors,$D87,FALSE)/1000</t>
  </si>
  <si>
    <t>VLOOKUP($B87,RawData,N$4,FALSE)*VLOOKUP(N$3,ConversionFactors,$D87,FALSE)/1000</t>
  </si>
  <si>
    <t>(VLOOKUP($B87,RawData,O$4,FALSE)*VLOOKUP(O$3,ConversionFactors,2,FALSE))*1</t>
  </si>
  <si>
    <t>(VLOOKUP($B87,RawData,P$4,FALSE)*VLOOKUP(P$3,ConversionFactors,2,FALSE))*1</t>
  </si>
  <si>
    <t>(VLOOKUP($B87,RawData,Q$4,FALSE)*VLOOKUP(Q$3,ConversionFactors,2,FALSE))*1</t>
  </si>
  <si>
    <t>(VLOOKUP($B87,RawData,R$4,FALSE)*VLOOKUP(R$3,ConversionFactors,2,FALSE))*1</t>
  </si>
  <si>
    <t>VLOOKUP($B87,RawData,T$4,FALSE)*VLOOKUP(T$3,ConversionFactors,$D87,FALSE)/1000</t>
  </si>
  <si>
    <t>VLOOKUP($B87,RawData,U$4,FALSE)*VLOOKUP(U$3,ConversionFactors,$D87,FALSE)/1000</t>
  </si>
  <si>
    <t>VLOOKUP($B87,RawData,V$4,FALSE)*VLOOKUP(V$3,ConversionFactors,$D87,FALSE)/1000</t>
  </si>
  <si>
    <t>VLOOKUP($B87,RawData,W$4,FALSE)*VLOOKUP(W$3,ConversionFactors,2,FALSE)/1000</t>
  </si>
  <si>
    <t>VLOOKUP($B87,RawData,X$4,FALSE)*VLOOKUP(X$3,ConversionFactors,2,FALSE)/1000</t>
  </si>
  <si>
    <t>VLOOKUP($B87,RawData,Y$4,FALSE)*VLOOKUP(Y$3,ConversionFactors,2,FALSE)/1000</t>
  </si>
  <si>
    <t>VLOOKUP($B87,RawData,Z$4,FALSE)*VLOOKUP(Z$3,ConversionFactors,2,FALSE)/1000</t>
  </si>
  <si>
    <t>VLOOKUP($B87,RawData,AA$4,FALSE)*VLOOKUP(AA$3,ConversionFactors,2,FALSE)/1000</t>
  </si>
  <si>
    <t>VLOOKUP($B87,RawData,AB$4,FALSE)*VLOOKUP(AB$3,ConversionFactors,2,FALSE)/1000</t>
  </si>
  <si>
    <t>VLOOKUP($B87,RawData,AC$4,FALSE)*VLOOKUP(AC$3,ConversionFactors,2,FALSE)/1000</t>
  </si>
  <si>
    <t>VLOOKUP($B87,RawData,AD$4,FALSE)*VLOOKUP(AD$3,ConversionFactors,2,FALSE)/1000</t>
  </si>
  <si>
    <t>VLOOKUP($B87,RawData,AE$4,FALSE)*VLOOKUP(AE$3,ConversionFactors,2,FALSE)/1000</t>
  </si>
  <si>
    <t>VLOOKUP($B87,RawData,AF$4,FALSE)*VLOOKUP(AF$3,ConversionFactors,2,FALSE)/1000</t>
  </si>
  <si>
    <t>VLOOKUP($B87,RawData,AG$4,FALSE)*VLOOKUP(AG$3,ConversionFactors,2,FALSE)/1000</t>
  </si>
  <si>
    <t>VLOOKUP($B87,RawData,AH$4,FALSE)*VLOOKUP(AH$3,ConversionFactors,2,FALSE)/1000</t>
  </si>
  <si>
    <t>VLOOKUP($B87,RawData,AI$4,FALSE)*VLOOKUP(AI$3,ConversionFactors,2,FALSE)/1000</t>
  </si>
  <si>
    <t>VLOOKUP($B87,RawData,AJ$4,FALSE)*VLOOKUP(AJ$3,ConversionFactors,2,FALSE)/1000</t>
  </si>
  <si>
    <t>VLOOKUP($B87,RawData,AK$4,FALSE)*VLOOKUP(AK$3,ConversionFactors,2,FALSE)/1000</t>
  </si>
  <si>
    <t>VLOOKUP($B87,RawData,AL$4,FALSE)*VLOOKUP(AL$3,ConversionFactors,2,FALSE)/1000</t>
  </si>
  <si>
    <t>VLOOKUP($B87,RawData,AM$4,FALSE)*VLOOKUP(AM$3,ConversionFactors,2,FALSE)/1000</t>
  </si>
  <si>
    <t>VLOOKUP($B87,RawData,AN$4,FALSE)*VLOOKUP(AN$3,ConversionFactors,2,FALSE)/1000</t>
  </si>
  <si>
    <t>VLOOKUP($B87,RawData,AO$4,FALSE)*VLOOKUP(AO$3,ConversionFactors,2,FALSE)/1000</t>
  </si>
  <si>
    <t>VLOOKUP($B87,RawData,AP$4,FALSE)*VLOOKUP(AP$3,ConversionFactors,2,FALSE)/1000</t>
  </si>
  <si>
    <t>VLOOKUP($B87,RawData,AQ$4,FALSE)*VLOOKUP(AQ$3,ConversionFactors,2,FALSE)/1000</t>
  </si>
  <si>
    <t>VLOOKUP($B87,RawData,AR$4,FALSE)*VLOOKUP(AR$3,ConversionFactors,2,FALSE)/1000</t>
  </si>
  <si>
    <t>VLOOKUP($B87,RawData,AS$4,FALSE)*VLOOKUP(AS$3,ConversionFactors,2,FALSE)*1</t>
  </si>
  <si>
    <t>VLOOKUP($B87,RawData,AT$4,FALSE)*1</t>
  </si>
  <si>
    <t>VLOOKUP($B87,RawData,AU$4,FALSE)*1</t>
  </si>
  <si>
    <t>VLOOKUP($B87,RawData,AV$4,FALSE)*1</t>
  </si>
  <si>
    <t>VLOOKUP($B87,RawData,AX$4,FALSE)*1</t>
  </si>
  <si>
    <t>VLOOKUP($B87,RawData,AY$4,FALSE)*VLOOKUP(AY$3,ConversionFactors,2,FALSE)/1000</t>
  </si>
  <si>
    <t>VLOOKUP($B87,RawData,AZ$4,FALSE)*VLOOKUP(AZ$3,ConversionFactors,2,FALSE)/1000</t>
  </si>
  <si>
    <t>VLOOKUP($B87,RawData,BA$4,FALSE)*VLOOKUP(BA$3,ConversionFactors,2,FALSE)/1000</t>
  </si>
  <si>
    <t>VLOOKUP($B87,RawData,BB$4,FALSE)*VLOOKUP(BB$3,ConversionFactors,2,FALSE)/1000</t>
  </si>
  <si>
    <t>VLOOKUP($B87,RawData,BC$4,FALSE)*1</t>
  </si>
  <si>
    <t>VLOOKUP($B87,RawData,BD$4,FALSE)*VLOOKUP(BD$3,ConversionFactors,2,FALSE)/1000</t>
  </si>
  <si>
    <t>VLOOKUP($B87,RawData,BG$4,FALSE)</t>
  </si>
  <si>
    <t>VLOOKUP($B87,RawData,BI$4,FALSE)</t>
  </si>
  <si>
    <t>VLOOKUP($B87,RawData,BM$4,FALSE)*3.6</t>
  </si>
  <si>
    <t>VLOOKUP($B87,RawData,BN$4,FALSE)*1</t>
  </si>
  <si>
    <t>SUM(E89:E92)</t>
  </si>
  <si>
    <t>SUM(F89:F92)</t>
  </si>
  <si>
    <t>SUM(G89:G92)</t>
  </si>
  <si>
    <t>SUM(H89:H92)</t>
  </si>
  <si>
    <t>SUM(I89:I92)</t>
  </si>
  <si>
    <t>SUM(J89:J92)</t>
  </si>
  <si>
    <t>SUM(K89:K92)</t>
  </si>
  <si>
    <t>SUM(L89:L92)</t>
  </si>
  <si>
    <t>SUM(M89:M92)</t>
  </si>
  <si>
    <t>SUM(N89:N92)</t>
  </si>
  <si>
    <t>SUM(O89:O92)</t>
  </si>
  <si>
    <t>SUM(P89:P92)</t>
  </si>
  <si>
    <t>SUM(Q89:Q92)</t>
  </si>
  <si>
    <t>SUM(R89:R92)</t>
  </si>
  <si>
    <t>SUM(S89:S92)</t>
  </si>
  <si>
    <t>SUM(T89:T92)</t>
  </si>
  <si>
    <t>SUM(U89:U92)</t>
  </si>
  <si>
    <t>SUM(V89:V92)</t>
  </si>
  <si>
    <t>SUM(W89:W92)</t>
  </si>
  <si>
    <t>SUM(X89:X92)</t>
  </si>
  <si>
    <t>SUM(Y89:Y92)</t>
  </si>
  <si>
    <t>SUM(Z89:Z92)</t>
  </si>
  <si>
    <t>SUM(AA89:AA92)</t>
  </si>
  <si>
    <t>SUM(AB89:AB92)</t>
  </si>
  <si>
    <t>SUM(AC89:AC92)</t>
  </si>
  <si>
    <t>SUM(AD89:AD92)</t>
  </si>
  <si>
    <t>SUM(AE89:AE92)</t>
  </si>
  <si>
    <t>SUM(AF89:AF92)</t>
  </si>
  <si>
    <t>SUM(AG89:AG92)</t>
  </si>
  <si>
    <t>SUM(AH89:AH92)</t>
  </si>
  <si>
    <t>SUM(AI89:AI92)</t>
  </si>
  <si>
    <t>SUM(AJ89:AJ92)</t>
  </si>
  <si>
    <t>SUM(AK89:AK92)</t>
  </si>
  <si>
    <t>SUM(AL89:AL92)</t>
  </si>
  <si>
    <t>SUM(AM89:AM92)</t>
  </si>
  <si>
    <t>SUM(AN89:AN92)</t>
  </si>
  <si>
    <t>SUM(AO89:AO92)</t>
  </si>
  <si>
    <t>SUM(AP89:AP92)</t>
  </si>
  <si>
    <t>SUM(AQ89:AQ92)</t>
  </si>
  <si>
    <t>SUM(AR89:AR92)</t>
  </si>
  <si>
    <t>SUM(AS89:AS92)</t>
  </si>
  <si>
    <t>SUM(AT89:AT92)</t>
  </si>
  <si>
    <t>SUM(AU89:AU92)</t>
  </si>
  <si>
    <t>SUM(AV89:AV92)</t>
  </si>
  <si>
    <t>SUM(AW89:AW92)</t>
  </si>
  <si>
    <t>SUM(AX89:AX92)</t>
  </si>
  <si>
    <t>SUM(AY89:AY92)</t>
  </si>
  <si>
    <t>SUM(AZ89:AZ92)</t>
  </si>
  <si>
    <t>SUM(BA89:BA92)</t>
  </si>
  <si>
    <t>SUM(BB89:BB92)</t>
  </si>
  <si>
    <t>SUM(BC89:BC92)</t>
  </si>
  <si>
    <t>SUM(BD89:BD92)</t>
  </si>
  <si>
    <t>SUM(BE89:BE92)</t>
  </si>
  <si>
    <t>SUM(BF89:BF92)</t>
  </si>
  <si>
    <t>SUM(BG89:BG92)</t>
  </si>
  <si>
    <t>SUM(BH89:BH92)</t>
  </si>
  <si>
    <t>SUM(BI89:BI92)</t>
  </si>
  <si>
    <t>SUM(BJ89:BJ92)</t>
  </si>
  <si>
    <t>SUM(BK89:BK92)</t>
  </si>
  <si>
    <t>SUM(BL89:BL92)</t>
  </si>
  <si>
    <t>SUM(BM89:BM92)</t>
  </si>
  <si>
    <t>SUM(BN89:BN92)</t>
  </si>
  <si>
    <t>VLOOKUP($B89,RawData,E$4,FALSE)</t>
  </si>
  <si>
    <t>VLOOKUP($B89,RawData,F$4,FALSE)</t>
  </si>
  <si>
    <t>VLOOKUP($B89,RawData,G$4,FALSE)</t>
  </si>
  <si>
    <t>VLOOKUP($B89,RawData,H$4,FALSE)</t>
  </si>
  <si>
    <t>VLOOKUP($B89,RawData,I$4,FALSE)</t>
  </si>
  <si>
    <t>VLOOKUP($B89,RawData,J$4,FALSE)</t>
  </si>
  <si>
    <t>VLOOKUP($B89,RawData,K$4,FALSE)</t>
  </si>
  <si>
    <t>VLOOKUP($B89,RawData,L$4,FALSE)</t>
  </si>
  <si>
    <t>VLOOKUP($B89,RawData,M$4,FALSE)</t>
  </si>
  <si>
    <t>VLOOKUP($B89,RawData,N$4,FALSE)</t>
  </si>
  <si>
    <t>VLOOKUP($B89,RawData,O$4,FALSE)</t>
  </si>
  <si>
    <t>VLOOKUP($B89,RawData,P$4,FALSE)</t>
  </si>
  <si>
    <t>VLOOKUP($B89,RawData,Q$4,FALSE)</t>
  </si>
  <si>
    <t>VLOOKUP($B89,RawData,R$4,FALSE)</t>
  </si>
  <si>
    <t>VLOOKUP($B89,RawData,S$4,FALSE)</t>
  </si>
  <si>
    <t>VLOOKUP($B89,RawData,T$4,FALSE)</t>
  </si>
  <si>
    <t>VLOOKUP($B89,RawData,U$4,FALSE)</t>
  </si>
  <si>
    <t>VLOOKUP($B89,RawData,V$4,FALSE)</t>
  </si>
  <si>
    <t>VLOOKUP($B89,RawData,W$4,FALSE)</t>
  </si>
  <si>
    <t>VLOOKUP($B89,RawData,X$4,FALSE)</t>
  </si>
  <si>
    <t>VLOOKUP($B89,RawData,Y$4,FALSE)</t>
  </si>
  <si>
    <t>VLOOKUP($B89,RawData,Z$4,FALSE)</t>
  </si>
  <si>
    <t>VLOOKUP($B89,RawData,AA$4,FALSE)</t>
  </si>
  <si>
    <t>VLOOKUP($B89,RawData,AB$4,FALSE)</t>
  </si>
  <si>
    <t>VLOOKUP($B89,RawData,AC$4,FALSE)</t>
  </si>
  <si>
    <t>VLOOKUP($B89,RawData,AD$4,FALSE)</t>
  </si>
  <si>
    <t>VLOOKUP($B89,RawData,AE$4,FALSE)</t>
  </si>
  <si>
    <t>VLOOKUP($B89,RawData,AF$4,FALSE)</t>
  </si>
  <si>
    <t>VLOOKUP($B89,RawData,AG$4,FALSE)</t>
  </si>
  <si>
    <t>VLOOKUP($B89,RawData,AH$4,FALSE)</t>
  </si>
  <si>
    <t>VLOOKUP($B89,RawData,AI$4,FALSE)</t>
  </si>
  <si>
    <t>VLOOKUP($B89,RawData,AJ$4,FALSE)</t>
  </si>
  <si>
    <t>VLOOKUP($B89,RawData,AK$4,FALSE)</t>
  </si>
  <si>
    <t>VLOOKUP($B89,RawData,AL$4,FALSE)</t>
  </si>
  <si>
    <t>VLOOKUP($B89,RawData,AM$4,FALSE)</t>
  </si>
  <si>
    <t>VLOOKUP($B89,RawData,AN$4,FALSE)</t>
  </si>
  <si>
    <t>VLOOKUP($B89,RawData,AO$4,FALSE)</t>
  </si>
  <si>
    <t>VLOOKUP($B89,RawData,AP$4,FALSE)</t>
  </si>
  <si>
    <t>VLOOKUP($B89,RawData,AQ$4,FALSE)</t>
  </si>
  <si>
    <t>VLOOKUP($B89,RawData,AR$4,FALSE)</t>
  </si>
  <si>
    <t>VLOOKUP($B89,RawData,AS$4,FALSE)</t>
  </si>
  <si>
    <t>VLOOKUP($B89,RawData,AT$4,FALSE)</t>
  </si>
  <si>
    <t>VLOOKUP($B89,RawData,AU$4,FALSE)</t>
  </si>
  <si>
    <t>VLOOKUP($B89,RawData,AV$4,FALSE)</t>
  </si>
  <si>
    <t>VLOOKUP($B89,RawData,AW$4,FALSE)</t>
  </si>
  <si>
    <t>VLOOKUP($B89,RawData,AX$4,FALSE)</t>
  </si>
  <si>
    <t>VLOOKUP($B89,RawData,AY$4,FALSE)</t>
  </si>
  <si>
    <t>VLOOKUP($B89,RawData,AZ$4,FALSE)</t>
  </si>
  <si>
    <t>VLOOKUP($B89,RawData,BA$4,FALSE)</t>
  </si>
  <si>
    <t>VLOOKUP($B89,RawData,BB$4,FALSE)</t>
  </si>
  <si>
    <t>VLOOKUP($B89,RawData,BC$4,FALSE)</t>
  </si>
  <si>
    <t>VLOOKUP($B89,RawData,BD$4,FALSE)</t>
  </si>
  <si>
    <t>VLOOKUP($B89,RawData,BE$4,FALSE)</t>
  </si>
  <si>
    <t>VLOOKUP($B89,RawData,BF$4,FALSE)-VLOOKUP("MHYDPUMP",RawData,BF$4,FALSE)</t>
  </si>
  <si>
    <t>VLOOKUP($B89,RawData,BG$4,FALSE)</t>
  </si>
  <si>
    <t>VLOOKUP($B89,RawData,BH$4,FALSE)</t>
  </si>
  <si>
    <t>VLOOKUP($B89,RawData,BI$4,FALSE)</t>
  </si>
  <si>
    <t>VLOOKUP($B89,RawData,BJ$4,FALSE)</t>
  </si>
  <si>
    <t>VLOOKUP($B89,RawData,BK$4,FALSE)</t>
  </si>
  <si>
    <t>VLOOKUP($B89,RawData,BL$4,FALSE)</t>
  </si>
  <si>
    <t>VLOOKUP($B89,RawData,MATCH("BOILER",RawDataHeadings,0),FALSE)</t>
  </si>
  <si>
    <t>SUM(VLOOKUP($B89,RawData,MATCH("HEATPUMP",RawDataHeadings,0),FALSE),VLOOKUP($B89,RawData,MATCH("CHEMHEAT",RawDataHeadings,0),FALSE))</t>
  </si>
  <si>
    <t>VLOOKUP($B90,RawData,E$4,FALSE)</t>
  </si>
  <si>
    <t>VLOOKUP($B90,RawData,F$4,FALSE)</t>
  </si>
  <si>
    <t>VLOOKUP($B90,RawData,G$4,FALSE)</t>
  </si>
  <si>
    <t>VLOOKUP($B90,RawData,H$4,FALSE)</t>
  </si>
  <si>
    <t>VLOOKUP($B90,RawData,I$4,FALSE)</t>
  </si>
  <si>
    <t>VLOOKUP($B90,RawData,J$4,FALSE)</t>
  </si>
  <si>
    <t>VLOOKUP($B90,RawData,K$4,FALSE)</t>
  </si>
  <si>
    <t>VLOOKUP($B90,RawData,L$4,FALSE)</t>
  </si>
  <si>
    <t>VLOOKUP($B90,RawData,M$4,FALSE)</t>
  </si>
  <si>
    <t>VLOOKUP($B90,RawData,N$4,FALSE)</t>
  </si>
  <si>
    <t>VLOOKUP($B90,RawData,O$4,FALSE)</t>
  </si>
  <si>
    <t>VLOOKUP($B90,RawData,P$4,FALSE)</t>
  </si>
  <si>
    <t>VLOOKUP($B90,RawData,Q$4,FALSE)</t>
  </si>
  <si>
    <t>VLOOKUP($B90,RawData,R$4,FALSE)</t>
  </si>
  <si>
    <t>VLOOKUP($B90,RawData,S$4,FALSE)</t>
  </si>
  <si>
    <t>VLOOKUP($B90,RawData,T$4,FALSE)</t>
  </si>
  <si>
    <t>VLOOKUP($B90,RawData,U$4,FALSE)</t>
  </si>
  <si>
    <t>VLOOKUP($B90,RawData,V$4,FALSE)</t>
  </si>
  <si>
    <t>VLOOKUP($B90,RawData,W$4,FALSE)</t>
  </si>
  <si>
    <t>VLOOKUP($B90,RawData,X$4,FALSE)</t>
  </si>
  <si>
    <t>VLOOKUP($B90,RawData,Y$4,FALSE)</t>
  </si>
  <si>
    <t>VLOOKUP($B90,RawData,Z$4,FALSE)</t>
  </si>
  <si>
    <t>VLOOKUP($B90,RawData,AA$4,FALSE)</t>
  </si>
  <si>
    <t>VLOOKUP($B90,RawData,AB$4,FALSE)</t>
  </si>
  <si>
    <t>VLOOKUP($B90,RawData,AC$4,FALSE)</t>
  </si>
  <si>
    <t>VLOOKUP($B90,RawData,AD$4,FALSE)</t>
  </si>
  <si>
    <t>VLOOKUP($B90,RawData,AE$4,FALSE)</t>
  </si>
  <si>
    <t>VLOOKUP($B90,RawData,AF$4,FALSE)</t>
  </si>
  <si>
    <t>VLOOKUP($B90,RawData,AG$4,FALSE)</t>
  </si>
  <si>
    <t>VLOOKUP($B90,RawData,AH$4,FALSE)</t>
  </si>
  <si>
    <t>VLOOKUP($B90,RawData,AI$4,FALSE)</t>
  </si>
  <si>
    <t>VLOOKUP($B90,RawData,AJ$4,FALSE)</t>
  </si>
  <si>
    <t>VLOOKUP($B90,RawData,AK$4,FALSE)</t>
  </si>
  <si>
    <t>VLOOKUP($B90,RawData,AL$4,FALSE)</t>
  </si>
  <si>
    <t>VLOOKUP($B90,RawData,AM$4,FALSE)</t>
  </si>
  <si>
    <t>VLOOKUP($B90,RawData,AN$4,FALSE)</t>
  </si>
  <si>
    <t>VLOOKUP($B90,RawData,AO$4,FALSE)</t>
  </si>
  <si>
    <t>VLOOKUP($B90,RawData,AP$4,FALSE)</t>
  </si>
  <si>
    <t>VLOOKUP($B90,RawData,AQ$4,FALSE)</t>
  </si>
  <si>
    <t>VLOOKUP($B90,RawData,AR$4,FALSE)</t>
  </si>
  <si>
    <t>VLOOKUP($B90,RawData,AS$4,FALSE)</t>
  </si>
  <si>
    <t>VLOOKUP($B90,RawData,AT$4,FALSE)</t>
  </si>
  <si>
    <t>VLOOKUP($B90,RawData,AU$4,FALSE)</t>
  </si>
  <si>
    <t>VLOOKUP($B90,RawData,AV$4,FALSE)</t>
  </si>
  <si>
    <t>VLOOKUP($B90,RawData,AW$4,FALSE)</t>
  </si>
  <si>
    <t>VLOOKUP($B90,RawData,AX$4,FALSE)</t>
  </si>
  <si>
    <t>VLOOKUP($B90,RawData,AY$4,FALSE)</t>
  </si>
  <si>
    <t>VLOOKUP($B90,RawData,AZ$4,FALSE)</t>
  </si>
  <si>
    <t>VLOOKUP($B90,RawData,BA$4,FALSE)</t>
  </si>
  <si>
    <t>VLOOKUP($B90,RawData,BB$4,FALSE)</t>
  </si>
  <si>
    <t>VLOOKUP($B90,RawData,BC$4,FALSE)</t>
  </si>
  <si>
    <t>VLOOKUP($B90,RawData,BD$4,FALSE)</t>
  </si>
  <si>
    <t>VLOOKUP($B90,RawData,BE$4,FALSE)</t>
  </si>
  <si>
    <t>VLOOKUP($B90,RawData,BF$4,FALSE)-VLOOKUP("AHYDPUMP",RawData,BF$4,FALSE)</t>
  </si>
  <si>
    <t>VLOOKUP($B90,RawData,BG$4,FALSE)</t>
  </si>
  <si>
    <t>VLOOKUP($B90,RawData,BH$4,FALSE)</t>
  </si>
  <si>
    <t>VLOOKUP($B90,RawData,BI$4,FALSE)</t>
  </si>
  <si>
    <t>VLOOKUP($B90,RawData,BJ$4,FALSE)</t>
  </si>
  <si>
    <t>VLOOKUP($B90,RawData,BK$4,FALSE)</t>
  </si>
  <si>
    <t>VLOOKUP($B90,RawData,BL$4,FALSE)</t>
  </si>
  <si>
    <t>VLOOKUP($B90,RawData,MATCH("BOILER",RawDataHeadings,0),FALSE)</t>
  </si>
  <si>
    <t>SUM(VLOOKUP($B90,RawData,MATCH("HEATPUMP",RawDataHeadings,0),FALSE),VLOOKUP($B90,RawData,MATCH("CHEMHEAT",RawDataHeadings,0),FALSE))</t>
  </si>
  <si>
    <t>VLOOKUP($B91,RawData,E$4,FALSE)</t>
  </si>
  <si>
    <t>VLOOKUP($B91,RawData,F$4,FALSE)</t>
  </si>
  <si>
    <t>VLOOKUP($B91,RawData,G$4,FALSE)</t>
  </si>
  <si>
    <t>VLOOKUP($B91,RawData,H$4,FALSE)</t>
  </si>
  <si>
    <t>VLOOKUP($B91,RawData,I$4,FALSE)</t>
  </si>
  <si>
    <t>VLOOKUP($B91,RawData,J$4,FALSE)</t>
  </si>
  <si>
    <t>VLOOKUP($B91,RawData,K$4,FALSE)</t>
  </si>
  <si>
    <t>VLOOKUP($B91,RawData,L$4,FALSE)</t>
  </si>
  <si>
    <t>VLOOKUP($B91,RawData,M$4,FALSE)</t>
  </si>
  <si>
    <t>VLOOKUP($B91,RawData,N$4,FALSE)</t>
  </si>
  <si>
    <t>VLOOKUP($B91,RawData,O$4,FALSE)</t>
  </si>
  <si>
    <t>VLOOKUP($B91,RawData,P$4,FALSE)</t>
  </si>
  <si>
    <t>VLOOKUP($B91,RawData,Q$4,FALSE)</t>
  </si>
  <si>
    <t>VLOOKUP($B91,RawData,R$4,FALSE)</t>
  </si>
  <si>
    <t>VLOOKUP($B91,RawData,S$4,FALSE)</t>
  </si>
  <si>
    <t>VLOOKUP($B91,RawData,T$4,FALSE)</t>
  </si>
  <si>
    <t>VLOOKUP($B91,RawData,U$4,FALSE)</t>
  </si>
  <si>
    <t>VLOOKUP($B91,RawData,V$4,FALSE)</t>
  </si>
  <si>
    <t>VLOOKUP($B91,RawData,W$4,FALSE)</t>
  </si>
  <si>
    <t>VLOOKUP($B91,RawData,X$4,FALSE)</t>
  </si>
  <si>
    <t>VLOOKUP($B91,RawData,Y$4,FALSE)</t>
  </si>
  <si>
    <t>VLOOKUP($B91,RawData,Z$4,FALSE)</t>
  </si>
  <si>
    <t>VLOOKUP($B91,RawData,AA$4,FALSE)</t>
  </si>
  <si>
    <t>VLOOKUP($B91,RawData,AB$4,FALSE)</t>
  </si>
  <si>
    <t>VLOOKUP($B91,RawData,AC$4,FALSE)</t>
  </si>
  <si>
    <t>VLOOKUP($B91,RawData,AD$4,FALSE)</t>
  </si>
  <si>
    <t>VLOOKUP($B91,RawData,AE$4,FALSE)</t>
  </si>
  <si>
    <t>VLOOKUP($B91,RawData,AF$4,FALSE)</t>
  </si>
  <si>
    <t>VLOOKUP($B91,RawData,AG$4,FALSE)</t>
  </si>
  <si>
    <t>VLOOKUP($B91,RawData,AH$4,FALSE)</t>
  </si>
  <si>
    <t>VLOOKUP($B91,RawData,AI$4,FALSE)</t>
  </si>
  <si>
    <t>VLOOKUP($B91,RawData,AJ$4,FALSE)</t>
  </si>
  <si>
    <t>VLOOKUP($B91,RawData,AK$4,FALSE)</t>
  </si>
  <si>
    <t>VLOOKUP($B91,RawData,AL$4,FALSE)</t>
  </si>
  <si>
    <t>VLOOKUP($B91,RawData,AM$4,FALSE)</t>
  </si>
  <si>
    <t>VLOOKUP($B91,RawData,AN$4,FALSE)</t>
  </si>
  <si>
    <t>VLOOKUP($B91,RawData,AO$4,FALSE)</t>
  </si>
  <si>
    <t>VLOOKUP($B91,RawData,AP$4,FALSE)</t>
  </si>
  <si>
    <t>VLOOKUP($B91,RawData,AQ$4,FALSE)</t>
  </si>
  <si>
    <t>VLOOKUP($B91,RawData,AR$4,FALSE)</t>
  </si>
  <si>
    <t>VLOOKUP($B91,RawData,AS$4,FALSE)</t>
  </si>
  <si>
    <t>VLOOKUP($B91,RawData,AT$4,FALSE)</t>
  </si>
  <si>
    <t>VLOOKUP($B91,RawData,AU$4,FALSE)</t>
  </si>
  <si>
    <t>VLOOKUP($B91,RawData,AV$4,FALSE)</t>
  </si>
  <si>
    <t>VLOOKUP($B91,RawData,AW$4,FALSE)</t>
  </si>
  <si>
    <t>VLOOKUP($B91,RawData,AX$4,FALSE)</t>
  </si>
  <si>
    <t>VLOOKUP($B91,RawData,AY$4,FALSE)</t>
  </si>
  <si>
    <t>VLOOKUP($B91,RawData,AZ$4,FALSE)</t>
  </si>
  <si>
    <t>VLOOKUP($B91,RawData,BA$4,FALSE)</t>
  </si>
  <si>
    <t>VLOOKUP($B91,RawData,BB$4,FALSE)</t>
  </si>
  <si>
    <t>VLOOKUP($B91,RawData,BC$4,FALSE)</t>
  </si>
  <si>
    <t>VLOOKUP($B91,RawData,BD$4,FALSE)</t>
  </si>
  <si>
    <t>VLOOKUP($B91,RawData,BE$4,FALSE)</t>
  </si>
  <si>
    <t>VLOOKUP($B91,RawData,BF$4,FALSE)</t>
  </si>
  <si>
    <t>VLOOKUP($B91,RawData,BG$4,FALSE)</t>
  </si>
  <si>
    <t>VLOOKUP($B91,RawData,BH$4,FALSE)</t>
  </si>
  <si>
    <t>VLOOKUP($B91,RawData,BI$4,FALSE)</t>
  </si>
  <si>
    <t>VLOOKUP($B91,RawData,BJ$4,FALSE)</t>
  </si>
  <si>
    <t>VLOOKUP($B91,RawData,BK$4,FALSE)</t>
  </si>
  <si>
    <t>VLOOKUP($B91,RawData,BL$4,FALSE)</t>
  </si>
  <si>
    <t>VLOOKUP($B91,RawData,MATCH("BOILER",RawDataHeadings,0),FALSE)</t>
  </si>
  <si>
    <t>SUM(VLOOKUP($B91,RawData,MATCH("HEATPUMP",RawDataHeadings,0),FALSE),VLOOKUP($B91,RawData,MATCH("CHEMHEAT",RawDataHeadings,0),FALSE))</t>
  </si>
  <si>
    <t>VLOOKUP($B92,RawData,E$4,FALSE)</t>
  </si>
  <si>
    <t>VLOOKUP($B92,RawData,F$4,FALSE)</t>
  </si>
  <si>
    <t>VLOOKUP($B92,RawData,G$4,FALSE)</t>
  </si>
  <si>
    <t>VLOOKUP($B92,RawData,H$4,FALSE)</t>
  </si>
  <si>
    <t>VLOOKUP($B92,RawData,I$4,FALSE)</t>
  </si>
  <si>
    <t>VLOOKUP($B92,RawData,J$4,FALSE)</t>
  </si>
  <si>
    <t>VLOOKUP($B92,RawData,K$4,FALSE)</t>
  </si>
  <si>
    <t>VLOOKUP($B92,RawData,L$4,FALSE)</t>
  </si>
  <si>
    <t>VLOOKUP($B92,RawData,M$4,FALSE)</t>
  </si>
  <si>
    <t>VLOOKUP($B92,RawData,N$4,FALSE)</t>
  </si>
  <si>
    <t>VLOOKUP($B92,RawData,O$4,FALSE)</t>
  </si>
  <si>
    <t>VLOOKUP($B92,RawData,P$4,FALSE)</t>
  </si>
  <si>
    <t>VLOOKUP($B92,RawData,Q$4,FALSE)</t>
  </si>
  <si>
    <t>VLOOKUP($B92,RawData,R$4,FALSE)</t>
  </si>
  <si>
    <t>VLOOKUP($B92,RawData,S$4,FALSE)</t>
  </si>
  <si>
    <t>VLOOKUP($B92,RawData,T$4,FALSE)</t>
  </si>
  <si>
    <t>VLOOKUP($B92,RawData,U$4,FALSE)</t>
  </si>
  <si>
    <t>VLOOKUP($B92,RawData,V$4,FALSE)</t>
  </si>
  <si>
    <t>VLOOKUP($B92,RawData,W$4,FALSE)</t>
  </si>
  <si>
    <t>VLOOKUP($B92,RawData,X$4,FALSE)</t>
  </si>
  <si>
    <t>VLOOKUP($B92,RawData,Y$4,FALSE)</t>
  </si>
  <si>
    <t>VLOOKUP($B92,RawData,Z$4,FALSE)</t>
  </si>
  <si>
    <t>VLOOKUP($B92,RawData,AA$4,FALSE)</t>
  </si>
  <si>
    <t>VLOOKUP($B92,RawData,AB$4,FALSE)</t>
  </si>
  <si>
    <t>VLOOKUP($B92,RawData,AC$4,FALSE)</t>
  </si>
  <si>
    <t>VLOOKUP($B92,RawData,AD$4,FALSE)</t>
  </si>
  <si>
    <t>VLOOKUP($B92,RawData,AE$4,FALSE)</t>
  </si>
  <si>
    <t>VLOOKUP($B92,RawData,AF$4,FALSE)</t>
  </si>
  <si>
    <t>VLOOKUP($B92,RawData,AG$4,FALSE)</t>
  </si>
  <si>
    <t>VLOOKUP($B92,RawData,AH$4,FALSE)</t>
  </si>
  <si>
    <t>VLOOKUP($B92,RawData,AI$4,FALSE)</t>
  </si>
  <si>
    <t>VLOOKUP($B92,RawData,AJ$4,FALSE)</t>
  </si>
  <si>
    <t>VLOOKUP($B92,RawData,AK$4,FALSE)</t>
  </si>
  <si>
    <t>VLOOKUP($B92,RawData,AL$4,FALSE)</t>
  </si>
  <si>
    <t>VLOOKUP($B92,RawData,AM$4,FALSE)</t>
  </si>
  <si>
    <t>VLOOKUP($B92,RawData,AN$4,FALSE)</t>
  </si>
  <si>
    <t>VLOOKUP($B92,RawData,AO$4,FALSE)</t>
  </si>
  <si>
    <t>VLOOKUP($B92,RawData,AP$4,FALSE)</t>
  </si>
  <si>
    <t>VLOOKUP($B92,RawData,AQ$4,FALSE)</t>
  </si>
  <si>
    <t>VLOOKUP($B92,RawData,AR$4,FALSE)</t>
  </si>
  <si>
    <t>VLOOKUP($B92,RawData,AS$4,FALSE)</t>
  </si>
  <si>
    <t>VLOOKUP($B92,RawData,AT$4,FALSE)</t>
  </si>
  <si>
    <t>VLOOKUP($B92,RawData,AU$4,FALSE)</t>
  </si>
  <si>
    <t>VLOOKUP($B92,RawData,AV$4,FALSE)</t>
  </si>
  <si>
    <t>VLOOKUP($B92,RawData,AW$4,FALSE)</t>
  </si>
  <si>
    <t>VLOOKUP($B92,RawData,AX$4,FALSE)</t>
  </si>
  <si>
    <t>VLOOKUP($B92,RawData,AY$4,FALSE)</t>
  </si>
  <si>
    <t>VLOOKUP($B92,RawData,AZ$4,FALSE)</t>
  </si>
  <si>
    <t>VLOOKUP($B92,RawData,BA$4,FALSE)</t>
  </si>
  <si>
    <t>VLOOKUP($B92,RawData,BB$4,FALSE)</t>
  </si>
  <si>
    <t>VLOOKUP($B92,RawData,BC$4,FALSE)</t>
  </si>
  <si>
    <t>VLOOKUP($B92,RawData,BD$4,FALSE)</t>
  </si>
  <si>
    <t>VLOOKUP($B92,RawData,BE$4,FALSE)</t>
  </si>
  <si>
    <t>VLOOKUP($B92,RawData,BF$4,FALSE)</t>
  </si>
  <si>
    <t>VLOOKUP($B92,RawData,BG$4,FALSE)</t>
  </si>
  <si>
    <t>VLOOKUP($B92,RawData,BH$4,FALSE)</t>
  </si>
  <si>
    <t>VLOOKUP($B92,RawData,BI$4,FALSE)</t>
  </si>
  <si>
    <t>VLOOKUP($B92,RawData,BJ$4,FALSE)</t>
  </si>
  <si>
    <t>VLOOKUP($B92,RawData,BK$4,FALSE)</t>
  </si>
  <si>
    <t>VLOOKUP($B92,RawData,BL$4,FALSE)</t>
  </si>
  <si>
    <t>VLOOKUP($B92,RawData,MATCH("BOILER",RawDataHeadings,0),FALSE)</t>
  </si>
  <si>
    <t>SUM(VLOOKUP($B92,RawData,MATCH("HEATPUMP",RawDataHeadings,0),FALSE),VLOOKUP($B92,RawData,MATCH("CHEMHEAT",RawDataHeadings,0),FALSE))</t>
  </si>
  <si>
    <t>VLOOKUP($B93,RawData,E$4,FALSE)</t>
  </si>
  <si>
    <t>VLOOKUP($B93,RawData,F$4,FALSE)</t>
  </si>
  <si>
    <t>VLOOKUP($B93,RawData,G$4,FALSE)</t>
  </si>
  <si>
    <t>VLOOKUP($B93,RawData,H$4,FALSE)</t>
  </si>
  <si>
    <t>VLOOKUP($B93,RawData,I$4,FALSE)</t>
  </si>
  <si>
    <t>VLOOKUP($B93,RawData,J$4,FALSE)</t>
  </si>
  <si>
    <t>VLOOKUP($B93,RawData,K$4,FALSE)</t>
  </si>
  <si>
    <t>VLOOKUP($B93,RawData,L$4,FALSE)</t>
  </si>
  <si>
    <t>VLOOKUP($B93,RawData,M$4,FALSE)</t>
  </si>
  <si>
    <t>VLOOKUP($B93,RawData,N$4,FALSE)</t>
  </si>
  <si>
    <t>VLOOKUP($B93,RawData,O$4,FALSE)</t>
  </si>
  <si>
    <t>VLOOKUP($B93,RawData,P$4,FALSE)</t>
  </si>
  <si>
    <t>VLOOKUP($B93,RawData,Q$4,FALSE)</t>
  </si>
  <si>
    <t>VLOOKUP($B93,RawData,R$4,FALSE)</t>
  </si>
  <si>
    <t>VLOOKUP($B93,RawData,S$4,FALSE)</t>
  </si>
  <si>
    <t>VLOOKUP($B93,RawData,T$4,FALSE)</t>
  </si>
  <si>
    <t>VLOOKUP($B93,RawData,U$4,FALSE)</t>
  </si>
  <si>
    <t>VLOOKUP($B93,RawData,V$4,FALSE)</t>
  </si>
  <si>
    <t>VLOOKUP($B93,RawData,W$4,FALSE)</t>
  </si>
  <si>
    <t>VLOOKUP($B93,RawData,X$4,FALSE)</t>
  </si>
  <si>
    <t>VLOOKUP($B93,RawData,Y$4,FALSE)</t>
  </si>
  <si>
    <t>VLOOKUP($B93,RawData,Z$4,FALSE)</t>
  </si>
  <si>
    <t>VLOOKUP($B93,RawData,AA$4,FALSE)</t>
  </si>
  <si>
    <t>VLOOKUP($B93,RawData,AB$4,FALSE)</t>
  </si>
  <si>
    <t>VLOOKUP($B93,RawData,AC$4,FALSE)</t>
  </si>
  <si>
    <t>VLOOKUP($B93,RawData,AD$4,FALSE)</t>
  </si>
  <si>
    <t>VLOOKUP($B93,RawData,AE$4,FALSE)</t>
  </si>
  <si>
    <t>VLOOKUP($B93,RawData,AF$4,FALSE)</t>
  </si>
  <si>
    <t>VLOOKUP($B93,RawData,AG$4,FALSE)</t>
  </si>
  <si>
    <t>VLOOKUP($B93,RawData,AH$4,FALSE)</t>
  </si>
  <si>
    <t>VLOOKUP($B93,RawData,AI$4,FALSE)</t>
  </si>
  <si>
    <t>VLOOKUP($B93,RawData,AJ$4,FALSE)</t>
  </si>
  <si>
    <t>VLOOKUP($B93,RawData,AK$4,FALSE)</t>
  </si>
  <si>
    <t>VLOOKUP($B93,RawData,AL$4,FALSE)</t>
  </si>
  <si>
    <t>VLOOKUP($B93,RawData,AM$4,FALSE)</t>
  </si>
  <si>
    <t>VLOOKUP($B93,RawData,AN$4,FALSE)</t>
  </si>
  <si>
    <t>VLOOKUP($B93,RawData,AO$4,FALSE)</t>
  </si>
  <si>
    <t>VLOOKUP($B93,RawData,AP$4,FALSE)</t>
  </si>
  <si>
    <t>VLOOKUP($B93,RawData,AQ$4,FALSE)</t>
  </si>
  <si>
    <t>VLOOKUP($B93,RawData,AR$4,FALSE)</t>
  </si>
  <si>
    <t>VLOOKUP($B93,RawData,AS$4,FALSE)</t>
  </si>
  <si>
    <t>VLOOKUP($B93,RawData,AT$4,FALSE)</t>
  </si>
  <si>
    <t>VLOOKUP($B93,RawData,AU$4,FALSE)</t>
  </si>
  <si>
    <t>VLOOKUP($B93,RawData,AV$4,FALSE)</t>
  </si>
  <si>
    <t>VLOOKUP($B93,RawData,AW$4,FALSE)</t>
  </si>
  <si>
    <t>VLOOKUP($B93,RawData,AX$4,FALSE)</t>
  </si>
  <si>
    <t>VLOOKUP($B93,RawData,AY$4,FALSE)</t>
  </si>
  <si>
    <t>VLOOKUP($B93,RawData,AZ$4,FALSE)</t>
  </si>
  <si>
    <t>VLOOKUP($B93,RawData,BA$4,FALSE)</t>
  </si>
  <si>
    <t>VLOOKUP($B93,RawData,BB$4,FALSE)</t>
  </si>
  <si>
    <t>VLOOKUP($B93,RawData,BC$4,FALSE)</t>
  </si>
  <si>
    <t>VLOOKUP($B93,RawData,BD$4,FALSE)</t>
  </si>
  <si>
    <t>VLOOKUP($B93,RawData,BE$4,FALSE)</t>
  </si>
  <si>
    <t>VLOOKUP($B93,RawData,BF$4,FALSE)</t>
  </si>
  <si>
    <t>VLOOKUP($B93,RawData,BG$4,FALSE)</t>
  </si>
  <si>
    <t>VLOOKUP($B93,RawData,BH$4,FALSE)</t>
  </si>
  <si>
    <t>VLOOKUP($B93,RawData,BI$4,FALSE)</t>
  </si>
  <si>
    <t>VLOOKUP($B93,RawData,BJ$4,FALSE)</t>
  </si>
  <si>
    <t>VLOOKUP($B93,RawData,BK$4,FALSE)</t>
  </si>
  <si>
    <t>VLOOKUP($B93,RawData,BL$4,FALSE)</t>
  </si>
  <si>
    <t>VLOOKUP($B93,RawData,MATCH("BOILER",RawDataHeadings,0),FALSE)</t>
  </si>
  <si>
    <t>SUM(VLOOKUP($B93,RawData,MATCH("HEATPUMP",RawDataHeadings,0),FALSE),VLOOKUP($B93,RawData,MATCH("CHEMHEAT",RawDataHeadings,0),FALSE))</t>
  </si>
  <si>
    <t>VLOOKUP($B93,RawData,BO$4,FALSE)</t>
  </si>
  <si>
    <t>VLOOKUP($B94,RawData,E$4,FALSE)</t>
  </si>
  <si>
    <t>VLOOKUP($B94,RawData,F$4,FALSE)</t>
  </si>
  <si>
    <t>VLOOKUP($B94,RawData,G$4,FALSE)</t>
  </si>
  <si>
    <t>VLOOKUP($B94,RawData,H$4,FALSE)</t>
  </si>
  <si>
    <t>VLOOKUP($B94,RawData,I$4,FALSE)</t>
  </si>
  <si>
    <t>VLOOKUP($B94,RawData,J$4,FALSE)</t>
  </si>
  <si>
    <t>VLOOKUP($B94,RawData,K$4,FALSE)</t>
  </si>
  <si>
    <t>VLOOKUP($B94,RawData,L$4,FALSE)</t>
  </si>
  <si>
    <t>VLOOKUP($B94,RawData,M$4,FALSE)</t>
  </si>
  <si>
    <t>VLOOKUP($B94,RawData,N$4,FALSE)</t>
  </si>
  <si>
    <t>VLOOKUP($B94,RawData,O$4,FALSE)</t>
  </si>
  <si>
    <t>VLOOKUP($B94,RawData,P$4,FALSE)</t>
  </si>
  <si>
    <t>VLOOKUP($B94,RawData,Q$4,FALSE)</t>
  </si>
  <si>
    <t>VLOOKUP($B94,RawData,R$4,FALSE)</t>
  </si>
  <si>
    <t>VLOOKUP($B94,RawData,S$4,FALSE)</t>
  </si>
  <si>
    <t>VLOOKUP($B94,RawData,T$4,FALSE)</t>
  </si>
  <si>
    <t>VLOOKUP($B94,RawData,U$4,FALSE)</t>
  </si>
  <si>
    <t>VLOOKUP($B94,RawData,V$4,FALSE)</t>
  </si>
  <si>
    <t>VLOOKUP($B94,RawData,W$4,FALSE)</t>
  </si>
  <si>
    <t>VLOOKUP($B94,RawData,X$4,FALSE)</t>
  </si>
  <si>
    <t>VLOOKUP($B94,RawData,Y$4,FALSE)</t>
  </si>
  <si>
    <t>VLOOKUP($B94,RawData,Z$4,FALSE)</t>
  </si>
  <si>
    <t>VLOOKUP($B94,RawData,AA$4,FALSE)</t>
  </si>
  <si>
    <t>VLOOKUP($B94,RawData,AB$4,FALSE)</t>
  </si>
  <si>
    <t>VLOOKUP($B94,RawData,AC$4,FALSE)</t>
  </si>
  <si>
    <t>VLOOKUP($B94,RawData,AD$4,FALSE)</t>
  </si>
  <si>
    <t>VLOOKUP($B94,RawData,AE$4,FALSE)</t>
  </si>
  <si>
    <t>VLOOKUP($B94,RawData,AF$4,FALSE)</t>
  </si>
  <si>
    <t>VLOOKUP($B94,RawData,AG$4,FALSE)</t>
  </si>
  <si>
    <t>VLOOKUP($B94,RawData,AH$4,FALSE)</t>
  </si>
  <si>
    <t>VLOOKUP($B94,RawData,AI$4,FALSE)</t>
  </si>
  <si>
    <t>VLOOKUP($B94,RawData,AJ$4,FALSE)</t>
  </si>
  <si>
    <t>VLOOKUP($B94,RawData,AK$4,FALSE)</t>
  </si>
  <si>
    <t>VLOOKUP($B94,RawData,AL$4,FALSE)</t>
  </si>
  <si>
    <t>VLOOKUP($B94,RawData,AM$4,FALSE)</t>
  </si>
  <si>
    <t>VLOOKUP($B94,RawData,AN$4,FALSE)</t>
  </si>
  <si>
    <t>VLOOKUP($B94,RawData,AO$4,FALSE)</t>
  </si>
  <si>
    <t>VLOOKUP($B94,RawData,AP$4,FALSE)</t>
  </si>
  <si>
    <t>VLOOKUP($B94,RawData,AQ$4,FALSE)</t>
  </si>
  <si>
    <t>VLOOKUP($B94,RawData,AR$4,FALSE)</t>
  </si>
  <si>
    <t>VLOOKUP($B94,RawData,AS$4,FALSE)</t>
  </si>
  <si>
    <t>VLOOKUP($B94,RawData,AT$4,FALSE)</t>
  </si>
  <si>
    <t>VLOOKUP($B94,RawData,AU$4,FALSE)</t>
  </si>
  <si>
    <t>VLOOKUP($B94,RawData,AV$4,FALSE)</t>
  </si>
  <si>
    <t>VLOOKUP($B94,RawData,AW$4,FALSE)</t>
  </si>
  <si>
    <t>VLOOKUP($B94,RawData,AX$4,FALSE)</t>
  </si>
  <si>
    <t>VLOOKUP($B94,RawData,AY$4,FALSE)</t>
  </si>
  <si>
    <t>VLOOKUP($B94,RawData,AZ$4,FALSE)</t>
  </si>
  <si>
    <t>VLOOKUP($B94,RawData,BA$4,FALSE)</t>
  </si>
  <si>
    <t>VLOOKUP($B94,RawData,BB$4,FALSE)</t>
  </si>
  <si>
    <t>VLOOKUP($B94,RawData,BC$4,FALSE)</t>
  </si>
  <si>
    <t>VLOOKUP($B94,RawData,BD$4,FALSE)</t>
  </si>
  <si>
    <t>VLOOKUP($B94,RawData,BE$4,FALSE)</t>
  </si>
  <si>
    <t>VLOOKUP($B94,RawData,BF$4,FALSE)</t>
  </si>
  <si>
    <t>VLOOKUP($B94,RawData,BG$4,FALSE)</t>
  </si>
  <si>
    <t>VLOOKUP($B94,RawData,BH$4,FALSE)</t>
  </si>
  <si>
    <t>VLOOKUP($B94,RawData,BI$4,FALSE)</t>
  </si>
  <si>
    <t>VLOOKUP($B94,RawData,BJ$4,FALSE)</t>
  </si>
  <si>
    <t>VLOOKUP($B94,RawData,BK$4,FALSE)</t>
  </si>
  <si>
    <t>VLOOKUP($B94,RawData,BL$4,FALSE)</t>
  </si>
  <si>
    <t>VLOOKUP($B94,RawData,MATCH("BOILER",RawDataHeadings,0),FALSE)</t>
  </si>
  <si>
    <t>SUM(VLOOKUP($B94,RawData,MATCH("HEATPUMP",RawDataHeadings,0),FALSE),VLOOKUP($B94,RawData,MATCH("CHEMHEAT",RawDataHeadings,0),FALSE))</t>
  </si>
  <si>
    <t>VLOOKUP($B94,RawData,BO$4,FALSE)</t>
  </si>
  <si>
    <t>VLOOKUP($B95,RawData,E$4,FALSE)</t>
  </si>
  <si>
    <t>VLOOKUP($B95,RawData,F$4,FALSE)</t>
  </si>
  <si>
    <t>VLOOKUP($B95,RawData,G$4,FALSE)</t>
  </si>
  <si>
    <t>VLOOKUP($B95,RawData,H$4,FALSE)</t>
  </si>
  <si>
    <t>VLOOKUP($B95,RawData,I$4,FALSE)</t>
  </si>
  <si>
    <t>VLOOKUP($B95,RawData,J$4,FALSE)</t>
  </si>
  <si>
    <t>VLOOKUP($B95,RawData,K$4,FALSE)</t>
  </si>
  <si>
    <t>VLOOKUP($B95,RawData,L$4,FALSE)</t>
  </si>
  <si>
    <t>VLOOKUP($B95,RawData,M$4,FALSE)</t>
  </si>
  <si>
    <t>VLOOKUP($B95,RawData,N$4,FALSE)</t>
  </si>
  <si>
    <t>VLOOKUP($B95,RawData,O$4,FALSE)</t>
  </si>
  <si>
    <t>VLOOKUP($B95,RawData,P$4,FALSE)</t>
  </si>
  <si>
    <t>VLOOKUP($B95,RawData,Q$4,FALSE)</t>
  </si>
  <si>
    <t>VLOOKUP($B95,RawData,R$4,FALSE)</t>
  </si>
  <si>
    <t>VLOOKUP($B95,RawData,S$4,FALSE)</t>
  </si>
  <si>
    <t>VLOOKUP($B95,RawData,T$4,FALSE)</t>
  </si>
  <si>
    <t>VLOOKUP($B95,RawData,U$4,FALSE)</t>
  </si>
  <si>
    <t>VLOOKUP($B95,RawData,V$4,FALSE)</t>
  </si>
  <si>
    <t>VLOOKUP($B95,RawData,W$4,FALSE)</t>
  </si>
  <si>
    <t>VLOOKUP($B95,RawData,X$4,FALSE)</t>
  </si>
  <si>
    <t>VLOOKUP($B95,RawData,Y$4,FALSE)</t>
  </si>
  <si>
    <t>VLOOKUP($B95,RawData,Z$4,FALSE)</t>
  </si>
  <si>
    <t>VLOOKUP($B95,RawData,AA$4,FALSE)</t>
  </si>
  <si>
    <t>VLOOKUP($B95,RawData,AB$4,FALSE)</t>
  </si>
  <si>
    <t>VLOOKUP($B95,RawData,AC$4,FALSE)</t>
  </si>
  <si>
    <t>VLOOKUP($B95,RawData,AD$4,FALSE)</t>
  </si>
  <si>
    <t>VLOOKUP($B95,RawData,AE$4,FALSE)</t>
  </si>
  <si>
    <t>VLOOKUP($B95,RawData,AF$4,FALSE)</t>
  </si>
  <si>
    <t>VLOOKUP($B95,RawData,AG$4,FALSE)</t>
  </si>
  <si>
    <t>VLOOKUP($B95,RawData,AH$4,FALSE)</t>
  </si>
  <si>
    <t>VLOOKUP($B95,RawData,AI$4,FALSE)</t>
  </si>
  <si>
    <t>VLOOKUP($B95,RawData,AJ$4,FALSE)</t>
  </si>
  <si>
    <t>VLOOKUP($B95,RawData,AK$4,FALSE)</t>
  </si>
  <si>
    <t>VLOOKUP($B95,RawData,AL$4,FALSE)</t>
  </si>
  <si>
    <t>VLOOKUP($B95,RawData,AM$4,FALSE)</t>
  </si>
  <si>
    <t>VLOOKUP($B95,RawData,AN$4,FALSE)</t>
  </si>
  <si>
    <t>VLOOKUP($B95,RawData,AO$4,FALSE)</t>
  </si>
  <si>
    <t>VLOOKUP($B95,RawData,AP$4,FALSE)</t>
  </si>
  <si>
    <t>VLOOKUP($B95,RawData,AQ$4,FALSE)</t>
  </si>
  <si>
    <t>VLOOKUP($B95,RawData,AR$4,FALSE)</t>
  </si>
  <si>
    <t>VLOOKUP($B95,RawData,AS$4,FALSE)</t>
  </si>
  <si>
    <t>VLOOKUP($B95,RawData,AT$4,FALSE)</t>
  </si>
  <si>
    <t>VLOOKUP($B95,RawData,AU$4,FALSE)</t>
  </si>
  <si>
    <t>VLOOKUP($B95,RawData,AV$4,FALSE)</t>
  </si>
  <si>
    <t>VLOOKUP($B95,RawData,AW$4,FALSE)</t>
  </si>
  <si>
    <t>VLOOKUP($B95,RawData,AX$4,FALSE)</t>
  </si>
  <si>
    <t>VLOOKUP($B95,RawData,AY$4,FALSE)</t>
  </si>
  <si>
    <t>VLOOKUP($B95,RawData,AZ$4,FALSE)</t>
  </si>
  <si>
    <t>VLOOKUP($B95,RawData,BA$4,FALSE)</t>
  </si>
  <si>
    <t>VLOOKUP($B95,RawData,BB$4,FALSE)</t>
  </si>
  <si>
    <t>VLOOKUP($B95,RawData,BC$4,FALSE)</t>
  </si>
  <si>
    <t>VLOOKUP($B95,RawData,BD$4,FALSE)</t>
  </si>
  <si>
    <t>VLOOKUP($B95,RawData,BE$4,FALSE)</t>
  </si>
  <si>
    <t>VLOOKUP($B95,RawData,BF$4,FALSE)</t>
  </si>
  <si>
    <t>VLOOKUP($B95,RawData,BG$4,FALSE)</t>
  </si>
  <si>
    <t>VLOOKUP($B95,RawData,BH$4,FALSE)</t>
  </si>
  <si>
    <t>VLOOKUP($B95,RawData,BI$4,FALSE)</t>
  </si>
  <si>
    <t>VLOOKUP($B95,RawData,BJ$4,FALSE)</t>
  </si>
  <si>
    <t>VLOOKUP($B95,RawData,BK$4,FALSE)</t>
  </si>
  <si>
    <t>VLOOKUP($B95,RawData,BL$4,FALSE)</t>
  </si>
  <si>
    <t>VLOOKUP($B95,RawData,MATCH("BOILER",RawDataHeadings,0),FALSE)</t>
  </si>
  <si>
    <t>SUM(VLOOKUP($B95,RawData,MATCH("HEATPUMP",RawDataHeadings,0),FALSE),VLOOKUP($B95,RawData,MATCH("CHEMHEAT",RawDataHeadings,0),FALSE))</t>
  </si>
  <si>
    <t>VLOOKUP($B95,RawData,BO$4,FALSE)</t>
  </si>
  <si>
    <t>VLOOKUP($B96,RawData,E$4,FALSE)</t>
  </si>
  <si>
    <t>VLOOKUP($B96,RawData,F$4,FALSE)</t>
  </si>
  <si>
    <t>VLOOKUP($B96,RawData,G$4,FALSE)</t>
  </si>
  <si>
    <t>VLOOKUP($B96,RawData,H$4,FALSE)</t>
  </si>
  <si>
    <t>VLOOKUP($B96,RawData,I$4,FALSE)</t>
  </si>
  <si>
    <t>VLOOKUP($B96,RawData,J$4,FALSE)</t>
  </si>
  <si>
    <t>VLOOKUP($B96,RawData,K$4,FALSE)</t>
  </si>
  <si>
    <t>VLOOKUP($B96,RawData,L$4,FALSE)</t>
  </si>
  <si>
    <t>VLOOKUP($B96,RawData,M$4,FALSE)</t>
  </si>
  <si>
    <t>VLOOKUP($B96,RawData,N$4,FALSE)</t>
  </si>
  <si>
    <t>VLOOKUP($B96,RawData,O$4,FALSE)</t>
  </si>
  <si>
    <t>VLOOKUP($B96,RawData,P$4,FALSE)</t>
  </si>
  <si>
    <t>VLOOKUP($B96,RawData,Q$4,FALSE)</t>
  </si>
  <si>
    <t>VLOOKUP($B96,RawData,R$4,FALSE)</t>
  </si>
  <si>
    <t>VLOOKUP($B96,RawData,S$4,FALSE)</t>
  </si>
  <si>
    <t>VLOOKUP($B96,RawData,T$4,FALSE)</t>
  </si>
  <si>
    <t>VLOOKUP($B96,RawData,U$4,FALSE)</t>
  </si>
  <si>
    <t>VLOOKUP($B96,RawData,V$4,FALSE)</t>
  </si>
  <si>
    <t>VLOOKUP($B96,RawData,W$4,FALSE)</t>
  </si>
  <si>
    <t>VLOOKUP($B96,RawData,X$4,FALSE)</t>
  </si>
  <si>
    <t>VLOOKUP($B96,RawData,Y$4,FALSE)</t>
  </si>
  <si>
    <t>VLOOKUP($B96,RawData,Z$4,FALSE)</t>
  </si>
  <si>
    <t>VLOOKUP($B96,RawData,AA$4,FALSE)</t>
  </si>
  <si>
    <t>VLOOKUP($B96,RawData,AB$4,FALSE)</t>
  </si>
  <si>
    <t>VLOOKUP($B96,RawData,AC$4,FALSE)</t>
  </si>
  <si>
    <t>VLOOKUP($B96,RawData,AD$4,FALSE)</t>
  </si>
  <si>
    <t>VLOOKUP($B96,RawData,AE$4,FALSE)</t>
  </si>
  <si>
    <t>VLOOKUP($B96,RawData,AF$4,FALSE)</t>
  </si>
  <si>
    <t>VLOOKUP($B96,RawData,AG$4,FALSE)</t>
  </si>
  <si>
    <t>VLOOKUP($B96,RawData,AH$4,FALSE)</t>
  </si>
  <si>
    <t>VLOOKUP($B96,RawData,AI$4,FALSE)</t>
  </si>
  <si>
    <t>VLOOKUP($B96,RawData,AJ$4,FALSE)</t>
  </si>
  <si>
    <t>VLOOKUP($B96,RawData,AK$4,FALSE)</t>
  </si>
  <si>
    <t>VLOOKUP($B96,RawData,AL$4,FALSE)</t>
  </si>
  <si>
    <t>VLOOKUP($B96,RawData,AM$4,FALSE)</t>
  </si>
  <si>
    <t>VLOOKUP($B96,RawData,AN$4,FALSE)</t>
  </si>
  <si>
    <t>VLOOKUP($B96,RawData,AO$4,FALSE)</t>
  </si>
  <si>
    <t>VLOOKUP($B96,RawData,AP$4,FALSE)</t>
  </si>
  <si>
    <t>VLOOKUP($B96,RawData,AQ$4,FALSE)</t>
  </si>
  <si>
    <t>VLOOKUP($B96,RawData,AR$4,FALSE)</t>
  </si>
  <si>
    <t>VLOOKUP($B96,RawData,AS$4,FALSE)</t>
  </si>
  <si>
    <t>VLOOKUP($B96,RawData,AT$4,FALSE)</t>
  </si>
  <si>
    <t>VLOOKUP($B96,RawData,AU$4,FALSE)</t>
  </si>
  <si>
    <t>VLOOKUP($B96,RawData,AV$4,FALSE)</t>
  </si>
  <si>
    <t>VLOOKUP($B96,RawData,AW$4,FALSE)</t>
  </si>
  <si>
    <t>VLOOKUP($B96,RawData,AX$4,FALSE)</t>
  </si>
  <si>
    <t>VLOOKUP($B96,RawData,AY$4,FALSE)</t>
  </si>
  <si>
    <t>VLOOKUP($B96,RawData,AZ$4,FALSE)</t>
  </si>
  <si>
    <t>VLOOKUP($B96,RawData,BA$4,FALSE)</t>
  </si>
  <si>
    <t>VLOOKUP($B96,RawData,BB$4,FALSE)</t>
  </si>
  <si>
    <t>VLOOKUP($B96,RawData,BC$4,FALSE)</t>
  </si>
  <si>
    <t>VLOOKUP($B96,RawData,BD$4,FALSE)</t>
  </si>
  <si>
    <t>VLOOKUP($B96,RawData,BE$4,FALSE)</t>
  </si>
  <si>
    <t>VLOOKUP($B96,RawData,BF$4,FALSE)</t>
  </si>
  <si>
    <t>VLOOKUP($B96,RawData,BG$4,FALSE)</t>
  </si>
  <si>
    <t>VLOOKUP($B96,RawData,BH$4,FALSE)</t>
  </si>
  <si>
    <t>VLOOKUP($B96,RawData,BI$4,FALSE)</t>
  </si>
  <si>
    <t>VLOOKUP($B96,RawData,BJ$4,FALSE)</t>
  </si>
  <si>
    <t>VLOOKUP($B96,RawData,BK$4,FALSE)</t>
  </si>
  <si>
    <t>VLOOKUP($B96,RawData,BL$4,FALSE)</t>
  </si>
  <si>
    <t>VLOOKUP($B96,RawData,MATCH("BOILER",RawDataHeadings,0),FALSE)</t>
  </si>
  <si>
    <t>SUM(VLOOKUP($B96,RawData,MATCH("HEATPUMP",RawDataHeadings,0),FALSE),VLOOKUP($B96,RawData,MATCH("CHEMHEAT",RawDataHeadings,0),FALSE))</t>
  </si>
  <si>
    <t>VLOOKUP($B96,RawData,BO$4,FALSE)</t>
  </si>
  <si>
    <t>SUM(E93:E96)</t>
  </si>
  <si>
    <t>SUM(F93:F96)</t>
  </si>
  <si>
    <t>SUM(G93:G96)</t>
  </si>
  <si>
    <t>SUM(H93:H96)</t>
  </si>
  <si>
    <t>SUM(I93:I96)</t>
  </si>
  <si>
    <t>SUM(J93:J96)</t>
  </si>
  <si>
    <t>SUM(K93:K96)</t>
  </si>
  <si>
    <t>SUM(L93:L96)</t>
  </si>
  <si>
    <t>SUM(M93:M96)</t>
  </si>
  <si>
    <t>SUM(N93:N96)</t>
  </si>
  <si>
    <t>SUM(O93:O96)</t>
  </si>
  <si>
    <t>SUM(P93:P96)</t>
  </si>
  <si>
    <t>SUM(Q93:Q96)</t>
  </si>
  <si>
    <t>SUM(R93:R96)</t>
  </si>
  <si>
    <t>SUM(S93:S96)</t>
  </si>
  <si>
    <t>SUM(T93:T96)</t>
  </si>
  <si>
    <t>SUM(U93:U96)</t>
  </si>
  <si>
    <t>SUM(V93:V96)</t>
  </si>
  <si>
    <t>SUM(W93:W96)</t>
  </si>
  <si>
    <t>SUM(X93:X96)</t>
  </si>
  <si>
    <t>SUM(Y93:Y96)</t>
  </si>
  <si>
    <t>SUM(Z93:Z96)</t>
  </si>
  <si>
    <t>SUM(AA93:AA96)</t>
  </si>
  <si>
    <t>SUM(AB93:AB96)</t>
  </si>
  <si>
    <t>SUM(AC93:AC96)</t>
  </si>
  <si>
    <t>SUM(AD93:AD96)</t>
  </si>
  <si>
    <t>SUM(AE93:AE96)</t>
  </si>
  <si>
    <t>SUM(AF93:AF96)</t>
  </si>
  <si>
    <t>SUM(AG93:AG96)</t>
  </si>
  <si>
    <t>SUM(AH93:AH96)</t>
  </si>
  <si>
    <t>SUM(AI93:AI96)</t>
  </si>
  <si>
    <t>SUM(AJ93:AJ96)</t>
  </si>
  <si>
    <t>SUM(AK93:AK96)</t>
  </si>
  <si>
    <t>SUM(AL93:AL96)</t>
  </si>
  <si>
    <t>SUM(AM93:AM96)</t>
  </si>
  <si>
    <t>SUM(AN93:AN96)</t>
  </si>
  <si>
    <t>SUM(AO93:AO96)</t>
  </si>
  <si>
    <t>SUM(AP93:AP96)</t>
  </si>
  <si>
    <t>SUM(AQ93:AQ96)</t>
  </si>
  <si>
    <t>SUM(AR93:AR96)</t>
  </si>
  <si>
    <t>SUM(AS93:AS96)</t>
  </si>
  <si>
    <t>SUM(AT93:AT96)</t>
  </si>
  <si>
    <t>SUM(AU93:AU96)</t>
  </si>
  <si>
    <t>SUM(AV93:AV96)</t>
  </si>
  <si>
    <t>SUM(AW93:AW96)</t>
  </si>
  <si>
    <t>SUM(AX93:AX96)</t>
  </si>
  <si>
    <t>SUM(AY93:AY96)</t>
  </si>
  <si>
    <t>SUM(AZ93:AZ96)</t>
  </si>
  <si>
    <t>SUM(BA93:BA96)</t>
  </si>
  <si>
    <t>SUM(BB93:BB96)</t>
  </si>
  <si>
    <t>SUM(BC93:BC96)</t>
  </si>
  <si>
    <t>SUM(BD93:BD96)</t>
  </si>
  <si>
    <t>SUM(BE93:BE96)</t>
  </si>
  <si>
    <t>SUM(BF93:BF96)</t>
  </si>
  <si>
    <t>SUM(BG93:BG96)</t>
  </si>
  <si>
    <t>SUM(BH93:BH96)</t>
  </si>
  <si>
    <t>SUM(BI93:BI96)</t>
  </si>
  <si>
    <t>SUM(BJ93:BJ96)</t>
  </si>
  <si>
    <t>SUM(BK93:BK96)</t>
  </si>
  <si>
    <t>SUM(BL93:BL96)</t>
  </si>
  <si>
    <t>SUM(BM93:BM96)</t>
  </si>
  <si>
    <t>SUM(BN93:BN96)</t>
  </si>
  <si>
    <t>SUM(BO93:BO96)</t>
  </si>
  <si>
    <t>Net Calorific Values (kJ/kg)</t>
  </si>
  <si>
    <t>Other Sources</t>
  </si>
  <si>
    <t>Coke Ovens</t>
  </si>
  <si>
    <t>Blast Furnaces</t>
  </si>
  <si>
    <t>Main Activity Producers</t>
  </si>
  <si>
    <t>Autoproducer Elect. Plants</t>
  </si>
  <si>
    <t>Main Activity CHP Plants</t>
  </si>
  <si>
    <t>Autoproducer CHP Plants</t>
  </si>
  <si>
    <t>Main Activity Heat Plants</t>
  </si>
  <si>
    <t>Autoproducer Heat Plants</t>
  </si>
  <si>
    <t xml:space="preserve">Other Uses  </t>
  </si>
  <si>
    <t>Coking Coal</t>
  </si>
  <si>
    <t>Other Bituminous Coal</t>
  </si>
  <si>
    <t>Sub+Bituminous Coal</t>
  </si>
  <si>
    <t>Lignite/Brown Coal</t>
  </si>
  <si>
    <t>Patent Fuel</t>
  </si>
  <si>
    <t>Coke Oven Coke</t>
  </si>
  <si>
    <t>Gas Coke</t>
  </si>
  <si>
    <t>Coal Tar</t>
  </si>
  <si>
    <t>BKB/Peat Briquettes</t>
  </si>
  <si>
    <t>Peat Products</t>
  </si>
  <si>
    <t>Oilshale and Oil Sands</t>
  </si>
  <si>
    <t>Crude Oil</t>
  </si>
  <si>
    <t>Natural Gas Liquids</t>
  </si>
  <si>
    <t>Refinery Feedstocks</t>
  </si>
  <si>
    <t>Additives/Blending Comp</t>
  </si>
  <si>
    <t>Other Hydrocarbons</t>
  </si>
  <si>
    <t>See the table below (starting row 100) for selecting the appropriate calorific values for oil products!</t>
  </si>
  <si>
    <t xml:space="preserve">Biogasoline                     </t>
  </si>
  <si>
    <t>Bio Jet Kerosene</t>
  </si>
  <si>
    <t xml:space="preserve">Biodiesels                      </t>
  </si>
  <si>
    <t xml:space="preserve">Other Liquid Biofuels           </t>
  </si>
  <si>
    <t xml:space="preserve">Charcoal                        </t>
  </si>
  <si>
    <t>Country allocation by regions (sort alphabetically):</t>
  </si>
  <si>
    <t>Former Yugoslav Republic of Macedonia</t>
  </si>
  <si>
    <t>Coal (kt)</t>
  </si>
  <si>
    <t>Coal Gases (TJ gross)</t>
  </si>
  <si>
    <t>Peat
(kt)</t>
  </si>
  <si>
    <t>Peat Products (kt)</t>
  </si>
  <si>
    <t>Oilshale and Oil Sands (kt)</t>
  </si>
  <si>
    <t>Oil (kt)</t>
  </si>
  <si>
    <t>Oil products (kt)</t>
  </si>
  <si>
    <t>Natural Gas (TJ-gross)</t>
  </si>
  <si>
    <t>Biofuels and Waste</t>
  </si>
  <si>
    <t>Electricity and Heat</t>
  </si>
  <si>
    <t>Sub-Bituminous Coal</t>
  </si>
  <si>
    <t xml:space="preserve">Coke Oven Coke </t>
  </si>
  <si>
    <t xml:space="preserve">Coal Tar </t>
  </si>
  <si>
    <t>Gas Works Gas</t>
  </si>
  <si>
    <t>Coke Oven Gas</t>
  </si>
  <si>
    <t>Blast Furnace Gas</t>
  </si>
  <si>
    <t>Other Recovered Gases</t>
  </si>
  <si>
    <t>Elec/Heat Output from non-spec. Manuf. Gases</t>
  </si>
  <si>
    <t xml:space="preserve">Natural Gas Liquids </t>
  </si>
  <si>
    <t>Additives/
Blending Components</t>
  </si>
  <si>
    <t xml:space="preserve">Refinery Gas </t>
  </si>
  <si>
    <t>Liquefied Petroleum Gases (LPG)</t>
  </si>
  <si>
    <t>Motor Gasoline</t>
  </si>
  <si>
    <t>Kerosene Type Jet Fuel</t>
  </si>
  <si>
    <t>Other Kerosene</t>
  </si>
  <si>
    <t>Gas/Diesel Oil</t>
  </si>
  <si>
    <t xml:space="preserve">Fuel Oil </t>
  </si>
  <si>
    <t>White Spirit &amp; SBP</t>
  </si>
  <si>
    <t xml:space="preserve">Bitumen </t>
  </si>
  <si>
    <t xml:space="preserve">Paraffin Waxes </t>
  </si>
  <si>
    <t xml:space="preserve">Petroleum Coke </t>
  </si>
  <si>
    <t>Non-specified Oil Products</t>
  </si>
  <si>
    <t>Industrial Waste
(TJ-net)</t>
  </si>
  <si>
    <t>Municipal Waste (Renew)
(TJ-net)</t>
  </si>
  <si>
    <t>Municipal Waste
(Non-Renew)
(TJ-net)</t>
  </si>
  <si>
    <t>Primary Solid Biofuels 
(TJ-net)</t>
  </si>
  <si>
    <t>Biogases
(TJ-net)</t>
  </si>
  <si>
    <t>Biogasoline (kt)</t>
  </si>
  <si>
    <t>Bio Jet Kerosene (kt)</t>
  </si>
  <si>
    <t>Biodiesels 
(kt)</t>
  </si>
  <si>
    <t>Other Liquid Biofuels 
(kt)</t>
  </si>
  <si>
    <t>Non-specified primary B/W
(TJ-net)</t>
  </si>
  <si>
    <t>Charcoal 
(kt)</t>
  </si>
  <si>
    <t>Geothermal 
(TJ)</t>
  </si>
  <si>
    <t>Solar Photovoltaics</t>
  </si>
  <si>
    <t>Solar Thermal 
(TJ)</t>
  </si>
  <si>
    <t>Tide, Wave and Ocean</t>
  </si>
  <si>
    <t>Heat Pumps</t>
  </si>
  <si>
    <t>Electric Boilers</t>
  </si>
  <si>
    <t>Heat from Chemical Sources</t>
  </si>
  <si>
    <t>Electricity (GWh)</t>
  </si>
  <si>
    <t>Heat
(TJ)</t>
  </si>
  <si>
    <t>Heat Output from non-specified comb. fuels</t>
  </si>
  <si>
    <t>MOTORGAS</t>
  </si>
  <si>
    <t>JETKERO</t>
  </si>
  <si>
    <t>GASDIES</t>
  </si>
  <si>
    <t>From other sources - coal</t>
  </si>
  <si>
    <t>From other sources - natural gas</t>
  </si>
  <si>
    <t>From other sources - oil products</t>
  </si>
  <si>
    <t>From other sources - renewables</t>
  </si>
  <si>
    <t>From other sources - non-specified</t>
  </si>
  <si>
    <t>Main activity producer electricity plants</t>
  </si>
  <si>
    <t>Non-specified (energy)</t>
  </si>
  <si>
    <t>Food and tobacco</t>
  </si>
  <si>
    <t>Textile and leather</t>
  </si>
  <si>
    <t>Non-specified (industry)</t>
  </si>
  <si>
    <t>Elect. output in GWh</t>
  </si>
  <si>
    <t>Memo: main activity producer - pumped hydro</t>
  </si>
  <si>
    <t>Memo: autoproducer - pumped hydro</t>
  </si>
  <si>
    <t>Hide --&gt;</t>
  </si>
  <si>
    <t>&lt;-- Hide</t>
  </si>
  <si>
    <t>Flow name</t>
  </si>
  <si>
    <t>Product name</t>
  </si>
  <si>
    <t>UNOFFICIAL</t>
  </si>
  <si>
    <t>CHN</t>
  </si>
  <si>
    <t>Thousand tonnes of oil equivalent (ktoe)</t>
  </si>
  <si>
    <t>Тысяч тонн нефтяного эквивалента (1000 тнэ)</t>
  </si>
  <si>
    <t>千吨油当量</t>
  </si>
  <si>
    <t>Oil
products</t>
  </si>
  <si>
    <t>Geo-therm./
Solar/
etc.</t>
  </si>
  <si>
    <t>Biofuels/
Waste</t>
  </si>
  <si>
    <t>Electri-city</t>
  </si>
  <si>
    <t>SUPPLY AND
CONSUMPTION</t>
  </si>
  <si>
    <t>ПОСТАВКА И
ПОТРЕБЛЕНИЕ</t>
  </si>
  <si>
    <t>Уголь</t>
  </si>
  <si>
    <t>Геотерм./
солн./
т.д</t>
  </si>
  <si>
    <t>Биотопливо/
отходы</t>
  </si>
  <si>
    <t>煤炭</t>
  </si>
  <si>
    <t>水能</t>
  </si>
  <si>
    <t>地热能、太阳能、风能和其他</t>
  </si>
  <si>
    <t>Intl. marine bunkers</t>
  </si>
  <si>
    <t>Intl. aviation bunkers</t>
  </si>
  <si>
    <t>Геотермальная/
солнечная/
и т.д</t>
  </si>
  <si>
    <t>Electricity plants</t>
  </si>
  <si>
    <t>Электростанции</t>
  </si>
  <si>
    <t>热电联产厂</t>
  </si>
  <si>
    <t>CHP plants</t>
  </si>
  <si>
    <t>Тепло-электроцентрали</t>
  </si>
  <si>
    <t>热力厂</t>
  </si>
  <si>
    <t>Heat plants</t>
  </si>
  <si>
    <t>Теплоцентрали</t>
  </si>
  <si>
    <t xml:space="preserve">高炉气厂 </t>
  </si>
  <si>
    <t>Coke/pat. fuel/BKB/PB plants</t>
  </si>
  <si>
    <t>Кокс. печи/Предпр-ия по пр-ву каменноуг./буроуг. Брик./торф. брикеты</t>
  </si>
  <si>
    <t>炼焦 / 专用燃料 / 褐煤型煤厂</t>
  </si>
  <si>
    <t>Ожижение</t>
  </si>
  <si>
    <t>Other transformation</t>
  </si>
  <si>
    <t>Др. преобразование и переработка топлива</t>
  </si>
  <si>
    <t>TFC</t>
  </si>
  <si>
    <t>Paper, pulp and printing</t>
  </si>
  <si>
    <t>Non-specified</t>
  </si>
  <si>
    <t>Неспецифицированные</t>
  </si>
  <si>
    <t>Comm. and public services</t>
  </si>
  <si>
    <t>in industry/transf./energy</t>
  </si>
  <si>
    <t>of which: chem./petrochem.</t>
  </si>
  <si>
    <t>in transport</t>
  </si>
  <si>
    <t>in other</t>
  </si>
  <si>
    <t>Electr. Generated - GWh</t>
  </si>
  <si>
    <t xml:space="preserve">  发电厂</t>
  </si>
  <si>
    <t xml:space="preserve">  热电联产厂</t>
  </si>
  <si>
    <t>Heat generated - TJ</t>
  </si>
  <si>
    <t xml:space="preserve">  热力厂</t>
  </si>
  <si>
    <t>Energy balance created with IEA balance builder tool based on data provided by the user</t>
  </si>
  <si>
    <t>Энергетический баланс, созданный при помощи инструмента МЭА для построения балансов на основе предоставленных пользователем данных</t>
  </si>
  <si>
    <t>(Hide answers)</t>
  </si>
  <si>
    <t>If need for variables in the strings:</t>
  </si>
  <si>
    <t>(Show answers)</t>
  </si>
  <si>
    <t>Row</t>
  </si>
  <si>
    <t>WHAT CAN WE LEARN FROM AN ENERGY BALANCE?</t>
  </si>
  <si>
    <t>ЧТО МОЖНО ИЗУЧИТЬ ИЗ ЭНЕРГЕТИЧЕСКОГО-ТЕПЛОВОГО БАЛАНСА?</t>
  </si>
  <si>
    <t xml:space="preserve">Country: </t>
  </si>
  <si>
    <t xml:space="preserve">Страна: </t>
  </si>
  <si>
    <t xml:space="preserve">Year: </t>
  </si>
  <si>
    <t xml:space="preserve">Год: </t>
  </si>
  <si>
    <t xml:space="preserve">Source: </t>
  </si>
  <si>
    <t xml:space="preserve">источник: </t>
  </si>
  <si>
    <t>Answers</t>
  </si>
  <si>
    <t>A)</t>
  </si>
  <si>
    <t>What is the total energy demand of this country (measured by TPES)?</t>
  </si>
  <si>
    <t>Какой общий спрос на энергетику этой страны (измеряется в общей первичной поставке топлива и энергии)?</t>
  </si>
  <si>
    <t>B)</t>
  </si>
  <si>
    <t>How large is the energy demand in this country (measured by TPES) compared to:</t>
  </si>
  <si>
    <t>Насколько велики был спрос топлива и энергии в этой стране (измеряется в общей первичной поставке топлива и энергии) по сравнению с:</t>
  </si>
  <si>
    <t>C)</t>
  </si>
  <si>
    <t>Can the production cover the energy demand of the country (measured by TPES)? ¹</t>
  </si>
  <si>
    <t>Может ли эта страна покрывать спрос на топлио и энергию своим производством (измеряется в общей первичной поставке топлива и энергии)? ¹</t>
  </si>
  <si>
    <t xml:space="preserve">What is the energy source most used in this country (measured by TPES)? </t>
  </si>
  <si>
    <t>Какое топливо используется более в этой стране (измерено общая первичная поставка топлива и энергии)?</t>
  </si>
  <si>
    <t>What is the share of this energy source in the energy mix (measured by TPES)?</t>
  </si>
  <si>
    <t>Какова доля этого топлива в энергетической смеси (измеренная общая первичная поставка топлива и энергии)?</t>
  </si>
  <si>
    <t>Which sector has the largest share in the total final consumption (TFC)?</t>
  </si>
  <si>
    <t>Какой сектор имеет наибольшую долю в полном конечном потреблению?</t>
  </si>
  <si>
    <t>Which sectors are the biggest consumers of natural gas?</t>
  </si>
  <si>
    <t xml:space="preserve"> Какие сектора являются самыми тяжелыми потребителями природного газа?</t>
  </si>
  <si>
    <t>What is the main source for electricity in the country? ²</t>
  </si>
  <si>
    <t>Каков основной источник производства электроэнергии в стране? ²</t>
  </si>
  <si>
    <t>Notes:</t>
  </si>
  <si>
    <t>нота:</t>
  </si>
  <si>
    <t>Calculate the energy self-sufficiency ratio (production divided by TPES)</t>
  </si>
  <si>
    <t>Рассчитате коэффициент самообеспеченности энергетики (измеряется в общей первичной поставке топлива и энергии).</t>
  </si>
  <si>
    <t>Largest share of the electricity output</t>
  </si>
  <si>
    <t>наибольшую долю производства электроэнергии</t>
  </si>
  <si>
    <t>Scenario 1: High statistical difference</t>
  </si>
  <si>
    <t>Scenario 2: Transformation efficiencies</t>
  </si>
  <si>
    <t>Scenario 3: Unusual data points</t>
  </si>
  <si>
    <t>Final numbers are bolded!</t>
  </si>
  <si>
    <t>HOW TO CHECK AN ENERGY BALANCE?</t>
  </si>
  <si>
    <t>КАК ПРОВЕРИТЬ ЭНЕРГЕТИЧЕСКИЙ БАЛАНС?</t>
  </si>
  <si>
    <t>Instructions</t>
  </si>
  <si>
    <t>ИНСТРУКЦИИ</t>
  </si>
  <si>
    <t>Orientation row</t>
  </si>
  <si>
    <t>In red: impossible data points</t>
  </si>
  <si>
    <t>In yellow: suspicious data points</t>
  </si>
  <si>
    <t>Reply to questions for each scenario. You can change the scenario from the drop-down menu on top of the energy balance table (click the yellow cell in the row 2).</t>
  </si>
  <si>
    <t>Ответьте на вопросы для каждого сценария. Вы можете изменить сценарий при помощи выпадающего меню в верхней части таблицы энергетического баланса (кликните желтую ячейку в строке 2).</t>
  </si>
  <si>
    <t>Orientation column</t>
  </si>
  <si>
    <t>Coal: 2500 ktoe missing from residential.</t>
  </si>
  <si>
    <t>Oil products: 5000 ktoe missing from road transport.</t>
  </si>
  <si>
    <t>Natural gas: 7000 ktoe missing from production</t>
  </si>
  <si>
    <t>Electricity: 700 ktoe (negative value!) missing from losses.</t>
  </si>
  <si>
    <t>Look at the row “Statistical differences”. Can you spot discrepancies? What could explain them?</t>
  </si>
  <si>
    <t>Посмотрите на строку «Статистические различия». Можете заметить расхождения? Как бы вы их объяснили?</t>
  </si>
  <si>
    <t>Hints:</t>
  </si>
  <si>
    <t>Подсказки:</t>
  </si>
  <si>
    <t>Calculate the ratio Statistical difference / TPES for each fuel to evaluate the size of the problem</t>
  </si>
  <si>
    <t>Рассчитайте соотношение «Статистические различия / ОППЭ» для каждого вида топлива, чтобы оценить размер проблемы</t>
  </si>
  <si>
    <t>There is only one issue for each fuel</t>
  </si>
  <si>
    <t>Для каждого вида топлива есть только одна проблема</t>
  </si>
  <si>
    <t>Look at rows below “TPES” (16-25). They represent the transformation sector. Can you find out why some numbers are negative? Can you spot any discrepancies with transformation inputs and outputs?</t>
  </si>
  <si>
    <t>Посмотрите на строки ниже «ОППЭ» (16–25). Они представляют сектор преобразования энергии. Можете выяснить, почему некоторые цифры имеют отрицательное значение? Можете найти какие-либо расхождения с входящими ресурсами для преобразования и выработкой преобразования?</t>
  </si>
  <si>
    <t>Efficiency = Output(s) / Input(s)</t>
  </si>
  <si>
    <t>Эффективность = выработка / вход</t>
  </si>
  <si>
    <t>Losses are reported in the total column</t>
  </si>
  <si>
    <t>Потери приведены в столбце «Всего»</t>
  </si>
  <si>
    <t>Efficiency ranges:</t>
  </si>
  <si>
    <t>Диапазоны эффективности:</t>
  </si>
  <si>
    <t>Electricity-only plants: 30-40%</t>
  </si>
  <si>
    <t>Станции, вырабатывающие только электроэнергию: 30–40 %</t>
  </si>
  <si>
    <t>CHP plants: 75-90%</t>
  </si>
  <si>
    <t>ТЭЦ: 75–90 %</t>
  </si>
  <si>
    <t>Refinery losses: 0-5%</t>
  </si>
  <si>
    <t>Потери при нефтепереработке: 0–5 %</t>
  </si>
  <si>
    <t>Look at the values in the balance. Can you find figures requiring double-checking? Can you find figures that are clearly wrong?</t>
  </si>
  <si>
    <t>Посмотрите на значения в балансе. Можете найти цифры, которые требуют повторной проверки? Можете найти явно ошибочные цифры?</t>
  </si>
  <si>
    <t>Coal: Production figure is accidentally doubled (should be 15000 instead of 30000), and statdiff is allocated to electricity generation.</t>
  </si>
  <si>
    <t>This value should be -7500 ktoe instead (eff. 33%).</t>
  </si>
  <si>
    <t>There are at least eight (8) figures requiring double-checking</t>
  </si>
  <si>
    <t>Есть как минимум восемь (8) цифр, требующих повторной проверки</t>
  </si>
  <si>
    <t>There are at least five (5) incorrect figures</t>
  </si>
  <si>
    <t>Есть как минимум пять (5) ошибочных цифр</t>
  </si>
  <si>
    <t>Oil products: Refinery output value too high, correct value is 9750 ktoe. (Ignore the statdiff that appears.)</t>
  </si>
  <si>
    <t>Electricity: Correct output value for CHP is 1300 ktoe (eff. 80%).</t>
  </si>
  <si>
    <t>Worth a question:</t>
  </si>
  <si>
    <t>Crude oil trade: Is it transit?</t>
  </si>
  <si>
    <t>Coal &amp; Oil products: Is this CTL? Process outputs &amp; efficiency?</t>
  </si>
  <si>
    <t>Crude oil final consumption: What is it?</t>
  </si>
  <si>
    <t>Electricity non-specified industry: What is it?</t>
  </si>
  <si>
    <t>Coal use in rail &amp; domestic navigation: Rare use, confirmation needed</t>
  </si>
  <si>
    <t>Incorrect:</t>
  </si>
  <si>
    <t>Electricity stock change</t>
  </si>
  <si>
    <t>Coal cannot have aviation use.</t>
  </si>
  <si>
    <t>Crude oil cannot be used in road transport.</t>
  </si>
  <si>
    <t>Biofuels cannot have non-energy use.</t>
  </si>
  <si>
    <t>Electricity cannot have non-energy use.</t>
  </si>
  <si>
    <t>Main figure to check</t>
  </si>
  <si>
    <t>Δ</t>
  </si>
  <si>
    <t>(Oil)</t>
  </si>
  <si>
    <t>Data for the text portions</t>
  </si>
  <si>
    <t>Data for charts</t>
  </si>
  <si>
    <t>Selection</t>
  </si>
  <si>
    <t>By product:</t>
  </si>
  <si>
    <t>Self-sufficiency-ratio</t>
  </si>
  <si>
    <t>Summary of the energy balance</t>
  </si>
  <si>
    <t>Резюме энергетического баланса</t>
  </si>
  <si>
    <t>SUPPLY</t>
  </si>
  <si>
    <t>ПРЕДЛОЖЕНИЕ</t>
  </si>
  <si>
    <t>ОППЭ</t>
  </si>
  <si>
    <t>Graph 1: Total primary energy supply by fuel¹</t>
  </si>
  <si>
    <t>Диаграмма 1: Общее предложение первичной энергии по видам топлива¹</t>
  </si>
  <si>
    <t>Check:</t>
  </si>
  <si>
    <t>PRODUCTION</t>
  </si>
  <si>
    <t>ПРОИЗВОДСТВО</t>
  </si>
  <si>
    <t>Memo: Renewables</t>
  </si>
  <si>
    <t>Renewables share</t>
  </si>
  <si>
    <t>Memo: Fossil fuels</t>
  </si>
  <si>
    <t>Fossil fuel share:</t>
  </si>
  <si>
    <t>Graph 2: Energy production by fuel</t>
  </si>
  <si>
    <t>Диаграмма 2: Выработка энергии по видам топлива</t>
  </si>
  <si>
    <t>Sort the fuels for TPES:</t>
  </si>
  <si>
    <t>Position</t>
  </si>
  <si>
    <t>Rank in upper table</t>
  </si>
  <si>
    <t>Labels sorted</t>
  </si>
  <si>
    <t>Value sorted</t>
  </si>
  <si>
    <t>Shares</t>
  </si>
  <si>
    <t>ELECTRICITY GENERATION</t>
  </si>
  <si>
    <t>ГЕНЕРАЦИЯ ЭЛЕКТРОЭНЕРГИИ</t>
  </si>
  <si>
    <t>Graph 3: Electricity production by source</t>
  </si>
  <si>
    <t>Диаграмма 3: Производство электроэнергии по источникам</t>
  </si>
  <si>
    <t>DEMAND</t>
  </si>
  <si>
    <t>СПРОС</t>
  </si>
  <si>
    <t>Others</t>
  </si>
  <si>
    <t>FINAL ENERGY CONSUMPTION</t>
  </si>
  <si>
    <t>КОНЕЧНОЕ ПОТРЕБЛЕНИЕ ЭНЕРГИИ</t>
  </si>
  <si>
    <t>Sort the fuels for production:</t>
  </si>
  <si>
    <t>Graph 4: Total final consumption, Mtoe</t>
  </si>
  <si>
    <t>Диаграмма 4: Общее конечное потребление, Мт н. э.</t>
  </si>
  <si>
    <t>Нефть</t>
  </si>
  <si>
    <t>Other ²</t>
  </si>
  <si>
    <t>Другое ²</t>
  </si>
  <si>
    <t>1. Excludes electricity trade</t>
  </si>
  <si>
    <t>1. Не включая торговлю электроэнергией</t>
  </si>
  <si>
    <t>2. Includes geothermal, solar, wind, tide/wave/ocean, heat and other.</t>
  </si>
  <si>
    <t>2. Включая геотермальную, солнечную, ветровую, тепловую энергию, энергию приливов/волн/океанов и другое.</t>
  </si>
  <si>
    <t>Services</t>
  </si>
  <si>
    <t>Сервисы</t>
  </si>
  <si>
    <t>Sort the fuels for ele generation:</t>
  </si>
  <si>
    <t>Sectoral final consumption (non-energy use included in respective sectors):</t>
  </si>
  <si>
    <t>Shares:</t>
  </si>
  <si>
    <t>Sort chart based on total-column:</t>
  </si>
  <si>
    <t>Total rank in upper table</t>
  </si>
  <si>
    <t>Transpose chart so that largest sector appears in the first column</t>
  </si>
  <si>
    <t>Chart title:</t>
  </si>
  <si>
    <t>[placeholder]</t>
  </si>
  <si>
    <t>y-axis title:</t>
  </si>
  <si>
    <t>Consumption [Mtoe]</t>
  </si>
  <si>
    <t>Table 1 SUPPLY AND TRANSFORMATION SECTOR
ENERGY SECTOR AND FINAL CONSUMPTION
ENERGY END USE SPECIFICATION</t>
  </si>
  <si>
    <r>
      <t xml:space="preserve">PRODUCT  </t>
    </r>
    <r>
      <rPr>
        <b/>
        <sz val="9"/>
        <rFont val="Wingdings"/>
        <charset val="2"/>
      </rPr>
      <t>è</t>
    </r>
  </si>
  <si>
    <t>DataType</t>
  </si>
  <si>
    <t>Item1</t>
  </si>
  <si>
    <t>SUPPLY AND TRANSFORMATION SECTOR</t>
  </si>
  <si>
    <r>
      <t>10</t>
    </r>
    <r>
      <rPr>
        <b/>
        <vertAlign val="superscript"/>
        <sz val="9"/>
        <rFont val="Arial"/>
        <family val="2"/>
      </rPr>
      <t>3</t>
    </r>
    <r>
      <rPr>
        <b/>
        <sz val="9"/>
        <rFont val="Arial"/>
        <family val="2"/>
      </rPr>
      <t xml:space="preserve"> t</t>
    </r>
  </si>
  <si>
    <t>TJ (gross)</t>
  </si>
  <si>
    <t>A</t>
  </si>
  <si>
    <t>B</t>
  </si>
  <si>
    <t>C</t>
  </si>
  <si>
    <t>D</t>
  </si>
  <si>
    <t>E</t>
  </si>
  <si>
    <t>F</t>
  </si>
  <si>
    <t>G</t>
  </si>
  <si>
    <t>H</t>
  </si>
  <si>
    <t>I</t>
  </si>
  <si>
    <t>J</t>
  </si>
  <si>
    <t>K</t>
  </si>
  <si>
    <t>L</t>
  </si>
  <si>
    <t>M</t>
  </si>
  <si>
    <t>N</t>
  </si>
  <si>
    <t>O</t>
  </si>
  <si>
    <t>P</t>
  </si>
  <si>
    <t>Q</t>
  </si>
  <si>
    <t>Indigenous production</t>
  </si>
  <si>
    <t>FLOW</t>
  </si>
  <si>
    <t>UPROD</t>
  </si>
  <si>
    <t>Underground production</t>
  </si>
  <si>
    <t>SPROD</t>
  </si>
  <si>
    <t>Surface production</t>
  </si>
  <si>
    <t>OSOURCES</t>
  </si>
  <si>
    <t>TOTIMPSB</t>
  </si>
  <si>
    <t>Total imports (Balance)</t>
  </si>
  <si>
    <t>TOTEXPSB</t>
  </si>
  <si>
    <t>Total exports (Balance)</t>
  </si>
  <si>
    <t>BUNKERS</t>
  </si>
  <si>
    <t>STCHANAT</t>
  </si>
  <si>
    <t>Stock changes (National territory)</t>
  </si>
  <si>
    <t>INDCONC</t>
  </si>
  <si>
    <t>Inland consumption (Calculated)</t>
  </si>
  <si>
    <t>Statistical difference</t>
  </si>
  <si>
    <t>MEMO ITEM: From other sources</t>
  </si>
  <si>
    <t>From other sources - Oil</t>
  </si>
  <si>
    <t>From other sources - Natural gas</t>
  </si>
  <si>
    <t>From other sources - Renewables</t>
  </si>
  <si>
    <t>Transformation Sector</t>
  </si>
  <si>
    <t>Main activity producer electricity</t>
  </si>
  <si>
    <t>Main activity producer CHP</t>
  </si>
  <si>
    <t>Main activity producer heat</t>
  </si>
  <si>
    <t>Autoproducer electricity</t>
  </si>
  <si>
    <t>Autoproducer CHP</t>
  </si>
  <si>
    <t>Autoproducer heat</t>
  </si>
  <si>
    <t>Patent fuel plants (Transformation)</t>
  </si>
  <si>
    <t>Coke ovens (Transformation)</t>
  </si>
  <si>
    <t>BKB/PB plants (Transformation)</t>
  </si>
  <si>
    <t>Gas works (Transformation)</t>
  </si>
  <si>
    <t>Blast furnaces (Transformation)</t>
  </si>
  <si>
    <t>Coal liquefaction plants (Transformation)</t>
  </si>
  <si>
    <t>Not elsewhere specified (Transformation)</t>
  </si>
  <si>
    <t>ENERGY SECTOR INDUSTRY OWN USE AND FINAL CONSUMPTION</t>
  </si>
  <si>
    <t>Energy industry own use Sector</t>
  </si>
  <si>
    <t xml:space="preserve">Own use in electricity, CHP and heat </t>
  </si>
  <si>
    <t>Patent fuel plants (Energy)</t>
  </si>
  <si>
    <t>Coke ovens (Energy)</t>
  </si>
  <si>
    <t>BKB/PB plants (Energy)</t>
  </si>
  <si>
    <t>Gas works (Energy)</t>
  </si>
  <si>
    <t>Blast furnaces (Energy)</t>
  </si>
  <si>
    <t>Coal liquefaction plants (Energy)</t>
  </si>
  <si>
    <t>Not elsewhere specified (Energy industry own use)</t>
  </si>
  <si>
    <t>Total final consumption</t>
  </si>
  <si>
    <t>Total non-energy use</t>
  </si>
  <si>
    <t>Non-energy use Industry/Transformation/Energy</t>
  </si>
  <si>
    <t>Of which: Non-energy use - Chemical and petrochemical</t>
  </si>
  <si>
    <t>Non-energy use - (Transport)</t>
  </si>
  <si>
    <t>Non-energy use - Other</t>
  </si>
  <si>
    <t>ENERGY END USE SPECIFICATION</t>
  </si>
  <si>
    <t>FINECONS</t>
  </si>
  <si>
    <t>Final energy consumption</t>
  </si>
  <si>
    <t>Industry Sector</t>
  </si>
  <si>
    <t>Not elsewhere specified (Industry)</t>
  </si>
  <si>
    <t>Transport Sector</t>
  </si>
  <si>
    <t>Not elsewhere specified (Transport)</t>
  </si>
  <si>
    <t>Other Sectors</t>
  </si>
  <si>
    <t>Agriculture/Forestry</t>
  </si>
  <si>
    <t>Not elsewhere specified (Other)</t>
  </si>
  <si>
    <t>Table 4 CALORIFIC VALUES
Note: The data in this table will be used by the Secretariats to obtain conversion factors for each type of coal and their different end-use</t>
  </si>
  <si>
    <t>MJ/tonne</t>
  </si>
  <si>
    <t>GINDPROD</t>
  </si>
  <si>
    <t>gross -  1</t>
  </si>
  <si>
    <t>net   -  2</t>
  </si>
  <si>
    <t>GIMPORTS</t>
  </si>
  <si>
    <t>gross -  3</t>
  </si>
  <si>
    <t>net   -  4</t>
  </si>
  <si>
    <t>GEXPORTS</t>
  </si>
  <si>
    <t>gross -  5</t>
  </si>
  <si>
    <t>net   -  6</t>
  </si>
  <si>
    <t>GCOKEOVS</t>
  </si>
  <si>
    <t>Used in coke ovens</t>
  </si>
  <si>
    <t>gross -  7</t>
  </si>
  <si>
    <t>net   -  8</t>
  </si>
  <si>
    <t>GBLAST</t>
  </si>
  <si>
    <t>Used in blast furnaces</t>
  </si>
  <si>
    <t>gross -  9</t>
  </si>
  <si>
    <t>net   - 10</t>
  </si>
  <si>
    <t>GMAIN</t>
  </si>
  <si>
    <t>Used in main activity plants</t>
  </si>
  <si>
    <t>gross - 11</t>
  </si>
  <si>
    <t>net   - 12</t>
  </si>
  <si>
    <t>GIND</t>
  </si>
  <si>
    <t>Used in industry</t>
  </si>
  <si>
    <t>gross - 13</t>
  </si>
  <si>
    <t>net   - 14</t>
  </si>
  <si>
    <t>GOTHER</t>
  </si>
  <si>
    <t>For other uses</t>
  </si>
  <si>
    <t>gross - 15</t>
  </si>
  <si>
    <t>net   - 16</t>
  </si>
  <si>
    <t>TABLE 1 - SUPPLY OF NATURAL GAS</t>
  </si>
  <si>
    <t>NATGASCM</t>
  </si>
  <si>
    <t>NATGASTJ</t>
  </si>
  <si>
    <t>NGGVALJO</t>
  </si>
  <si>
    <t>Million m3 (at 15°C, 760 mm Hg)</t>
  </si>
  <si>
    <t>TJ
(Gross calor. value)</t>
  </si>
  <si>
    <t>Average GCV    (kJ/m3)</t>
  </si>
  <si>
    <t>Average NCV    (kJ/m3)</t>
  </si>
  <si>
    <t>BALANCE</t>
  </si>
  <si>
    <t>AGASPRD</t>
  </si>
  <si>
    <t>Associated gas</t>
  </si>
  <si>
    <t>NAGASPRD</t>
  </si>
  <si>
    <t>Non-associated gas</t>
  </si>
  <si>
    <t>COLLIERY</t>
  </si>
  <si>
    <t>Colliery gas</t>
  </si>
  <si>
    <t>Receipts from other sources</t>
  </si>
  <si>
    <t>Imports (Balance)</t>
  </si>
  <si>
    <t>Exports (Balance)</t>
  </si>
  <si>
    <t>INDCONO</t>
  </si>
  <si>
    <t>Inland consumption (Observed)</t>
  </si>
  <si>
    <t>Recoverable gas</t>
  </si>
  <si>
    <t>OSNATTER</t>
  </si>
  <si>
    <t>Opening stock level (National territory)</t>
  </si>
  <si>
    <t>CSNATTER</t>
  </si>
  <si>
    <t>Closing stock level (National territory)</t>
  </si>
  <si>
    <t>CSABR</t>
  </si>
  <si>
    <t>Opening stock level (Held abroad)</t>
  </si>
  <si>
    <t>OSABR</t>
  </si>
  <si>
    <t>Closing stock level (Held abroad)</t>
  </si>
  <si>
    <t>Memo:</t>
  </si>
  <si>
    <t>Gas vented</t>
  </si>
  <si>
    <t>Gas flared</t>
  </si>
  <si>
    <t>Memo: Cushion gas</t>
  </si>
  <si>
    <t>CUSHCSNAT</t>
  </si>
  <si>
    <t>Cushion gas closing stock level</t>
  </si>
  <si>
    <t>Memo: Receipts from other sources</t>
  </si>
  <si>
    <t>TABLE 2a - CONSUMPTION BY SECTOR</t>
  </si>
  <si>
    <t>CONSOMMATION INTERIEURE PAR SECTEUR</t>
  </si>
  <si>
    <t>ВНУТРЕННЕЕ ПОТРЕБЛЕНИЕ ПО СЕКТОРАМ</t>
  </si>
  <si>
    <t xml:space="preserve">Unit: TJ (GCV)                                                                                                         </t>
  </si>
  <si>
    <t>Unité: TJ (PCS)</t>
  </si>
  <si>
    <t>Ед. измер.: ТДж (ВТС)</t>
  </si>
  <si>
    <t>Consumption</t>
  </si>
  <si>
    <t>Consommation</t>
  </si>
  <si>
    <t>Потребление</t>
  </si>
  <si>
    <t>CONSUMPTION</t>
  </si>
  <si>
    <t>INDEMCON</t>
  </si>
  <si>
    <t>Inland demand (Total consumption)</t>
  </si>
  <si>
    <t>1</t>
  </si>
  <si>
    <t>Consommation intérieure</t>
  </si>
  <si>
    <t>Внутреннее потребление</t>
  </si>
  <si>
    <t>Transformation sector</t>
  </si>
  <si>
    <t>2</t>
  </si>
  <si>
    <t>Secteur Transformation - Total</t>
  </si>
  <si>
    <t>СЕКТОР ПРЕОБРАЗОВАНИЯ - Всего</t>
  </si>
  <si>
    <t>3</t>
  </si>
  <si>
    <t>Centrales électriques dont c’est l’activité principale</t>
  </si>
  <si>
    <t>Электрост. произв. энергии (основной вид деятельности)</t>
  </si>
  <si>
    <t>4</t>
  </si>
  <si>
    <t>Centrales autoproductrices d’électricité</t>
  </si>
  <si>
    <t>Электрост. предпр., производ. энергию для собственных нужд</t>
  </si>
  <si>
    <t>5</t>
  </si>
  <si>
    <t>Centrales de cogénération dont c’est l’activité principale</t>
  </si>
  <si>
    <t>ТЭЦ произв. энергии (основной вид деятельности)</t>
  </si>
  <si>
    <t>6</t>
  </si>
  <si>
    <t>Centrales autoproductrices de cogénération</t>
  </si>
  <si>
    <t>ТЭЦ предпр., производ. энергию для собственных нужд</t>
  </si>
  <si>
    <t>7</t>
  </si>
  <si>
    <t>Centrales calogènes dont c’est l’activité principale</t>
  </si>
  <si>
    <t>Теплоцентр. производителей энергии (основной вид деятельности)</t>
  </si>
  <si>
    <t>8</t>
  </si>
  <si>
    <t>Centrales autoproductrices calogènes</t>
  </si>
  <si>
    <t>Теплоцентр. предпр., производ. энергию для собственных нужд</t>
  </si>
  <si>
    <t>9</t>
  </si>
  <si>
    <t>Usines à gaz</t>
  </si>
  <si>
    <t>10</t>
  </si>
  <si>
    <t>Cokeries</t>
  </si>
  <si>
    <t>11</t>
  </si>
  <si>
    <t>Hauts fourneaux</t>
  </si>
  <si>
    <t>Gas-to-liquids plants (Transformation)</t>
  </si>
  <si>
    <t>Gas-to-liquids (GTL) plants (Transformation)</t>
  </si>
  <si>
    <t>12</t>
  </si>
  <si>
    <t>Conversion en liquides</t>
  </si>
  <si>
    <t>TGTLTECH</t>
  </si>
  <si>
    <t>of which GTL technology</t>
  </si>
  <si>
    <t>13</t>
  </si>
  <si>
    <t>Non spécifié - Transformation</t>
  </si>
  <si>
    <t>Прочее - с.преобразования</t>
  </si>
  <si>
    <t>Energy sector</t>
  </si>
  <si>
    <t>14</t>
  </si>
  <si>
    <t>Secteur Energie - Total</t>
  </si>
  <si>
    <t>СЕКТОР ЭНЕРГЕТИКИ - Всего</t>
  </si>
  <si>
    <t>15</t>
  </si>
  <si>
    <t>Mines de charbon</t>
  </si>
  <si>
    <t>16</t>
  </si>
  <si>
    <t>Extraction de pétrole et de gaz</t>
  </si>
  <si>
    <t>17</t>
  </si>
  <si>
    <t>Approvisionnement des raffineries</t>
  </si>
  <si>
    <t>Сырье для нефтеперерабатывающих заводов</t>
  </si>
  <si>
    <t>18</t>
  </si>
  <si>
    <t>19</t>
  </si>
  <si>
    <t>20</t>
  </si>
  <si>
    <t>Electricity, CHP and heat plants</t>
  </si>
  <si>
    <t>21</t>
  </si>
  <si>
    <t>Centrales électriques, de cogénération et calogènes</t>
  </si>
  <si>
    <t>Electricity, CHP and heat</t>
  </si>
  <si>
    <t>22</t>
  </si>
  <si>
    <t>Unités de liquéfaction du gaz</t>
  </si>
  <si>
    <t>Заводы по производству сжиженного газа</t>
  </si>
  <si>
    <t>Gas-to-liquids (GTL) plants (Energy)</t>
  </si>
  <si>
    <t>23</t>
  </si>
  <si>
    <t>Gas-to-liquids plants (Energy)</t>
  </si>
  <si>
    <t>Not elsewhere specified (Energy)</t>
  </si>
  <si>
    <t>24</t>
  </si>
  <si>
    <t>Non spécifié - Energie</t>
  </si>
  <si>
    <t>Прочее - с.энергетики</t>
  </si>
  <si>
    <t>EGTLTECH</t>
  </si>
  <si>
    <t>Distribution losses</t>
  </si>
  <si>
    <t>25</t>
  </si>
  <si>
    <t>Pertes de distribution</t>
  </si>
  <si>
    <t>Потери при распределении</t>
  </si>
  <si>
    <t>26</t>
  </si>
  <si>
    <t>Consommation finale totale</t>
  </si>
  <si>
    <t>Конечное потребление всего</t>
  </si>
  <si>
    <t>Row 1: Equals the sum of rows 2, 14, 25, 26; should correspond to cell 12B on table 1.</t>
  </si>
  <si>
    <t>Ligne 1 : Egal à la somme des lignes 2, 14, 25, 26; doit correspondre à la cellule 12B du tableau 1.</t>
  </si>
  <si>
    <t>Строка 1 : Равна сумме строк 2, 14, 25, 26; должна соответствовать клетке 12B Таблицы 1.</t>
  </si>
  <si>
    <t>Ligne 1 : Egal à la somme des lignes 2, 12, 25, 26; doit correspondre à la cellule 12B du tableau 1.</t>
  </si>
  <si>
    <t>Rows 3 to 8: Should correspond to quantities in table 6C in the Electricity and heat annual questionnaire.</t>
  </si>
  <si>
    <t>Lignes 3 à 8 : Doit correspondre aux quantités du tableau 6C dans le questionnaire annuel Electricité et Chaleur.</t>
  </si>
  <si>
    <t>Строки с 3 по 8 : Должны соответствовать содержанию Таблицы 6C "Ежегодного опросника по электроэнергии и теплу".</t>
  </si>
  <si>
    <t>Rows 4, 6, 8: Should correspond to quantities in row 1 in table 6.</t>
  </si>
  <si>
    <t>Lignes 4, 6, 8 : Doit correspondre aux quantités dans la ligne 1 du tableau 5.</t>
  </si>
  <si>
    <t>Строки 4,6,8 : Должны соответствовать содержанию строки 1 Таблицы 5.</t>
  </si>
  <si>
    <t>Row 26 : Should correspond to the sum of cells 1A and 1B in table 2b.</t>
  </si>
  <si>
    <t>Ligne 26 : Doit correspondre à la somme des cellules 1A et 1B dans le tableau 2b.</t>
  </si>
  <si>
    <t>Строка 26 : Должна соответствовать сумме клеток 1A и 1B Таблицы 2b.</t>
  </si>
  <si>
    <t>TABLE 2b - TOTAL FINAL CONSUMPTION BY SECTOR</t>
  </si>
  <si>
    <t>CONSOMMATION FINALE TOTALE PAR SECTEUR</t>
  </si>
  <si>
    <t>ENERGUSETJ</t>
  </si>
  <si>
    <t>NONENUSETJ</t>
  </si>
  <si>
    <t>Unit: TJ (GCV)</t>
  </si>
  <si>
    <t>Единица измерения: ТДж (ВТС)</t>
  </si>
  <si>
    <t>Energy use</t>
  </si>
  <si>
    <t>Consommation finale totale (1, 3)</t>
  </si>
  <si>
    <t xml:space="preserve">Всего - Конечное потребление </t>
  </si>
  <si>
    <t>Transport sector</t>
  </si>
  <si>
    <t>Secteur Transports - Total</t>
  </si>
  <si>
    <t>СЕКТОР ТРАНСПОРТА - Всего</t>
  </si>
  <si>
    <t>Transport  routier</t>
  </si>
  <si>
    <t>Автодорожный транспорт</t>
  </si>
  <si>
    <t>ROADBIOGAS</t>
  </si>
  <si>
    <t>of which biogas</t>
  </si>
  <si>
    <t>dont le biogaz</t>
  </si>
  <si>
    <t xml:space="preserve"> В т.ч. Биогаз</t>
  </si>
  <si>
    <t>Transport par conduites</t>
  </si>
  <si>
    <t>Трубопроводы</t>
  </si>
  <si>
    <t>Non spécifié - Transports</t>
  </si>
  <si>
    <t>Прочее</t>
  </si>
  <si>
    <t>Industry sector</t>
  </si>
  <si>
    <t>Secteur Industrie - Total</t>
  </si>
  <si>
    <t>СЕКТОР ПРОМЫШЛЕННОСТИ - Всего</t>
  </si>
  <si>
    <t>Sidérurgie</t>
  </si>
  <si>
    <t>Chimie et pétrochimie (2)</t>
  </si>
  <si>
    <t>Производство хим. прод., включая нефтехимию</t>
  </si>
  <si>
    <t>Metaux non-ferreux</t>
  </si>
  <si>
    <t>Produits minéraux non-métalliques</t>
  </si>
  <si>
    <t>Производство неметаллических минеральных продуктов</t>
  </si>
  <si>
    <t>Matériel de transport</t>
  </si>
  <si>
    <t>Machines</t>
  </si>
  <si>
    <t>Industries extractives</t>
  </si>
  <si>
    <t>Горнодобываяющая промышленность и разработка карьеров</t>
  </si>
  <si>
    <t>Food beverages and tobacco</t>
  </si>
  <si>
    <t>Produits alimentaires, boissons et tabac</t>
  </si>
  <si>
    <t>Пищевая пром-сть, производство напитков и табачных изделий</t>
  </si>
  <si>
    <t>Pâte à papier, papier et imprimerie</t>
  </si>
  <si>
    <t>Bois et ouvrages en bois</t>
  </si>
  <si>
    <t>Производство древесины и изделий из дерева</t>
  </si>
  <si>
    <t xml:space="preserve">Construction </t>
  </si>
  <si>
    <t>Textiles et cuir</t>
  </si>
  <si>
    <t>Non spécifié - Industrie</t>
  </si>
  <si>
    <t>Other sectors</t>
  </si>
  <si>
    <t>Autres secteurs - Total</t>
  </si>
  <si>
    <t>ПРОЧИЕ СЕКТОРЫ - Всего</t>
  </si>
  <si>
    <t>Commerce et services publics</t>
  </si>
  <si>
    <t>Secteur résidentiel</t>
  </si>
  <si>
    <t>Жилищное хозяйство</t>
  </si>
  <si>
    <t>Agriculture</t>
  </si>
  <si>
    <t>Pêche</t>
  </si>
  <si>
    <t>Non spécifié - Autres</t>
  </si>
  <si>
    <t>Row 1: Corresponds to the sum of rows 2, 7, 21.</t>
  </si>
  <si>
    <t>Ligne 1 : Correspond à la somme des lignes 2, 7, 21.</t>
  </si>
  <si>
    <t>Строка 1 : Соответствует сумме строк 2,7,21.</t>
  </si>
  <si>
    <t>Row 1: The sum of cells 1A and 1B should correspond to cell A26 in table 2a.</t>
  </si>
  <si>
    <t>Ligne 1 : La somme des cellules 1A et 1B doit correspondre à la cellule A26 dans le tableau 2a.</t>
  </si>
  <si>
    <t>Строка 1 : Сумма клеток 1A и 1B должна соответствовать клетке A26 в Таблице 2a.</t>
  </si>
  <si>
    <t>Row 9: Please report fuel use in column A.</t>
  </si>
  <si>
    <t>Ligne 9 : Veuillez reporter l'utilisation en tant que combustible dans la colonne A.</t>
  </si>
  <si>
    <t>Строка 9 : Сообщите о расходе топлива в колонне A.</t>
  </si>
  <si>
    <t>Utilisations énergétiques</t>
  </si>
  <si>
    <t>Utilisations non énergétiques</t>
  </si>
  <si>
    <t>Использование газа для энергетических целей</t>
  </si>
  <si>
    <t xml:space="preserve">Использование газа для неэнергетических целей </t>
  </si>
  <si>
    <t>TABLE = 1</t>
  </si>
  <si>
    <t>SUPPLY OF CRUDE OIL, NGL, REFINERY FEEDSTOCKS,
ADDITIVES AND OTHER HYDROCARBONS</t>
  </si>
  <si>
    <t>Unit:  Thousand metric tons</t>
  </si>
  <si>
    <t>BIOFUELS</t>
  </si>
  <si>
    <t>CRNGFEED</t>
  </si>
  <si>
    <t>Natural gas
liquids</t>
  </si>
  <si>
    <t>Refinery
feedstocks</t>
  </si>
  <si>
    <t>Additives / oxygenates</t>
  </si>
  <si>
    <t>Of which
Biofuels</t>
  </si>
  <si>
    <t>Other
hydrocarbons</t>
  </si>
  <si>
    <t>TOTAL
(A to F, excl. E)</t>
  </si>
  <si>
    <t>(+) 1</t>
  </si>
  <si>
    <t>(+) 2</t>
  </si>
  <si>
    <t>BACKFLOW</t>
  </si>
  <si>
    <t>Backflows</t>
  </si>
  <si>
    <t>(+) 3</t>
  </si>
  <si>
    <t>PTRANSF</t>
  </si>
  <si>
    <t>Products transferred</t>
  </si>
  <si>
    <t>(+) 4</t>
  </si>
  <si>
    <t>(+) 5</t>
  </si>
  <si>
    <t>(-) 6</t>
  </si>
  <si>
    <t>DIRECUSE</t>
  </si>
  <si>
    <t>Direct use</t>
  </si>
  <si>
    <t>(-) 7</t>
  </si>
  <si>
    <t>(+) 8</t>
  </si>
  <si>
    <t>REFINCAL</t>
  </si>
  <si>
    <t>Refinery intake (Calculated)</t>
  </si>
  <si>
    <t>(=) 9</t>
  </si>
  <si>
    <t>(-) 10</t>
  </si>
  <si>
    <t>REFINOBS</t>
  </si>
  <si>
    <t>Refinery intake (Observed)</t>
  </si>
  <si>
    <t>(=) 11</t>
  </si>
  <si>
    <t>MEMO ITEMS:</t>
  </si>
  <si>
    <t>REFLOSS</t>
  </si>
  <si>
    <t>Refinery losses</t>
  </si>
  <si>
    <t>STOCK LEVELS:</t>
  </si>
  <si>
    <t/>
  </si>
  <si>
    <t>AVERAGE NET CALORIFIC VALUES:</t>
  </si>
  <si>
    <t>NCVPROD</t>
  </si>
  <si>
    <t>NCVIMP</t>
  </si>
  <si>
    <t>NCVEXP</t>
  </si>
  <si>
    <t>NCVAVG</t>
  </si>
  <si>
    <t>Average</t>
  </si>
  <si>
    <t>MEMO ITEMS: RECEIPTS FROM OTHER SOURCES</t>
  </si>
  <si>
    <t>Solid fuels</t>
  </si>
  <si>
    <t>TABLE = 2a</t>
  </si>
  <si>
    <t>SUPPLY OF OIL PRODUCTS</t>
  </si>
  <si>
    <t>Unit:  Thousand Metric Tons</t>
  </si>
  <si>
    <t>DIESEL</t>
  </si>
  <si>
    <t>HEATOIL</t>
  </si>
  <si>
    <t>LOWSULF</t>
  </si>
  <si>
    <t>HIGHSULF</t>
  </si>
  <si>
    <t>OPRODS</t>
  </si>
  <si>
    <t>TOTPRODS</t>
  </si>
  <si>
    <t>Crude
oil</t>
  </si>
  <si>
    <t>Natural
gas
liquids</t>
  </si>
  <si>
    <t>Refinery
gas</t>
  </si>
  <si>
    <t>Total motor
gasoline</t>
  </si>
  <si>
    <t>Aviation
gasoline</t>
  </si>
  <si>
    <t>Gasoline
type
jet fuel</t>
  </si>
  <si>
    <t>Total kerosene
type
jet fuel</t>
  </si>
  <si>
    <t>Other
kerosene</t>
  </si>
  <si>
    <t>Total gas/diesel
oil</t>
  </si>
  <si>
    <t>Total fuel oil</t>
  </si>
  <si>
    <t>White
spirit
and SBP</t>
  </si>
  <si>
    <t>Paraffin 
waxes</t>
  </si>
  <si>
    <t>Petroleum
coke</t>
  </si>
  <si>
    <t>Other oil
products</t>
  </si>
  <si>
    <t>TOTAL
(A to AC excl. H,I,M,N,P,Q,S,T,V,W)</t>
  </si>
  <si>
    <t>Non-biogasoline</t>
  </si>
  <si>
    <t>Non-bio jet kerosene</t>
  </si>
  <si>
    <t>Road diesel</t>
  </si>
  <si>
    <t>Heating and
other gas oil</t>
  </si>
  <si>
    <t xml:space="preserve">Biodiesels </t>
  </si>
  <si>
    <t>Non-bio gas/diesel oil</t>
  </si>
  <si>
    <t>Fuel oil-
low sulphur
( &lt; 1%)</t>
  </si>
  <si>
    <t>Fuel oil-
high sulphur
(&gt;= 1%)</t>
  </si>
  <si>
    <t>R</t>
  </si>
  <si>
    <t>S</t>
  </si>
  <si>
    <t>T</t>
  </si>
  <si>
    <t>U</t>
  </si>
  <si>
    <t>V</t>
  </si>
  <si>
    <t>W</t>
  </si>
  <si>
    <t>X</t>
  </si>
  <si>
    <t>Y</t>
  </si>
  <si>
    <t>Z</t>
  </si>
  <si>
    <t>AA</t>
  </si>
  <si>
    <t>AB</t>
  </si>
  <si>
    <t>AC</t>
  </si>
  <si>
    <t>AD</t>
  </si>
  <si>
    <t>PPRECPTS</t>
  </si>
  <si>
    <t>Primary product receipts</t>
  </si>
  <si>
    <t>(+)   1</t>
  </si>
  <si>
    <t>REFGROUT</t>
  </si>
  <si>
    <t>Refinery gross output</t>
  </si>
  <si>
    <t>(+)   2</t>
  </si>
  <si>
    <t>RECYCLED</t>
  </si>
  <si>
    <t>Recycled products</t>
  </si>
  <si>
    <t>(+)   3</t>
  </si>
  <si>
    <t>REFFUEL</t>
  </si>
  <si>
    <t>Refinery fuel</t>
  </si>
  <si>
    <t>(-)   4</t>
  </si>
  <si>
    <t>(+)   5</t>
  </si>
  <si>
    <t>(-)   6</t>
  </si>
  <si>
    <t>(-)   7</t>
  </si>
  <si>
    <t>IPTRANSF</t>
  </si>
  <si>
    <t>Interproduct transfers</t>
  </si>
  <si>
    <t>(+)   8</t>
  </si>
  <si>
    <t>(-)   9</t>
  </si>
  <si>
    <t>(+) 10</t>
  </si>
  <si>
    <t>GDINCTRC</t>
  </si>
  <si>
    <t>Gross inland deliveries (Calculated)</t>
  </si>
  <si>
    <t>(-) 12</t>
  </si>
  <si>
    <t>GDINCTRO</t>
  </si>
  <si>
    <t>Gross inland deliveries (Observed)</t>
  </si>
  <si>
    <t>(=) 13</t>
  </si>
  <si>
    <t>MEMO ITEMS: REFINERY FUEL USED FOR</t>
  </si>
  <si>
    <t>REFFUELE</t>
  </si>
  <si>
    <t>Electricity production</t>
  </si>
  <si>
    <t>REFFUCHP</t>
  </si>
  <si>
    <t>CHP production</t>
  </si>
  <si>
    <t>REFFUHEAT</t>
  </si>
  <si>
    <t>Heat production (Heat sold)</t>
  </si>
  <si>
    <t>MEMO:</t>
  </si>
  <si>
    <t>PUBUTSTK</t>
  </si>
  <si>
    <t>Stock changes at main activity utilities</t>
  </si>
  <si>
    <t>Net calorific value - average (kJ/kg)</t>
  </si>
  <si>
    <t>TABLE = 3A</t>
  </si>
  <si>
    <t>GROSS DELIVERIES BY SECTOR - ENERGY USE</t>
  </si>
  <si>
    <t>EINDEMCON</t>
  </si>
  <si>
    <t>Gross inland deliveries for energy use</t>
  </si>
  <si>
    <t>ETRANSF</t>
  </si>
  <si>
    <t>EMAINELEC</t>
  </si>
  <si>
    <t>EAUTOELEC</t>
  </si>
  <si>
    <t>EMAINCHP</t>
  </si>
  <si>
    <t>EAUTOCHP</t>
  </si>
  <si>
    <t>EMAINHEAT</t>
  </si>
  <si>
    <t>EAUTOHEAT</t>
  </si>
  <si>
    <t>ETGASWKS</t>
  </si>
  <si>
    <t>ETBLENDGS</t>
  </si>
  <si>
    <t>ETCOKEOVS</t>
  </si>
  <si>
    <t>ETBLASTFR</t>
  </si>
  <si>
    <t>ETPETCHEM</t>
  </si>
  <si>
    <t>Petrochemical industry</t>
  </si>
  <si>
    <t>ETPATFUEL</t>
  </si>
  <si>
    <t>ETNONSPEC</t>
  </si>
  <si>
    <t>EENERGY</t>
  </si>
  <si>
    <t>EEMINES</t>
  </si>
  <si>
    <t>EEOILGASX</t>
  </si>
  <si>
    <t>EECOKEOVS</t>
  </si>
  <si>
    <t>EEBLASTFR</t>
  </si>
  <si>
    <t>EEGASWKS</t>
  </si>
  <si>
    <t>EEPOWERPT</t>
  </si>
  <si>
    <t>Own use in electricity, CHP and heat</t>
  </si>
  <si>
    <t>EENONSPEC</t>
  </si>
  <si>
    <t>EDISTLOSS</t>
  </si>
  <si>
    <t>EFINCONS</t>
  </si>
  <si>
    <t>Total final energy consumption</t>
  </si>
  <si>
    <t>ETRANS</t>
  </si>
  <si>
    <t>EINTLAIR</t>
  </si>
  <si>
    <t>International aviation</t>
  </si>
  <si>
    <t>EDOMESAIR</t>
  </si>
  <si>
    <t>EROAD</t>
  </si>
  <si>
    <t>ERAIL</t>
  </si>
  <si>
    <t>EDOMESNAV</t>
  </si>
  <si>
    <t>EPIPELINE</t>
  </si>
  <si>
    <t>ETRNONSPE</t>
  </si>
  <si>
    <t>EIND</t>
  </si>
  <si>
    <t>EIRONSTL</t>
  </si>
  <si>
    <t>ECHEM</t>
  </si>
  <si>
    <t>Chemical (including petrochemical)</t>
  </si>
  <si>
    <t>ENONFERR</t>
  </si>
  <si>
    <t>ENONMET</t>
  </si>
  <si>
    <t>ETRANSEQ</t>
  </si>
  <si>
    <t>EMACHINE</t>
  </si>
  <si>
    <t>EMINING</t>
  </si>
  <si>
    <t>EFOODPRO</t>
  </si>
  <si>
    <t>EPAPERPRO</t>
  </si>
  <si>
    <t>EWOODPRO</t>
  </si>
  <si>
    <t>ECONSTRUC</t>
  </si>
  <si>
    <t>ETEXTILES</t>
  </si>
  <si>
    <t>EINONSPEC</t>
  </si>
  <si>
    <t>EOTHER</t>
  </si>
  <si>
    <t>ECOMMPUB</t>
  </si>
  <si>
    <t>ERESIDENT</t>
  </si>
  <si>
    <t>EAGRICULT</t>
  </si>
  <si>
    <t>EFISHING</t>
  </si>
  <si>
    <t>EONONSPEC</t>
  </si>
  <si>
    <t>TABLE 3B</t>
  </si>
  <si>
    <t>GROSS DELIVERIES BY SECTOR - NON-ENERGY USE</t>
  </si>
  <si>
    <t>NEINDEMCON</t>
  </si>
  <si>
    <t>Gross inland deliveries for non energy use</t>
  </si>
  <si>
    <t>NETRANSF</t>
  </si>
  <si>
    <t>NEMAINELEC</t>
  </si>
  <si>
    <t>NEAUTOELEC</t>
  </si>
  <si>
    <t>NEMAINCHP</t>
  </si>
  <si>
    <t>NEAUTOCHP</t>
  </si>
  <si>
    <t>NEMAINHEAT</t>
  </si>
  <si>
    <t>NEAUTOHEAT</t>
  </si>
  <si>
    <t>NETGASWKS</t>
  </si>
  <si>
    <t>NETBLENDGS</t>
  </si>
  <si>
    <t>NETCOKEOVS</t>
  </si>
  <si>
    <t>NETBLASTFR</t>
  </si>
  <si>
    <t>NETPETCHEM</t>
  </si>
  <si>
    <t>NETPATFUEL</t>
  </si>
  <si>
    <t>NETNONSPEC</t>
  </si>
  <si>
    <t>NEENERGY</t>
  </si>
  <si>
    <t>NEEMINES</t>
  </si>
  <si>
    <t>NEEOILGASX</t>
  </si>
  <si>
    <t>NEECOKEOVS</t>
  </si>
  <si>
    <t>NEEBLASTFR</t>
  </si>
  <si>
    <t>NEEGASWKS</t>
  </si>
  <si>
    <t>NEEPOWERPT</t>
  </si>
  <si>
    <t>NEENONSPEC</t>
  </si>
  <si>
    <t>NEDISTLOSS</t>
  </si>
  <si>
    <t>NEFINCONS</t>
  </si>
  <si>
    <t>Total final non energy use consumption</t>
  </si>
  <si>
    <t>NEINTLAIR</t>
  </si>
  <si>
    <t>NEDOMESAIR</t>
  </si>
  <si>
    <t>NEROAD</t>
  </si>
  <si>
    <t>NERAIL</t>
  </si>
  <si>
    <t>NEDOMESNAV</t>
  </si>
  <si>
    <t>NEPIPELINE</t>
  </si>
  <si>
    <t>NETRNONSPE</t>
  </si>
  <si>
    <t>NEIND</t>
  </si>
  <si>
    <t>NEIRONSTL</t>
  </si>
  <si>
    <t>NENONFERR</t>
  </si>
  <si>
    <t>NENONMET</t>
  </si>
  <si>
    <t>NETRANSEQ</t>
  </si>
  <si>
    <t>NEMACHINE</t>
  </si>
  <si>
    <t>NEMINING</t>
  </si>
  <si>
    <t>NEFOODPRO</t>
  </si>
  <si>
    <t>NEPAPERPRO</t>
  </si>
  <si>
    <t>NEWOODPRO</t>
  </si>
  <si>
    <t>NECONSTRUC</t>
  </si>
  <si>
    <t>NETEXTILES</t>
  </si>
  <si>
    <t>NEINONSPEC</t>
  </si>
  <si>
    <t>NECOMMPUB</t>
  </si>
  <si>
    <t>NERESIDENT</t>
  </si>
  <si>
    <t>NEAGRICULT</t>
  </si>
  <si>
    <t>NEFISHING</t>
  </si>
  <si>
    <t>NEONONSPEC</t>
  </si>
  <si>
    <t>TABLE 1. GROSS ELECTRICITY AND HEAT PRODUCTION</t>
  </si>
  <si>
    <t>Item 2 : PLANT  è</t>
  </si>
  <si>
    <t>MAINTOT</t>
  </si>
  <si>
    <t>AUTOTOT</t>
  </si>
  <si>
    <t>DataType :</t>
  </si>
  <si>
    <t>MAIN ACTIVITY PRODUCER</t>
  </si>
  <si>
    <t>AUTOPRODUCER</t>
  </si>
  <si>
    <t>TOTAL</t>
  </si>
  <si>
    <t>ELECTRICITY</t>
  </si>
  <si>
    <t>CHP</t>
  </si>
  <si>
    <t>MAIN ACTIVITY 
PRODUCER</t>
  </si>
  <si>
    <t xml:space="preserve">ELECTRICITY Unit: GWh </t>
  </si>
  <si>
    <t>G (= A+B+C)</t>
  </si>
  <si>
    <t>H (= D+E+F)</t>
  </si>
  <si>
    <t>GELEPROD</t>
  </si>
  <si>
    <t>HYDPURE</t>
  </si>
  <si>
    <t>      Pure hydro (with no pumping)</t>
  </si>
  <si>
    <t>HYDSRRP</t>
  </si>
  <si>
    <t>            of which: run-of-river</t>
  </si>
  <si>
    <t>MIXEDHYDRO</t>
  </si>
  <si>
    <t>      Mixed hydro</t>
  </si>
  <si>
    <t>MIXEDHYDP</t>
  </si>
  <si>
    <t>            of which:  pumping</t>
  </si>
  <si>
    <t>HYDPUMP</t>
  </si>
  <si>
    <t>      Pure pumped storage</t>
  </si>
  <si>
    <t>PV20</t>
  </si>
  <si>
    <t xml:space="preserve">     PV &lt;20 kW</t>
  </si>
  <si>
    <t>PV201000</t>
  </si>
  <si>
    <t xml:space="preserve">     PV 20-1000 kW</t>
  </si>
  <si>
    <t>PV1000</t>
  </si>
  <si>
    <t xml:space="preserve">     PV 1+ MW</t>
  </si>
  <si>
    <t>PVOFF</t>
  </si>
  <si>
    <t xml:space="preserve">     Off-grid</t>
  </si>
  <si>
    <t>Tide, wave and ocean</t>
  </si>
  <si>
    <t>ONWIND</t>
  </si>
  <si>
    <t>      Onshore wind</t>
  </si>
  <si>
    <t>OFFWIND</t>
  </si>
  <si>
    <t>      Offshore wind</t>
  </si>
  <si>
    <t>INDWASTECO</t>
  </si>
  <si>
    <t>      Of which: co-firing</t>
  </si>
  <si>
    <t>MUNWASTE</t>
  </si>
  <si>
    <t>Municipal waste</t>
  </si>
  <si>
    <t>MUNWASTECO</t>
  </si>
  <si>
    <t>      Renewable</t>
  </si>
  <si>
    <t>MUNWASTERC</t>
  </si>
  <si>
    <t>            Of which: co-firing</t>
  </si>
  <si>
    <t>      Non-renewable</t>
  </si>
  <si>
    <t>MUNWASTENC</t>
  </si>
  <si>
    <t>SBIOFUELS</t>
  </si>
  <si>
    <t>Solid biofuels</t>
  </si>
  <si>
    <t>SBIOFUELSC</t>
  </si>
  <si>
    <t>Biogasolines</t>
  </si>
  <si>
    <t>HEAT Unit: TJ</t>
  </si>
  <si>
    <t>GHEATPRO</t>
  </si>
  <si>
    <t>HPAMBIANT</t>
  </si>
  <si>
    <t>Industrial Waste</t>
  </si>
  <si>
    <t>TABLE 2a. SUPPLY, TRANSFORMATION, ENERGY SECTORS &amp; END USE</t>
  </si>
  <si>
    <t>PRODUCT  è</t>
  </si>
  <si>
    <t>BIOETHANOL</t>
  </si>
  <si>
    <t>DataType  :</t>
  </si>
  <si>
    <t>MUNICIPAL WASTE</t>
  </si>
  <si>
    <t>SOLID BIOFUELS</t>
  </si>
  <si>
    <t>LIQUID BIOFUELS</t>
  </si>
  <si>
    <t>Geothermal energy</t>
  </si>
  <si>
    <t>Industrial waste (non-renewable)</t>
  </si>
  <si>
    <t>Renewable</t>
  </si>
  <si>
    <t>Non-renewable</t>
  </si>
  <si>
    <t>Solid biofuels excluding charcoal</t>
  </si>
  <si>
    <t>Of which bioethanol</t>
  </si>
  <si>
    <t>Bio jet kerosenes</t>
  </si>
  <si>
    <t>TJ (NCV)</t>
  </si>
  <si>
    <t>1000 tonnes</t>
  </si>
  <si>
    <t>Total imports (balance)</t>
  </si>
  <si>
    <t>Total exports (balance)</t>
  </si>
  <si>
    <t>Stock changes (national territory)</t>
  </si>
  <si>
    <t>Inland consumption (calculated)</t>
  </si>
  <si>
    <t>BKB plants (Transformation)</t>
  </si>
  <si>
    <t>Natural gas blending plants</t>
  </si>
  <si>
    <t>TBLENDOIL</t>
  </si>
  <si>
    <t>For blending with Motor gasoline/Diesel/Kerosene</t>
  </si>
  <si>
    <t>Charcoal production plants (Transformation)</t>
  </si>
  <si>
    <t>Gasification plants for Biogas</t>
  </si>
  <si>
    <t>BKB plants (Energy)</t>
  </si>
  <si>
    <t>Charcoal production plants (energy)</t>
  </si>
  <si>
    <t>TABLE 3a. TECHNICAL CHARACTERISTICS OF INSTALLATIONS AT THE END OF THE YEAR</t>
  </si>
  <si>
    <t>Unit = MWe</t>
  </si>
  <si>
    <t>CAPACITY</t>
  </si>
  <si>
    <t>ELECTRICAL CAPACITY</t>
  </si>
  <si>
    <t>(or other data:                  )</t>
  </si>
  <si>
    <t>(Plant)</t>
  </si>
  <si>
    <t>NET MAXIMUM CAPACITY</t>
  </si>
  <si>
    <t>CLASSIFICATION BY TECHNOLOGY</t>
  </si>
  <si>
    <t>TOTCAP</t>
  </si>
  <si>
    <t>Pure hydro (with no pumping)</t>
  </si>
  <si>
    <t>of which: run-of-river</t>
  </si>
  <si>
    <t>Mixed hydro</t>
  </si>
  <si>
    <t>Pure pumped storage</t>
  </si>
  <si>
    <t>PV &lt;20 kW</t>
  </si>
  <si>
    <t>PV 20-1000 kW</t>
  </si>
  <si>
    <t>PV 1+ MW</t>
  </si>
  <si>
    <t>Off-grid</t>
  </si>
  <si>
    <t>Onshore wind</t>
  </si>
  <si>
    <t>Offshore wind</t>
  </si>
  <si>
    <t xml:space="preserve">SOLAR COLLECTORS SURFACE  </t>
  </si>
  <si>
    <t>SOLARSUR</t>
  </si>
  <si>
    <t>Solar collectors surface (1000m2)</t>
  </si>
  <si>
    <t>LIQUID BIOFUELS PLANTS CAPACITY</t>
  </si>
  <si>
    <t>CAPTON</t>
  </si>
  <si>
    <t>AVERAGE NET CALORIFIC VALUE</t>
  </si>
  <si>
    <t>Biogasoline average net calorific value</t>
  </si>
  <si>
    <t>Bioethanol average net calorific value</t>
  </si>
  <si>
    <t xml:space="preserve">Biodiesel average net calorific value </t>
  </si>
  <si>
    <t>Bio jet kerosene average net calorific value</t>
  </si>
  <si>
    <t>Other liquid biofuels average net calorific value</t>
  </si>
  <si>
    <t xml:space="preserve">Charcoal average net calorific value </t>
  </si>
  <si>
    <t>TABLE 1.  GROSS ELECTRICITY AND HEAT PRODUCTION: (TRANSFORMATION SECTOR)</t>
  </si>
  <si>
    <r>
      <t xml:space="preserve">Item2 (PLANT)  </t>
    </r>
    <r>
      <rPr>
        <b/>
        <sz val="9"/>
        <rFont val="Wingdings"/>
        <charset val="2"/>
      </rPr>
      <t>è</t>
    </r>
  </si>
  <si>
    <r>
      <t xml:space="preserve">Item1 </t>
    </r>
    <r>
      <rPr>
        <b/>
        <sz val="9"/>
        <rFont val="Wingdings"/>
        <charset val="2"/>
      </rPr>
      <t>ê</t>
    </r>
  </si>
  <si>
    <t>ELECTRICITY UNIT:  GWh (10^6 kWh)</t>
  </si>
  <si>
    <t>G(=A+B+C)</t>
  </si>
  <si>
    <t>H(=D+E+F)</t>
  </si>
  <si>
    <t>HYDTPUMP</t>
  </si>
  <si>
    <t>Pumped hydro</t>
  </si>
  <si>
    <t>SOLAR</t>
  </si>
  <si>
    <t>Solar</t>
  </si>
  <si>
    <t>COMBFUEL</t>
  </si>
  <si>
    <t>Combustible fuels</t>
  </si>
  <si>
    <t>HEAT Unit:  TJ</t>
  </si>
  <si>
    <t>Source(s) of shown data:</t>
  </si>
  <si>
    <t>TABLE 3. ELECTRICITY AND HEAT SUPPLY AND CONSUMPTION</t>
  </si>
  <si>
    <t>Item2</t>
  </si>
  <si>
    <t>ELECTRICITY (GWh)</t>
  </si>
  <si>
    <t>HEAT (TJ)</t>
  </si>
  <si>
    <t>PLANT</t>
  </si>
  <si>
    <t>GROSPROD</t>
  </si>
  <si>
    <t>Total gross production</t>
  </si>
  <si>
    <t>(=)</t>
  </si>
  <si>
    <t>OWNUSE</t>
  </si>
  <si>
    <t>Own use</t>
  </si>
  <si>
    <t>(-)</t>
  </si>
  <si>
    <t>NETPROD</t>
  </si>
  <si>
    <t>Total net production</t>
  </si>
  <si>
    <t>(+)</t>
  </si>
  <si>
    <t>EHEAT</t>
  </si>
  <si>
    <t>Used for heat pumps</t>
  </si>
  <si>
    <t>EBOILER</t>
  </si>
  <si>
    <t>Used for electric boilers</t>
  </si>
  <si>
    <t>EPUMPSTPUR</t>
  </si>
  <si>
    <t>Used for pumped storage in pure hydro pumping plants</t>
  </si>
  <si>
    <t>EPUMPSTMIX</t>
  </si>
  <si>
    <t>Used for pumped storage in mixed plants</t>
  </si>
  <si>
    <t>EELE</t>
  </si>
  <si>
    <t>Used for electricity production</t>
  </si>
  <si>
    <t>Electricity/Heat supply</t>
  </si>
  <si>
    <t>TFCCALC</t>
  </si>
  <si>
    <t>Final consumption (calculated)</t>
  </si>
  <si>
    <t>TFCOBS</t>
  </si>
  <si>
    <t>Final consumption (observed)</t>
  </si>
  <si>
    <t>Not elsewhere specified (Other sectors)</t>
  </si>
  <si>
    <t>TABLE 4.  ELECTRICITY AND HEAT CONSUMPTION IN INDUSTRY AND ENERGY SECTORS</t>
  </si>
  <si>
    <t>BKB / PB plants (Energy)</t>
  </si>
  <si>
    <t>Liquefaction (LNG) / Regasification plants</t>
  </si>
  <si>
    <t>Gasification plants for biogas</t>
  </si>
  <si>
    <t>Charcoal production plants (Energy)</t>
  </si>
  <si>
    <t>TABLE 6a.  GROSS ELECTRICITY AND HEAT PRODUCTION FROM COMBUSTIBLE FUELS (TRANSFORMATION SECTOR)</t>
  </si>
  <si>
    <t>MAIN ACTIVITY PRODUCER PLANTS</t>
  </si>
  <si>
    <t>AUTOPRODUCER PLANTS</t>
  </si>
  <si>
    <t>FUELS</t>
  </si>
  <si>
    <t>UNITS</t>
  </si>
  <si>
    <t>INPUTTON</t>
  </si>
  <si>
    <t>ANTHRACITE</t>
  </si>
  <si>
    <t>Fuel input</t>
  </si>
  <si>
    <r>
      <t>10</t>
    </r>
    <r>
      <rPr>
        <vertAlign val="superscript"/>
        <sz val="8"/>
        <rFont val="Arial"/>
        <family val="2"/>
      </rPr>
      <t xml:space="preserve">3 </t>
    </r>
    <r>
      <rPr>
        <sz val="8"/>
        <rFont val="Arial"/>
        <family val="2"/>
      </rPr>
      <t>t</t>
    </r>
  </si>
  <si>
    <t>INPUTTJN</t>
  </si>
  <si>
    <t>Elec. prod.</t>
  </si>
  <si>
    <t>Heat prod.</t>
  </si>
  <si>
    <t xml:space="preserve"> COKING
 COAL</t>
  </si>
  <si>
    <t>OTHER BITUMINOUS COAL</t>
  </si>
  <si>
    <t xml:space="preserve"> SUB-
 BITUMINOUS
 COAL</t>
  </si>
  <si>
    <t>PATENT FUEL</t>
  </si>
  <si>
    <t xml:space="preserve"> COKE
 OVEN
 COKE</t>
  </si>
  <si>
    <t xml:space="preserve"> GAS
 COKE</t>
  </si>
  <si>
    <t xml:space="preserve"> COAL
 TAR</t>
  </si>
  <si>
    <t>INPUTTJG</t>
  </si>
  <si>
    <t xml:space="preserve"> GAS
 WORKS
 GAS</t>
  </si>
  <si>
    <t>TJ (GCV)</t>
  </si>
  <si>
    <t xml:space="preserve"> COKE
 OVEN
 GAS</t>
  </si>
  <si>
    <t xml:space="preserve"> BLAST
 FURNACE
 GAS</t>
  </si>
  <si>
    <t xml:space="preserve"> OTHER
 RECOVERED
 GASES</t>
  </si>
  <si>
    <t>PEAT PRODUCTS</t>
  </si>
  <si>
    <t>OIL SHALE AND OIL SANDS</t>
  </si>
  <si>
    <t>COAL</t>
  </si>
  <si>
    <t>TABLE 6b.  GROSS ELECTRICITY AND HEAT PRODUCTION FROM COMBUSTIBLE FUELS (TRANSFORMATION SECTOR)</t>
  </si>
  <si>
    <t xml:space="preserve"> CRUDE 
 OIL</t>
  </si>
  <si>
    <t xml:space="preserve"> NGL 
 (Natural Gas Liquids)</t>
  </si>
  <si>
    <t xml:space="preserve"> REFINERY
 GAS</t>
  </si>
  <si>
    <t xml:space="preserve"> LPG
 (Liquefied Petroleum
 Gases)</t>
  </si>
  <si>
    <t xml:space="preserve"> KEROSENE TYPE 
 JET FUEL</t>
  </si>
  <si>
    <t xml:space="preserve"> OTHER 
 KEROSENE</t>
  </si>
  <si>
    <t>GAS / DIESEL OIL</t>
  </si>
  <si>
    <t>FUEL OIL</t>
  </si>
  <si>
    <t xml:space="preserve"> PETROLEUM 
 COKE</t>
  </si>
  <si>
    <t xml:space="preserve"> OTHER OIL 
 PRODUCTS</t>
  </si>
  <si>
    <t>LIQFUELS</t>
  </si>
  <si>
    <t>TABLE 6c.  GROSS ELECTRICITY AND HEAT PRODUCTION FROM COMBUSTIBLE FUELS (TRANSFORMATION SECTOR)</t>
  </si>
  <si>
    <t>NATURAL GAS</t>
  </si>
  <si>
    <t>TABLE 6d.  GROSS ELECTRICITY AND HEAT PRODUCTION FROM COMBUSTIBLE FUELS (TRANSFORMATION SECTOR)</t>
  </si>
  <si>
    <t xml:space="preserve"> INDUSTRIAL
 WASTE</t>
  </si>
  <si>
    <t xml:space="preserve"> MUNICIPAL 
 WASTE 
 (RENEWABLE)</t>
  </si>
  <si>
    <t xml:space="preserve"> MUNICIPAL 
 WASTE
 (NON-RENEWABLE)</t>
  </si>
  <si>
    <t>BIODIESELS</t>
  </si>
  <si>
    <t>BIOGASOLINES</t>
  </si>
  <si>
    <r>
      <t>10</t>
    </r>
    <r>
      <rPr>
        <vertAlign val="superscript"/>
        <sz val="8"/>
        <rFont val="Arial"/>
        <family val="2"/>
      </rPr>
      <t>3</t>
    </r>
    <r>
      <rPr>
        <sz val="8"/>
        <rFont val="Arial"/>
        <family val="2"/>
      </rPr>
      <t xml:space="preserve"> t</t>
    </r>
  </si>
  <si>
    <t>OTHER LIQUID BIOFUELS</t>
  </si>
  <si>
    <t>OTHCOMB</t>
  </si>
  <si>
    <t>(Sum of Tables 6 a,b,c,d)</t>
  </si>
  <si>
    <t>TABLE 7a.  NET MAXIMUM ELECTRICAL CAPACITY AND PEAK LOAD</t>
  </si>
  <si>
    <t>MAIN ACTIVITY PRODUCERS</t>
  </si>
  <si>
    <t>AUTOPRODUCERS</t>
  </si>
  <si>
    <t>(none)</t>
  </si>
  <si>
    <t>CLASSIFICATION BY SOURCE</t>
  </si>
  <si>
    <t>1 - Total capacity</t>
  </si>
  <si>
    <t>2 - Nuclear</t>
  </si>
  <si>
    <t>3 - Hydro</t>
  </si>
  <si>
    <t>HYDROS</t>
  </si>
  <si>
    <t>3a -     Pure hydro (no pumping)</t>
  </si>
  <si>
    <t>3b -     Mixed plants</t>
  </si>
  <si>
    <t>3c -     Pure pumped storage</t>
  </si>
  <si>
    <t>4 - Geothermal</t>
  </si>
  <si>
    <t>5 - Solar photovoltaic</t>
  </si>
  <si>
    <t>6 - Solar thermal</t>
  </si>
  <si>
    <t>7 - Tide, wave and ocean</t>
  </si>
  <si>
    <t>8 - Wind</t>
  </si>
  <si>
    <t>9 - Combustible fuels</t>
  </si>
  <si>
    <t>10 - Other sources</t>
  </si>
  <si>
    <t>Combustible fuels:
TYPE OF 
GENERATION</t>
  </si>
  <si>
    <t>11 - Total conventional thermal</t>
  </si>
  <si>
    <t>STEAM</t>
  </si>
  <si>
    <t>12 - Steam</t>
  </si>
  <si>
    <t>INTCOMB</t>
  </si>
  <si>
    <t>13 - Internal combustion</t>
  </si>
  <si>
    <t>GASTURB</t>
  </si>
  <si>
    <t>14 - Gas turbine</t>
  </si>
  <si>
    <t>COMBINED</t>
  </si>
  <si>
    <t>15 - Combined cycle</t>
  </si>
  <si>
    <t>OTHGEN</t>
  </si>
  <si>
    <t>16 - Other type of generation</t>
  </si>
  <si>
    <t>PEAK LOAD INFORMATION</t>
  </si>
  <si>
    <t>PEAKLOAD</t>
  </si>
  <si>
    <t>20 - Time of peak load occurence</t>
  </si>
  <si>
    <t>17 - Peak load</t>
  </si>
  <si>
    <t>PEAKCAP</t>
  </si>
  <si>
    <t>18 - Capacity at peak</t>
  </si>
  <si>
    <t>PEAKDATE</t>
  </si>
  <si>
    <t>19 - Date of peak load occurence</t>
  </si>
  <si>
    <t>PEAKTIME</t>
  </si>
  <si>
    <t>Source(s) of above data:</t>
  </si>
  <si>
    <t>:&lt;-- Hide</t>
  </si>
  <si>
    <t>1)</t>
  </si>
  <si>
    <t>Energy Statistics Manual, IEA 2005.</t>
  </si>
  <si>
    <t>1.1)</t>
  </si>
  <si>
    <t>1.2)</t>
  </si>
  <si>
    <t>Process information</t>
  </si>
  <si>
    <t>Data validation: Iron and steel sector</t>
  </si>
  <si>
    <t>Проверка достоверности данных: Сектор черной металлургии</t>
  </si>
  <si>
    <t>Coke is manufactured through coal pyrolysis. Coal pyrolysis means the heating of coal in an oxygen-free atmosphere to produce gases, liquids and a solid residue (char or coke). Only certain coals with the right plastic properties (for example bituminous or coking coals) can be converted to coke.
The coke is made in ovens comprising a battery of individual chambers up to 60 in number. The average temperature  is usually set between 1 150°C and 1 350°C. Usually, cleaned coke-oven gas is used as a fuel, but other gases such as blast-furnace gas enriched with natural gas, or straight natural gas can be used as well. Coke ovens produce coke and untreated coke-oven gas. The gas is “purified” by removing dust particles and other valuable products, e.g. tars and light oils.</t>
  </si>
  <si>
    <t>Кокс производится путем пиролиза каменного угля. Пиролиз угля – это нагревание угля в бескислородной среде для производства газов, жидкостей и твердых остатков (древесный уголь и кокс). Только некоторые виды угля с нужными пластическими свойствами (например, битуминозный или коксовый уголь) можно преобразовать в кокс.
Кокс производится в печах, которые представляют собой систему отдельных камер числом до 60. Средняя температура обычно составляет между 1150°C и 1350°C. В качестве топлива чаще всего используется очищенный коксовый газ, но можно использовать и другие виды газов, такие как доменный газ, обогащенный природным газом, или обычный природный газ. Коксовальные печи производят кокс и необогащенный коксовый газ. Газ «очищают», удаляя частички пыли и другие ценные продукты, такие как, например, смолы и легкие масла.</t>
  </si>
  <si>
    <t>Process efficiency error margins:</t>
  </si>
  <si>
    <t>Process efficiency is below zero! Please verify the energy content of the input and output values.</t>
  </si>
  <si>
    <t>КПД процесса ниже ноля! Пожалуйста, проверьте энергетическое содержание используемых ресурсов и значения производства</t>
  </si>
  <si>
    <t>Process efficiency is rather low. Please verify the energy content of the input and output values.</t>
  </si>
  <si>
    <t>КПД процесса довольно низкий. Пожалуйста, проверьте энергетическое содержание используемых ресурсов и значения производства</t>
  </si>
  <si>
    <t>Process efficiency is within reasonable range.</t>
  </si>
  <si>
    <t>КПД процесса находится в разумных пределах.</t>
  </si>
  <si>
    <t xml:space="preserve">= </t>
  </si>
  <si>
    <t>Process efficiency is rather high. Please verify the energy content of the input and output values.</t>
  </si>
  <si>
    <t>КПД процесса довольно высокий. Пожалуйста, проверьте энергетическое содержание используемых ресурсов и значения производства</t>
  </si>
  <si>
    <t>Process efficiency exceeds 100%! Please verify the energy content of the input and output values.</t>
  </si>
  <si>
    <t>КПД процесса превышает 100 %! Пожалуйста, проверьте энергетическое содержание используемых ресурсов и значения производства</t>
  </si>
  <si>
    <t>(above 100%)</t>
  </si>
  <si>
    <t>Checks:</t>
  </si>
  <si>
    <t>Проверки:</t>
  </si>
  <si>
    <t>Row for the HLOOKUP for coke oven eff. :</t>
  </si>
  <si>
    <t>Process details:</t>
  </si>
  <si>
    <t>Детали процесса:</t>
  </si>
  <si>
    <t>Coke oven process:</t>
  </si>
  <si>
    <t>Процесс коксования в печи:</t>
  </si>
  <si>
    <t>process efficiency</t>
  </si>
  <si>
    <t>КПД процесса</t>
  </si>
  <si>
    <t>output shares (energy-%)</t>
  </si>
  <si>
    <t>доли производимых продуктов (энергия-%)</t>
  </si>
  <si>
    <t>Efficiency range</t>
  </si>
  <si>
    <t>Диапазон КПД</t>
  </si>
  <si>
    <t>Physical quantity</t>
  </si>
  <si>
    <t>Физическое количество</t>
  </si>
  <si>
    <t>NCV</t>
  </si>
  <si>
    <t>Низшая теплотворная способность</t>
  </si>
  <si>
    <t>Energy quantity</t>
  </si>
  <si>
    <t>Количество энергии</t>
  </si>
  <si>
    <t>Input(s)</t>
  </si>
  <si>
    <t>Используемый(-е) ресурс(-ы)</t>
  </si>
  <si>
    <t>Output(s)</t>
  </si>
  <si>
    <t>Indicator(s)</t>
  </si>
  <si>
    <t>Показатель(-и)</t>
  </si>
  <si>
    <t>kJ/kg</t>
  </si>
  <si>
    <t>кДж/кг</t>
  </si>
  <si>
    <t>ktoe</t>
  </si>
  <si>
    <t>кт н. э.</t>
  </si>
  <si>
    <t>Not applicable</t>
  </si>
  <si>
    <t>Не применяется</t>
  </si>
  <si>
    <t>Ranges:</t>
  </si>
  <si>
    <t>Диапазоны:</t>
  </si>
  <si>
    <t>Low</t>
  </si>
  <si>
    <t>Низкий</t>
  </si>
  <si>
    <t>Reasonable</t>
  </si>
  <si>
    <t>Разумный</t>
  </si>
  <si>
    <t>High</t>
  </si>
  <si>
    <t>Высокий</t>
  </si>
  <si>
    <t>Impossible</t>
  </si>
  <si>
    <t>Невозможный</t>
  </si>
  <si>
    <t>Other inputs</t>
  </si>
  <si>
    <t>[missing Russian]</t>
  </si>
  <si>
    <t>-</t>
  </si>
  <si>
    <t>Simple input-output barchart (1st page)</t>
  </si>
  <si>
    <t>(Empty to widen the gap)</t>
  </si>
  <si>
    <t>Set here:</t>
  </si>
  <si>
    <t>y-axis title</t>
  </si>
  <si>
    <t>2)</t>
  </si>
  <si>
    <t>2.1)</t>
  </si>
  <si>
    <t>Blast furnaces are used to manufacture iron of which the large majority is made into steel. The inputs to blast furnaces are iron oxide ore, fluxes (limestone or lime) to assist the flow of molten metal through the coke bed and remove acidities, and coke to provide heat and an open matrix structure to support the ore and fluxes and allow the molten iron to pass to the bottom of the furnace.
Not all of the carbon monoxide (CO) is converted to carbon dioxide (CO2) in the process and the excess passes out of the blast furnace into the blast-furnace gas. The presence of carbon monoxide in the blast-furnace gas gives it a heating value. The temperature of the blast air as it enters the furnace may be as high as 900°C and provides most of the heat requirement.</t>
  </si>
  <si>
    <t>Доменные печи используются для производства чугуна, большая часть которого перерабатывается в сталь. Доменные печи используют руду с содержанием оксида железа, флюсы (известняк или известь), которые помогают потоку расплавленного метала пройти через слой кокса и устранить кислоты, а также кокс для производства тепла и создания матричной структуры, поддерживающей руду и флюсы и позволяющей расплавленному чугуну стекать ко дну печи.
Во время этого процесса не весь монооксид углерода (СО) превращается в диоксид (СО2), и его излишек выводится из печи и смешивается с доменным газом. Наличие монооксида углерода в доменном газе придает ему теплотворную способность. Температура воздуха дутья на входе в печь может достигать 900°C и обеспечивает большую часть потребного количества тепла.</t>
  </si>
  <si>
    <t>Blast furnace ratio is below zero! Please verify the input and output values.</t>
  </si>
  <si>
    <t>КПД доменной печи ниже ноля! Пожалуйста, проверьте значения используемых ресурсов и производства.</t>
  </si>
  <si>
    <t>Blast furnace ratio is rather low. Please verify the input and output values.</t>
  </si>
  <si>
    <t>КПД доменной печи довольно низкий. Пожалуйста, проверьте значения используемых ресурсов и производства.</t>
  </si>
  <si>
    <t>Blast furnace ratio is within reasonable range.</t>
  </si>
  <si>
    <t>КПД доменной печи находится в разумных пределах.</t>
  </si>
  <si>
    <t>=</t>
  </si>
  <si>
    <t>Blast furnace ratio is rather high. Please verify the input and output values.</t>
  </si>
  <si>
    <t>КПД доменной печи довольно высокий. Пожалуйста, проверьте значения используемых ресурсов и производства.</t>
  </si>
  <si>
    <t>Blast furnace ratio exceeds 100%! Please verify the input and output values.</t>
  </si>
  <si>
    <t>КПД доменной печи превышает 100 %! Пожалуйста, проверьте значения используемых ресурсов и производства.</t>
  </si>
  <si>
    <t>Blast furnace process:</t>
  </si>
  <si>
    <t>Процессы доменной печи:</t>
  </si>
  <si>
    <t>Row for the HLOOKUP for blast furnace ratio:</t>
  </si>
  <si>
    <t>Blast furnace ratio</t>
  </si>
  <si>
    <t>КПД доменной печи</t>
  </si>
  <si>
    <t>Pulverized coal injection</t>
  </si>
  <si>
    <t>Ввод угольной пыли</t>
  </si>
  <si>
    <t>Limestone</t>
  </si>
  <si>
    <t>Известняк</t>
  </si>
  <si>
    <t>Molten iron</t>
  </si>
  <si>
    <t>Расплавленный чугун</t>
  </si>
  <si>
    <t>Molten slag</t>
  </si>
  <si>
    <t>Шлаковый расплав</t>
  </si>
  <si>
    <t>Range, blast furnace ratio</t>
  </si>
  <si>
    <t>Диапазон, КПД доменной печи</t>
  </si>
  <si>
    <t>3)</t>
  </si>
  <si>
    <t>3.1)</t>
  </si>
  <si>
    <t>3.2)</t>
  </si>
  <si>
    <t>3.3)</t>
  </si>
  <si>
    <t>3.4)</t>
  </si>
  <si>
    <t>Data validation: Oil refining sector</t>
  </si>
  <si>
    <t>Проверка достоверности данных: Нефтеперерабатывающий сектор</t>
  </si>
  <si>
    <t>A refinery takes crude oil and separates it into different fractions, then converts those fractions into usable products, and these products are finally blended to produce a finished product. These products are the fuels and chemicals used every day. In a refinery, portions of the outputs from some processes are fed back into the same process, fed to new processes, fed back to a previous process or blended with other outputs to form finished products. Oil products produced and used for energy purposes must be accounted within production.</t>
  </si>
  <si>
    <t>На нефтеперерабатывающем заводе сырая нефть разделяется на различн ые фракции. Затем эти фракции преобразуются в пригодные для использования продукты, которые на заключительной стадии компаундируются для получения готов ых продуктов. Последние представляют собой разАичные виды топлива и химическ ие вещества, используемые повседневно.</t>
  </si>
  <si>
    <t>Refinery losses are mass differences which appear between the total oil throughput of the refinery (reported as Refinery Intake Observed in Table 1) and the total gross production of finished products (reported in Table 2A). The losses arise through genuine oil losses and the conversion of refinery statistics used within the refineries to mass units.</t>
  </si>
  <si>
    <t>"Потери при нефтеперердботке" представляют собой разницу между поАной масс ой поставки нефтепродуктов на нефтеперерабатывающий заводов (указываемой как "Загрузка нефтеперерабатывающих заводов (фактическая)" в табл. 1) и общим валовым производством готовой продукции (указываемым в табл. 2А). Потери являются следствием как естественной убыли нефтепродуктов, так и резулыатом погрешнос тей при пересчете статистических данных. отражающих процессы на нефтеперераб атывающих заводах, в единицы массы.</t>
  </si>
  <si>
    <t>Refinery losses error margins:</t>
  </si>
  <si>
    <t>Oil refinery losses are negative, indicating there is a problem with the data. Please verify the input and output values.</t>
  </si>
  <si>
    <t>Потери нефтепереработки имеют отрицательное значение, что указывает на проблему с данными. Пожалуйста, проверьте значения используемых ресурсов и производства.</t>
  </si>
  <si>
    <t>Oil refinery losses are within reasonable range.</t>
  </si>
  <si>
    <t>Потери при нефтепереработке находятся в разумных пределах.</t>
  </si>
  <si>
    <t>Oil refinery losses are rather high. Please verify the input and output values.</t>
  </si>
  <si>
    <t>Потери при нефтепереработке довольно высоки. Пожалуйста, проверьте значения используемых ресурсов и производства.</t>
  </si>
  <si>
    <t>Oil refinery losses are notably high. Please verify the input and output values.</t>
  </si>
  <si>
    <t>Потери при нефтепереработке исключительно высоки. Пожалуйста, проверьте значения используемых ресурсов и производства.</t>
  </si>
  <si>
    <t>(&gt;10%)</t>
  </si>
  <si>
    <t>Oil refining process:</t>
  </si>
  <si>
    <t>Процесс нефтепереработки:</t>
  </si>
  <si>
    <t>Row for the HLOOKUP for refinery losses:</t>
  </si>
  <si>
    <t>Refining losses (mass)</t>
  </si>
  <si>
    <t>Потери при нефтепереработке (масса)</t>
  </si>
  <si>
    <t>Refining losses (energy)</t>
  </si>
  <si>
    <t>Потери при нефтепереработке (энергия)</t>
  </si>
  <si>
    <t>Own energy use</t>
  </si>
  <si>
    <t>Собственное использование энергии</t>
  </si>
  <si>
    <t>Output shares</t>
  </si>
  <si>
    <t>Доли производства</t>
  </si>
  <si>
    <t>Refinery gains in energy terms, but losses in mass terms. Check the calorific values!</t>
  </si>
  <si>
    <t>Польза нефтеперерабатывающего завода выражаются в единицах энергии, а потери – в единицах массы. Проверьте значения теплотворной способности!</t>
  </si>
  <si>
    <t>Diff. between losses in mass and energy terms</t>
  </si>
  <si>
    <t>Must always be &gt; 0 !</t>
  </si>
  <si>
    <t>Всегда должно быть &gt; 0 тыс. тонн!</t>
  </si>
  <si>
    <t>Suspicious</t>
  </si>
  <si>
    <t>Подозрительно</t>
  </si>
  <si>
    <t>%</t>
  </si>
  <si>
    <t>share of the input:</t>
  </si>
  <si>
    <t>доля используемых ресурсов:</t>
  </si>
  <si>
    <t>СНГ</t>
  </si>
  <si>
    <t>Aviation fuels</t>
  </si>
  <si>
    <t>Авиационные топлива</t>
  </si>
  <si>
    <t>Motor gasoline</t>
  </si>
  <si>
    <t>车用汽油</t>
  </si>
  <si>
    <t>Middle distillates</t>
  </si>
  <si>
    <t>Средние дистилляты</t>
  </si>
  <si>
    <t>Title</t>
  </si>
  <si>
    <t>value</t>
  </si>
  <si>
    <t>For the graph: output groups (adapted from World Energy balances, Fig. 4)</t>
  </si>
  <si>
    <t>Check: Total</t>
  </si>
  <si>
    <t>Difference to total output:</t>
  </si>
  <si>
    <t>For the graph: barchart breakdown</t>
  </si>
  <si>
    <t>Graph</t>
  </si>
  <si>
    <t>line</t>
  </si>
  <si>
    <t>For the graphs: RGB color codes (same as in World Energy Balances, Fig. 4)</t>
  </si>
  <si>
    <t>7)</t>
  </si>
  <si>
    <t>Main activity producers</t>
  </si>
  <si>
    <t>Производители по основному виду деятельности</t>
  </si>
  <si>
    <t>8)</t>
  </si>
  <si>
    <t>IRES, UN 2016. (5.45)</t>
  </si>
  <si>
    <t>Autoproducers</t>
  </si>
  <si>
    <t>Производители для собственных нужд</t>
  </si>
  <si>
    <t>These are units that produce electricity or heat as their principal activity. These enterprises may be privately or publicly owned companies.</t>
  </si>
  <si>
    <t>Это установки, которые в качестве своей основной деятельности производят электроэнергию или тепло. Эти предприятия бывают частной или государственной формы собственности.</t>
  </si>
  <si>
    <t>Autoproducers (electricity): These are units that produce electricity but for whom the production is not their principal activity.
Autoproducers (Heat): These are units that produce heat for sale but for whom the production is not their principal activity. Deliveries of fuels for heat generated by a unit for its own purposes are classified as final consumption, and not as transformation inputs.</t>
  </si>
  <si>
    <t>Производители для собственных нужд (электроэнергия): Это установки, которые производят электроэнергию, но это не является их основной деятельностью.
Производители для собственных нужд (тепло): Это установки, которые производят тепло на продажу, но это не является их основной деятельностью. Поставки топлива для производства тепловой энергии установкой для собственных целей классифицируются как конечное потребление, а не как ресурсы, используемые для преобразования.</t>
  </si>
  <si>
    <t>Check</t>
  </si>
  <si>
    <t>Проверка</t>
  </si>
  <si>
    <t>II</t>
  </si>
  <si>
    <t>III</t>
  </si>
  <si>
    <t>Input</t>
  </si>
  <si>
    <t>Используемые ресурсы</t>
  </si>
  <si>
    <t>Output</t>
  </si>
  <si>
    <t>Eff.</t>
  </si>
  <si>
    <t>КПД</t>
  </si>
  <si>
    <t>Проверка:</t>
  </si>
  <si>
    <t>Missing input/output data for</t>
  </si>
  <si>
    <t>Отсутствующие значения затраченных ресурсов и выпуска:</t>
  </si>
  <si>
    <t>Efficiency limits:</t>
  </si>
  <si>
    <t>Short names and ele&amp;heat input figures transposed from "Data in physical units"-sheet</t>
  </si>
  <si>
    <t>Indicators for fuels used</t>
  </si>
  <si>
    <t>Indicators for missing inputs/outputs</t>
  </si>
  <si>
    <t>Inputs (ktoe)</t>
  </si>
  <si>
    <t>Outputs (GWh/TJ)</t>
  </si>
  <si>
    <t>Inputs?</t>
  </si>
  <si>
    <t>Outputs?</t>
  </si>
  <si>
    <t>Counter</t>
  </si>
  <si>
    <t>Cumulative</t>
  </si>
  <si>
    <t>in/out missing?</t>
  </si>
  <si>
    <t>Rounding issue?</t>
  </si>
  <si>
    <t>9)</t>
  </si>
  <si>
    <t>9.1)</t>
  </si>
  <si>
    <t>9.2)</t>
  </si>
  <si>
    <t>Data validation: Capacity factor</t>
  </si>
  <si>
    <t>Проверка достоверности данных: Коэффициент мощности</t>
  </si>
  <si>
    <t>9.3)</t>
  </si>
  <si>
    <t>Capacity factor</t>
  </si>
  <si>
    <t>Коэффициент мощности</t>
  </si>
  <si>
    <t>Electricity output</t>
  </si>
  <si>
    <t>Выработка электроэнергии</t>
  </si>
  <si>
    <t>Liquid biofuel production</t>
  </si>
  <si>
    <t>Выработка жидкого биотоплива</t>
  </si>
  <si>
    <t>Refinery production (coming with annual questionnaire 2019 update)</t>
  </si>
  <si>
    <t>Выработка нефтеперерабатывающего завода (с ежегодным обновлением анкеты 2019 года)</t>
  </si>
  <si>
    <t>The net capacity factor is the unitless ratio of an actual output over a given period of time to the maximum possible output over the same amount of time. The capacity factor can be defined for any producing installation, i.e. a fuel consuming power plant or one using renewable energy. The capacity factor can also be defined for any class of such installations, and can be used to compare different types of production.
Capacity factor varies greatly depending on a range of factors: the design of the installation, its location, the type of electricity production and with it either the fuel being used or, for renewable energy, the local weather conditions. Additionally, the capacity factor can be subject to regulatory constraints and market forces, potentially affecting both its fuel purchase and its electricity sale.
The capacity factor is often computed over a timescale of a year, averaging out most temporal fluctuations. However, the capacity factor can be also computed on a monthly basis to gain insight into seasonal fluctuations. Alternatively, it be computed over the lifetime of the power source, both while operational and after decommissioning.</t>
  </si>
  <si>
    <t>Коэффициент чистой мощности – это безразмерное отношение фактического производства за определенный период времени к максимальному возможному производству за такой же период времени. Коэффициент мощности можно определить для любой генерирующей установки, то есть, для электростанции, работающей на топливе или использующей возобновляемые источники энергии. Коэффициент мощности можно также определить для любого класса таких установок и можно использовать для сравнения разных типов производства.
Коэффициент мощности существенно отличается, в зависимости от ряда факторов: конструкции установки, ее месторасположения, типа генерации электроэнергии, включая ее источник (топливо или возобновляемая энергия), местных погодных условий. Кроме того, коэффициент мощности может подлежать регуляторным ограничениям и действию рыночных сил, которые потенциально могут влиять как на закупки топлива, так и на продажу электроэнергии.
Коэффициент мощности зачастую вычисляют за годовой период, усредняя большинство временных флуктуаций. Однако коэффициент мощности можно также вычислять и ежемесячно, что позволяет наблюдать сезонные флуктуации. Альтернативно, его можно рассчитывать для всего срока службы источника энергии, как во время эксплуатации установки, так и после ее прекращения.</t>
  </si>
  <si>
    <t>The maximum possible energy output of a given installation assumes its continuous operation at full nameplate capacity over the relevant period of time.</t>
  </si>
  <si>
    <t>Максимальное возможное производство энергии данной установки предполагает ее непрерывную эксплуатацию при полной номинальной мощности в течение соответствующего периода времени.</t>
  </si>
  <si>
    <t>The actual energy output over the same period of time.</t>
  </si>
  <si>
    <t>Фактическая выработка энергии в течение того же периода времени.</t>
  </si>
  <si>
    <t>Example:</t>
  </si>
  <si>
    <t>Пример:</t>
  </si>
  <si>
    <t>Month</t>
  </si>
  <si>
    <t>Месяц</t>
  </si>
  <si>
    <t>Maximum possible production</t>
  </si>
  <si>
    <t>Максимальное возможное производство</t>
  </si>
  <si>
    <t>Actual production</t>
  </si>
  <si>
    <t>Фактическое производство</t>
  </si>
  <si>
    <t>Capacity</t>
  </si>
  <si>
    <t>Мощность</t>
  </si>
  <si>
    <t>Comment</t>
  </si>
  <si>
    <t>Комментарии</t>
  </si>
  <si>
    <t>Note:</t>
  </si>
  <si>
    <t>Примечание:</t>
  </si>
  <si>
    <t>Average ranges calculated based on total OECD capacities and gross electricity generation for 2000-2015.
The ranges are only indicative, and do not mean the data are incorrect if the country capacity factors are not within it!</t>
  </si>
  <si>
    <t>Средние диапазоны рассчитываются на основании общих мощностей и валовой генерации электроэнергии по данным ОЭСР за 2000–2015 гг.
Диапазоны носят исключительно ознакомительный характер, и если коэффициенты мощности страны выходят за их пределы, это не говорит об ошибочности данных!</t>
  </si>
  <si>
    <t>t/a</t>
  </si>
  <si>
    <t>тонн в год</t>
  </si>
  <si>
    <t>Горючие топлива</t>
  </si>
  <si>
    <t>of which: renewables</t>
  </si>
  <si>
    <t>из которых: возобновляемые источники энергии</t>
  </si>
  <si>
    <t>[MWe]</t>
  </si>
  <si>
    <t>[%]</t>
  </si>
  <si>
    <t>Illustration graph:</t>
  </si>
  <si>
    <t>x-axis title</t>
  </si>
  <si>
    <t>Arbitrary max capacity</t>
  </si>
  <si>
    <t>MW</t>
  </si>
  <si>
    <t>max production</t>
  </si>
  <si>
    <t>4)</t>
  </si>
  <si>
    <t>5)</t>
  </si>
  <si>
    <t>6)</t>
  </si>
  <si>
    <t>Data validation: Electricity and heat generation sector</t>
  </si>
  <si>
    <t>Проверка достоверности данных: Сектор генерации электрической и тепловой энергии</t>
  </si>
  <si>
    <t>Electricity-only plants</t>
  </si>
  <si>
    <t>Primary electricity is obtained from natural sources such as hydro, wind and solar power, whereas primary heat is obtained from geothermal and solar thermal power. Secondary electricity and heat is produced e.g by burning primary combustible fuels such as coal, natural gas, oil and renewables and wastes. The annual questionnaires classify electricity and heat generating plants into three groups:
1) Electricity-only plants, which generate electricity only;
2) Heat-only plants, which generate heat only;
3) Combined heat and power plants (CHP), which generate heat and electricity in a combined process.</t>
  </si>
  <si>
    <t>Первичную электроэнергию получают из природных источников, таких как гидро, ветряные и солнечные, а первичную тепловую энергию – из геотермальной и солнечной тепловой энергии. Вторичная электрическая и тепловая энергия производятся, например, путем сжигания первичных видов горючего топлива, таких как уголь, природный газ, нефть, а также с использованием возобновляемых источников и отходов. Ежегодные вопросники разделяют электростанции и тепловые установки на три группы:
1) Станции, вырабатывающие только электроэнергию;
2) Установки, вырабатывающие только тепловую энергию;
3) Электростанции с комбинированным производством электрической и тепловой энергии (ТЭЦ).</t>
  </si>
  <si>
    <t>Efficiency</t>
  </si>
  <si>
    <t>Must always be between 0-100%!</t>
  </si>
  <si>
    <t>Всегда должен быть от 0 до 100 %!</t>
  </si>
  <si>
    <t>Efficiency calculator (not linked to the data):</t>
  </si>
  <si>
    <t>Калькулятор КПД (не привязан к данным):</t>
  </si>
  <si>
    <t>Density (only for liquids)</t>
  </si>
  <si>
    <t>Плотность (только для жидкостей)</t>
  </si>
  <si>
    <t>Calorific value</t>
  </si>
  <si>
    <t>Значение теплотворной способности</t>
  </si>
  <si>
    <t>Adjustment for zeros</t>
  </si>
  <si>
    <t>Поправка для нолей</t>
  </si>
  <si>
    <t>Net-to-gross ratio (only for gases)</t>
  </si>
  <si>
    <t>Соотношение высшей и низшей теплотворной способности (только для газов)</t>
  </si>
  <si>
    <t>Convert from TJ to ktoe</t>
  </si>
  <si>
    <t>Пересчет из ТДж и кт н. э.</t>
  </si>
  <si>
    <t>kilotonnes; cubic metres; barrels…</t>
  </si>
  <si>
    <t>килотонны; кубические метры; баррели...</t>
  </si>
  <si>
    <t>bbl/ton; kg/m3…</t>
  </si>
  <si>
    <t>баррель/т; кг/м3…</t>
  </si>
  <si>
    <t>kt to kg; kJ to TJ…</t>
  </si>
  <si>
    <t>кт к кг; кДж к ТДж...</t>
  </si>
  <si>
    <t>kJ/m3; kJ/kg; Gcal/t…</t>
  </si>
  <si>
    <t>кДж/м3; кДж/кг; Гкал/t…</t>
  </si>
  <si>
    <t>From kJ; TJ; Gcal…</t>
  </si>
  <si>
    <t>Из кДж; ТДж; Гкал…</t>
  </si>
  <si>
    <t>Example</t>
  </si>
  <si>
    <t>Пример</t>
  </si>
  <si>
    <t>In Statisland, 0.5 bcm of natural gas is used annually to generate electricity and heat in CHP-plants. The gross calorific value (GCV) of the gas is 38 800 kJ/m3. The net-to-gross ratio for natural gas is 90%. Annual electricity output is 1800 GWh and heat output 7500 TJ.
Calculate the generation efficiency for the CHP plants.</t>
  </si>
  <si>
    <t>В Статисландии для генерации электрической и тепловой энергии при помощи ТЭЦ ежегодно используют 0,5 млрд. кубометров природного газа. Высшая теплотворная способность газа равна 38 800 кДж/м3. Соотношение высшей и низшей теплотворной способности природного газа равняется 90 %. Ежегодная выработка электроэнергии составляет 1800 ГВт·ч, а выработка тепла – 7500 ТДж.
Рассчитайте КПД генерации для ТЭЦ.</t>
  </si>
  <si>
    <t>Statisland consumes 50 kt of bituminous coal to generate electricity. The electricity company reports that the annual electricity output is 122 GWh, and the generation efficiency is 35%.
What is the calorific value of the used coal?</t>
  </si>
  <si>
    <t>Статисландия потребляет 50 кт битуминозного угля для производства электроэнергии. Согласно отчетам электроэнергетической компании, ее годовая выработка электроэнергии составляет 122 ГВт·ч, а КПД генерации – 35 %.
Каково значение теплотворной способности используемого ею угля?</t>
  </si>
  <si>
    <t>The plant from example 1 is converted to an electricity-only plant (produces 0 TJ heat). How much does the efficiency change?</t>
  </si>
  <si>
    <t>Теплоэлектростанция из примера 1 переведена исключительно на производство электроэнергии (производит 0 ТДж тепла). Насколько изменился КПД?</t>
  </si>
  <si>
    <t>Answer</t>
  </si>
  <si>
    <t>Ответ</t>
  </si>
  <si>
    <t>Figures for answer:</t>
  </si>
  <si>
    <t>+</t>
  </si>
  <si>
    <t>bcm</t>
  </si>
  <si>
    <t>kJ/m3</t>
  </si>
  <si>
    <t>0.9; 1.0</t>
  </si>
  <si>
    <t>Balance builder version history</t>
  </si>
  <si>
    <t>Changes</t>
  </si>
  <si>
    <t>Type</t>
  </si>
  <si>
    <t>October 2017.1</t>
  </si>
  <si>
    <t xml:space="preserve">-Added compatibility with annual IEA/Eurostat/UNECE questionnaires up to 2016 </t>
  </si>
  <si>
    <t>-New output-sheets</t>
  </si>
  <si>
    <t>--Energy balance in IEA published format</t>
  </si>
  <si>
    <t>--Data validation checks (iron&amp;steel, oil refinery, power&amp;heat)</t>
  </si>
  <si>
    <t>-New language: Russian</t>
  </si>
  <si>
    <t>October 2017.2</t>
  </si>
  <si>
    <t>-Minor bug fixes</t>
  </si>
  <si>
    <t>-Improved Russian translation</t>
  </si>
  <si>
    <t>-Fixed a bug with PDF-report page margins</t>
  </si>
  <si>
    <t>-Added link to the original file on the IEA website</t>
  </si>
  <si>
    <t>November 2017.1</t>
  </si>
  <si>
    <t>-Added exceptions for a set of countries when there is hydrogen production from natural gas. In the current international methodology hydrogen is not reported separately, therefore showing it in the balance is currently complicated.</t>
  </si>
  <si>
    <t>January 2018.1</t>
  </si>
  <si>
    <t>-Fixed formula for statistical difference</t>
  </si>
  <si>
    <t>-Added print areas to output sheets</t>
  </si>
  <si>
    <t>-Increased conversion factor accuracy</t>
  </si>
  <si>
    <t>February 2018.1</t>
  </si>
  <si>
    <t>-Sheet 'IronSteel_CokeOven': Corrected the sign for "Other inputs"</t>
  </si>
  <si>
    <t>December 2018.1</t>
  </si>
  <si>
    <t>-Updated to new year</t>
  </si>
  <si>
    <t>-Actualized to updated annual questionnaires 2017</t>
  </si>
  <si>
    <t>May 2019.1</t>
  </si>
  <si>
    <t>-Corrected a formula for non-specified transformation for oil and oil products in the sheet "Published balance" (Cells C26:D26)</t>
  </si>
  <si>
    <t>June 2019.1</t>
  </si>
  <si>
    <t>-Corrected colour scheme for 'CapacityFactor'-sheet (colour were reversed between the example and the data table)</t>
  </si>
  <si>
    <t>December 2019.1</t>
  </si>
  <si>
    <t>-Corrected colours to match the new IEA visual identity</t>
  </si>
  <si>
    <t>-Put the precision to 3 decimals in the tables</t>
  </si>
  <si>
    <t>-Minor bug fixed regarding questionnaire loading.</t>
  </si>
  <si>
    <t>-Added Hungary to the exception n°7 regarding the use of Hydrogen in refinery.</t>
  </si>
  <si>
    <t xml:space="preserve">-Took out Hungary and Turkey of exception n°11 concerning the treatment of electricity generation from Other Sources. </t>
  </si>
  <si>
    <t>August 2021.1</t>
  </si>
  <si>
    <t>-Updated years on Main Menu page</t>
  </si>
  <si>
    <t>-Bug fixed regarding questionnaire loading</t>
  </si>
  <si>
    <t>-Updated Oil Table2a row 33 to match new flow name in 2020 questionnaire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</si>
</sst>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64" formatCode="_(* #,##0.00_);_(* \(#,##0.00\);_(* &quot;-&quot;??_);_(@_)"/>
    <numFmt numFmtId="165" formatCode="#,##0.000;\-#,##0.000;\-;"/>
    <numFmt numFmtId="166" formatCode="@&quot; &quot;"/>
    <numFmt numFmtId="167" formatCode="0______"/>
    <numFmt numFmtId="168" formatCode="0;\-0;\-"/>
    <numFmt numFmtId="169" formatCode="0.0%"/>
    <numFmt numFmtId="170" formatCode="0.0"/>
    <numFmt numFmtId="171" formatCode="#"/>
    <numFmt numFmtId="172" formatCode="0;\-0;&quot;-&quot;;@"/>
    <numFmt numFmtId="173" formatCode="0.000"/>
    <numFmt numFmtId="174" formatCode="0.00000"/>
    <numFmt numFmtId="175" formatCode="#,##0.000"/>
    <numFmt numFmtId="176" formatCode="mm/dd/yyyy"/>
    <numFmt numFmtId="177" formatCode="mm/dd/yyyy\ hh:mm;;0;"/>
    <numFmt numFmtId="178" formatCode="???,???.00"/>
    <numFmt numFmtId="179" formatCode="#,##0.0000"/>
    <numFmt numFmtId="180" formatCode="_-* #,##0.00\ _E_C_U_-;\-* #,##0.00\ _E_C_U_-;_-* &quot;-&quot;??\ _E_C_U_-;_-@_-"/>
    <numFmt numFmtId="181" formatCode="0.000;\-0.000;&quot;-&quot;;@"/>
    <numFmt numFmtId="182" formatCode="#,##0.000;\-#,##0.000;\-"/>
  </numFmts>
  <fonts count="1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i/>
      <sz val="10"/>
      <name val="Arial"/>
      <family val="2"/>
    </font>
    <font>
      <b/>
      <sz val="10"/>
      <name val="Arial"/>
      <family val="2"/>
    </font>
    <font>
      <u/>
      <sz val="7.5"/>
      <color indexed="12"/>
      <name val="Arial"/>
      <family val="2"/>
    </font>
    <font>
      <sz val="8"/>
      <name val="Arial"/>
      <family val="2"/>
    </font>
    <font>
      <b/>
      <i/>
      <sz val="10"/>
      <name val="Arial"/>
      <family val="2"/>
    </font>
    <font>
      <sz val="8"/>
      <color indexed="81"/>
      <name val="Tahoma"/>
      <family val="2"/>
    </font>
    <font>
      <sz val="9"/>
      <name val="Times New Roman"/>
      <family val="1"/>
    </font>
    <font>
      <b/>
      <sz val="9"/>
      <name val="Times New Roman"/>
      <family val="1"/>
    </font>
    <font>
      <b/>
      <sz val="12"/>
      <name val="Times New Roman"/>
      <family val="1"/>
    </font>
    <font>
      <sz val="10"/>
      <color indexed="16"/>
      <name val="Arial"/>
      <family val="2"/>
    </font>
    <font>
      <b/>
      <sz val="12"/>
      <name val="Arial"/>
      <family val="2"/>
    </font>
    <font>
      <b/>
      <sz val="20"/>
      <color indexed="9"/>
      <name val="Arial"/>
      <family val="2"/>
    </font>
    <font>
      <sz val="10"/>
      <color indexed="9"/>
      <name val="Arial"/>
      <family val="2"/>
    </font>
    <font>
      <b/>
      <sz val="20"/>
      <color indexed="58"/>
      <name val="Arial"/>
      <family val="2"/>
    </font>
    <font>
      <sz val="10"/>
      <color indexed="58"/>
      <name val="Arial"/>
      <family val="2"/>
    </font>
    <font>
      <b/>
      <sz val="10"/>
      <color indexed="58"/>
      <name val="Arial"/>
      <family val="2"/>
    </font>
    <font>
      <sz val="12"/>
      <name val="Arial"/>
      <family val="2"/>
    </font>
    <font>
      <b/>
      <sz val="10"/>
      <color indexed="12"/>
      <name val="Arial"/>
      <family val="2"/>
    </font>
    <font>
      <sz val="14"/>
      <color indexed="58"/>
      <name val="Arial"/>
      <family val="2"/>
    </font>
    <font>
      <b/>
      <sz val="16"/>
      <color indexed="9"/>
      <name val="Arial"/>
      <family val="2"/>
    </font>
    <font>
      <b/>
      <sz val="8"/>
      <color indexed="9"/>
      <name val="Arial"/>
      <family val="2"/>
    </font>
    <font>
      <sz val="8"/>
      <color indexed="9"/>
      <name val="Arial"/>
      <family val="2"/>
    </font>
    <font>
      <sz val="10"/>
      <name val="Arial"/>
      <family val="2"/>
    </font>
    <font>
      <sz val="10"/>
      <color indexed="8"/>
      <name val="Arial"/>
      <family val="2"/>
    </font>
    <font>
      <sz val="9"/>
      <name val="Arial"/>
      <family val="2"/>
    </font>
    <font>
      <b/>
      <sz val="9"/>
      <name val="Arial"/>
      <family val="2"/>
    </font>
    <font>
      <b/>
      <sz val="9"/>
      <name val="Helvetica"/>
      <family val="2"/>
    </font>
    <font>
      <sz val="10"/>
      <color indexed="22"/>
      <name val="Arial"/>
      <family val="2"/>
    </font>
    <font>
      <sz val="10"/>
      <color indexed="10"/>
      <name val="Arial"/>
      <family val="2"/>
    </font>
    <font>
      <sz val="7"/>
      <name val="Arial"/>
      <family val="2"/>
    </font>
    <font>
      <sz val="8"/>
      <name val="Arial"/>
      <family val="2"/>
    </font>
    <font>
      <sz val="10"/>
      <name val="MS Gothic"/>
      <family val="3"/>
    </font>
    <font>
      <b/>
      <sz val="9"/>
      <name val="Wingdings"/>
      <charset val="2"/>
    </font>
    <font>
      <i/>
      <sz val="8"/>
      <name val="Arial"/>
      <family val="2"/>
    </font>
    <font>
      <b/>
      <sz val="8"/>
      <name val="Arial"/>
      <family val="2"/>
    </font>
    <font>
      <sz val="8"/>
      <color indexed="23"/>
      <name val="Arial"/>
      <family val="2"/>
    </font>
    <font>
      <b/>
      <sz val="8"/>
      <color indexed="10"/>
      <name val="Arial"/>
      <family val="2"/>
    </font>
    <font>
      <sz val="8"/>
      <name val="Times New Roman"/>
      <family val="1"/>
    </font>
    <font>
      <i/>
      <sz val="9"/>
      <name val="Times New Roman"/>
      <family val="1"/>
    </font>
    <font>
      <sz val="10"/>
      <name val="Times New Roman"/>
      <family val="1"/>
    </font>
    <font>
      <b/>
      <sz val="10"/>
      <name val="Times New Roman"/>
      <family val="1"/>
    </font>
    <font>
      <sz val="8"/>
      <color indexed="9"/>
      <name val="Times New Roman"/>
      <family val="1"/>
    </font>
    <font>
      <i/>
      <sz val="8"/>
      <name val="Times New Roman"/>
      <family val="1"/>
    </font>
    <font>
      <i/>
      <sz val="10"/>
      <name val="Times New Roman"/>
      <family val="1"/>
    </font>
    <font>
      <b/>
      <sz val="8"/>
      <name val="Times New Roman"/>
      <family val="1"/>
    </font>
    <font>
      <i/>
      <sz val="7"/>
      <name val="Arial"/>
      <family val="2"/>
    </font>
    <font>
      <b/>
      <u/>
      <sz val="9"/>
      <name val="Arial"/>
      <family val="2"/>
    </font>
    <font>
      <b/>
      <sz val="7"/>
      <name val="Arial"/>
      <family val="2"/>
    </font>
    <font>
      <vertAlign val="superscript"/>
      <sz val="8"/>
      <name val="Arial"/>
      <family val="2"/>
    </font>
    <font>
      <b/>
      <sz val="12"/>
      <color indexed="10"/>
      <name val="Arial"/>
      <family val="2"/>
    </font>
    <font>
      <sz val="7"/>
      <color indexed="9"/>
      <name val="Arial"/>
      <family val="2"/>
    </font>
    <font>
      <sz val="8.5"/>
      <name val="Arial"/>
      <family val="2"/>
    </font>
    <font>
      <sz val="8"/>
      <name val="Arial"/>
      <family val="2"/>
    </font>
    <font>
      <sz val="8"/>
      <name val="Arial"/>
      <family val="2"/>
    </font>
    <font>
      <b/>
      <sz val="8"/>
      <color indexed="81"/>
      <name val="Tahoma"/>
      <family val="2"/>
    </font>
    <font>
      <b/>
      <vertAlign val="superscript"/>
      <sz val="9"/>
      <name val="Arial"/>
      <family val="2"/>
    </font>
    <font>
      <b/>
      <sz val="12"/>
      <color indexed="9"/>
      <name val="Arial"/>
      <family val="2"/>
    </font>
    <font>
      <b/>
      <sz val="14"/>
      <color indexed="9"/>
      <name val="Arial"/>
      <family val="2"/>
    </font>
    <font>
      <b/>
      <sz val="14"/>
      <name val="Arial"/>
      <family val="2"/>
    </font>
    <font>
      <u/>
      <sz val="11"/>
      <color indexed="12"/>
      <name val="Arial"/>
      <family val="2"/>
    </font>
    <font>
      <b/>
      <sz val="10"/>
      <color indexed="9"/>
      <name val="Arial"/>
      <family val="2"/>
    </font>
    <font>
      <sz val="8"/>
      <color indexed="8"/>
      <name val="Arial"/>
      <family val="2"/>
    </font>
    <font>
      <sz val="10"/>
      <color indexed="8"/>
      <name val="Arial"/>
      <family val="2"/>
    </font>
    <font>
      <b/>
      <sz val="10"/>
      <color indexed="8"/>
      <name val="Arial"/>
      <family val="2"/>
    </font>
    <font>
      <b/>
      <sz val="14"/>
      <color indexed="8"/>
      <name val="Arial"/>
      <family val="2"/>
    </font>
    <font>
      <b/>
      <sz val="12"/>
      <color indexed="30"/>
      <name val="Arial"/>
      <family val="2"/>
    </font>
    <font>
      <sz val="9"/>
      <color indexed="81"/>
      <name val="Tahoma"/>
      <family val="2"/>
    </font>
    <font>
      <b/>
      <sz val="9"/>
      <color indexed="81"/>
      <name val="Tahoma"/>
      <family val="2"/>
    </font>
    <font>
      <b/>
      <sz val="16"/>
      <name val="Arial"/>
      <family val="2"/>
    </font>
    <font>
      <sz val="14"/>
      <name val="Arial"/>
      <family val="2"/>
    </font>
    <font>
      <sz val="16"/>
      <name val="Arial"/>
      <family val="2"/>
    </font>
    <font>
      <sz val="8"/>
      <color indexed="12"/>
      <name val="Arial"/>
      <family val="2"/>
    </font>
    <font>
      <b/>
      <sz val="8"/>
      <color indexed="12"/>
      <name val="Arial"/>
      <family val="2"/>
    </font>
    <font>
      <i/>
      <sz val="8"/>
      <color indexed="12"/>
      <name val="Arial"/>
      <family val="2"/>
    </font>
    <font>
      <i/>
      <u/>
      <sz val="8"/>
      <color indexed="12"/>
      <name val="Arial"/>
      <family val="2"/>
    </font>
    <font>
      <u/>
      <sz val="8"/>
      <name val="Arial"/>
      <family val="2"/>
    </font>
    <font>
      <i/>
      <sz val="9"/>
      <name val="Arial"/>
      <family val="2"/>
    </font>
    <font>
      <b/>
      <sz val="11"/>
      <name val="Arial"/>
      <family val="2"/>
    </font>
    <font>
      <b/>
      <sz val="20"/>
      <name val="Arial"/>
      <family val="2"/>
    </font>
    <font>
      <b/>
      <sz val="18"/>
      <name val="Arial"/>
      <family val="2"/>
    </font>
    <font>
      <b/>
      <i/>
      <sz val="8"/>
      <name val="Arial"/>
      <family val="2"/>
    </font>
    <font>
      <sz val="8"/>
      <color indexed="58"/>
      <name val="Arial"/>
      <family val="2"/>
    </font>
    <font>
      <u/>
      <sz val="8"/>
      <color indexed="12"/>
      <name val="Arial"/>
      <family val="2"/>
    </font>
    <font>
      <sz val="8"/>
      <color indexed="16"/>
      <name val="Arial"/>
      <family val="2"/>
    </font>
    <font>
      <b/>
      <sz val="18"/>
      <color indexed="9"/>
      <name val="Arial"/>
      <family val="2"/>
    </font>
    <font>
      <sz val="9"/>
      <color indexed="9"/>
      <name val="Arial"/>
      <family val="2"/>
    </font>
    <font>
      <i/>
      <sz val="10"/>
      <color indexed="58"/>
      <name val="Arial"/>
      <family val="2"/>
    </font>
    <font>
      <i/>
      <sz val="10"/>
      <color indexed="16"/>
      <name val="Arial"/>
      <family val="2"/>
    </font>
    <font>
      <b/>
      <i/>
      <sz val="9"/>
      <color indexed="8"/>
      <name val="Arial"/>
      <family val="2"/>
    </font>
    <font>
      <b/>
      <i/>
      <sz val="9"/>
      <name val="Arial"/>
      <family val="2"/>
    </font>
    <font>
      <b/>
      <sz val="8"/>
      <color indexed="8"/>
      <name val="Arial"/>
      <family val="2"/>
    </font>
    <font>
      <b/>
      <sz val="16"/>
      <color theme="0"/>
      <name val="Arial"/>
      <family val="2"/>
    </font>
    <font>
      <b/>
      <sz val="20"/>
      <color theme="0"/>
      <name val="Arial"/>
      <family val="2"/>
    </font>
    <font>
      <b/>
      <sz val="8"/>
      <color rgb="FF0000FF"/>
      <name val="Arial"/>
      <family val="2"/>
    </font>
    <font>
      <sz val="8"/>
      <color rgb="FF0000FF"/>
      <name val="Arial"/>
      <family val="2"/>
    </font>
    <font>
      <b/>
      <sz val="8"/>
      <color theme="1"/>
      <name val="Arial"/>
      <family val="2"/>
    </font>
    <font>
      <i/>
      <sz val="8"/>
      <color rgb="FF0000FF"/>
      <name val="Arial"/>
      <family val="2"/>
    </font>
    <font>
      <b/>
      <sz val="10"/>
      <color theme="1"/>
      <name val="Arial"/>
      <family val="2"/>
    </font>
    <font>
      <b/>
      <sz val="10"/>
      <color rgb="FF0000FF"/>
      <name val="Arial"/>
      <family val="2"/>
    </font>
    <font>
      <b/>
      <sz val="8"/>
      <color rgb="FFFF0000"/>
      <name val="Arial"/>
      <family val="2"/>
    </font>
    <font>
      <b/>
      <sz val="12"/>
      <color rgb="FF7030A0"/>
      <name val="Calibri"/>
      <family val="2"/>
      <scheme val="minor"/>
    </font>
    <font>
      <sz val="12"/>
      <color rgb="FF7030A0"/>
      <name val="Calibri"/>
      <family val="2"/>
      <scheme val="minor"/>
    </font>
    <font>
      <sz val="10"/>
      <color rgb="FF0000FF"/>
      <name val="Arial"/>
      <family val="2"/>
    </font>
    <font>
      <b/>
      <sz val="11"/>
      <color rgb="FF1F497D"/>
      <name val="Arial"/>
      <family val="2"/>
    </font>
    <font>
      <sz val="8"/>
      <color theme="0"/>
      <name val="Arial"/>
      <family val="2"/>
    </font>
    <font>
      <sz val="8"/>
      <color theme="0" tint="-0.499984740745262"/>
      <name val="Arial"/>
      <family val="2"/>
    </font>
    <font>
      <b/>
      <sz val="11"/>
      <color rgb="FF0000FF"/>
      <name val="Arial"/>
      <family val="2"/>
    </font>
    <font>
      <b/>
      <sz val="8.5"/>
      <name val="Arial"/>
      <family val="2"/>
    </font>
    <font>
      <sz val="11"/>
      <color indexed="8"/>
      <name val="Arial"/>
      <family val="2"/>
    </font>
    <font>
      <i/>
      <sz val="8"/>
      <color theme="0" tint="-0.499984740745262"/>
      <name val="Arial"/>
      <family val="2"/>
    </font>
    <font>
      <sz val="12"/>
      <color indexed="9"/>
      <name val="Arial"/>
      <family val="2"/>
    </font>
    <font>
      <b/>
      <sz val="7"/>
      <color rgb="FF0000FF"/>
      <name val="Arial"/>
      <family val="2"/>
    </font>
    <font>
      <sz val="7"/>
      <color rgb="FF0000FF"/>
      <name val="Arial"/>
      <family val="2"/>
    </font>
    <font>
      <i/>
      <sz val="7"/>
      <color rgb="FF0000FF"/>
      <name val="Arial"/>
      <family val="2"/>
    </font>
    <font>
      <b/>
      <i/>
      <sz val="7"/>
      <name val="Arial"/>
      <family val="2"/>
    </font>
    <font>
      <b/>
      <sz val="10.5"/>
      <color indexed="9"/>
      <name val="Arial"/>
      <family val="2"/>
    </font>
    <font>
      <b/>
      <sz val="8"/>
      <color theme="0"/>
      <name val="Arial"/>
      <family val="2"/>
    </font>
    <font>
      <sz val="8"/>
      <color rgb="FF58B552"/>
      <name val="Arial"/>
      <family val="2"/>
    </font>
    <font>
      <b/>
      <sz val="11"/>
      <color theme="0"/>
      <name val="Arial"/>
      <family val="2"/>
    </font>
    <font>
      <b/>
      <i/>
      <u/>
      <sz val="11"/>
      <color indexed="12"/>
      <name val="Arial"/>
      <family val="2"/>
    </font>
    <font>
      <b/>
      <u/>
      <sz val="11"/>
      <color indexed="12"/>
      <name val="Arial"/>
      <family val="2"/>
    </font>
    <font>
      <b/>
      <sz val="7"/>
      <color indexed="9"/>
      <name val="Arial"/>
      <family val="2"/>
    </font>
    <font>
      <b/>
      <sz val="7"/>
      <color theme="0"/>
      <name val="Arial"/>
      <family val="2"/>
    </font>
    <font>
      <b/>
      <sz val="9"/>
      <color theme="0"/>
      <name val="Arial"/>
      <family val="2"/>
    </font>
    <font>
      <b/>
      <sz val="7"/>
      <color theme="1"/>
      <name val="Arial"/>
      <family val="2"/>
    </font>
    <font>
      <u/>
      <sz val="7"/>
      <name val="Arial"/>
      <family val="2"/>
    </font>
    <font>
      <sz val="7"/>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rgb="FF000000"/>
      <name val="Arial"/>
      <family val="2"/>
    </font>
    <font>
      <b/>
      <sz val="10"/>
      <color indexed="30"/>
      <name val="Arial"/>
      <family val="2"/>
    </font>
    <font>
      <b/>
      <sz val="8.5"/>
      <name val="Times New Roman"/>
      <family val="1"/>
    </font>
    <font>
      <sz val="8.5"/>
      <name val="Times New Roman"/>
      <family val="1"/>
    </font>
    <font>
      <sz val="8"/>
      <color indexed="10"/>
      <name val="Arial"/>
      <family val="2"/>
    </font>
    <font>
      <b/>
      <sz val="10"/>
      <color rgb="FFFF0000"/>
      <name val="Arial"/>
      <family val="2"/>
    </font>
    <font>
      <b/>
      <sz val="8.5"/>
      <color rgb="FFFF0000"/>
      <name val="Arial"/>
      <family val="2"/>
    </font>
    <font>
      <sz val="20"/>
      <color rgb="FF0044FF"/>
      <name val="Arial"/>
      <family val="2"/>
    </font>
    <font>
      <sz val="10"/>
      <color rgb="FF0044FF"/>
      <name val="Arial"/>
      <family val="2"/>
    </font>
    <font>
      <sz val="22"/>
      <color theme="0"/>
      <name val="Arial"/>
      <family val="2"/>
    </font>
    <font>
      <sz val="20"/>
      <color theme="0"/>
      <name val="Arial"/>
      <family val="2"/>
    </font>
    <font>
      <sz val="9"/>
      <color theme="0"/>
      <name val="Arial"/>
      <family val="2"/>
    </font>
    <font>
      <sz val="10"/>
      <color theme="0"/>
      <name val="Arial"/>
      <family val="2"/>
    </font>
    <font>
      <u/>
      <sz val="9"/>
      <color theme="0"/>
      <name val="Arial"/>
      <family val="2"/>
    </font>
    <font>
      <sz val="14"/>
      <color theme="0"/>
      <name val="Arial"/>
      <family val="2"/>
    </font>
    <font>
      <sz val="11"/>
      <color theme="0"/>
      <name val="Arial"/>
      <family val="2"/>
    </font>
    <font>
      <sz val="18"/>
      <color theme="0"/>
      <name val="Arial"/>
      <family val="2"/>
    </font>
    <font>
      <b/>
      <i/>
      <u/>
      <sz val="11"/>
      <color theme="0"/>
      <name val="Arial"/>
      <family val="2"/>
    </font>
    <font>
      <b/>
      <u/>
      <sz val="11"/>
      <color theme="0"/>
      <name val="Arial"/>
      <family val="2"/>
    </font>
    <font>
      <u/>
      <sz val="10"/>
      <color indexed="12"/>
      <name val="Arial"/>
      <family val="2"/>
    </font>
    <font>
      <b/>
      <sz val="14"/>
      <color indexed="18"/>
      <name val="Arial"/>
      <family val="2"/>
    </font>
    <font>
      <u/>
      <sz val="10"/>
      <color theme="10"/>
      <name val="Arial"/>
      <family val="2"/>
    </font>
    <font>
      <sz val="8"/>
      <name val="Helvetica"/>
      <family val="2"/>
    </font>
    <font>
      <b/>
      <sz val="12"/>
      <color indexed="12"/>
      <name val="Arial"/>
      <family val="2"/>
    </font>
    <font>
      <sz val="10"/>
      <color theme="1"/>
      <name val="Arial"/>
      <family val="2"/>
    </font>
    <font>
      <sz val="11"/>
      <color indexed="8"/>
      <name val="Calibri"/>
      <family val="2"/>
    </font>
    <font>
      <sz val="10"/>
      <color rgb="FF9C0006"/>
      <name val="Times New Roman"/>
      <family val="2"/>
    </font>
    <font>
      <sz val="10"/>
      <color rgb="FF006100"/>
      <name val="Times New Roman"/>
      <family val="2"/>
    </font>
    <font>
      <sz val="10"/>
      <color rgb="FF9C6500"/>
      <name val="Times New Roman"/>
      <family val="2"/>
    </font>
    <font>
      <sz val="10"/>
      <color theme="1"/>
      <name val="Times New Roman"/>
      <family val="2"/>
    </font>
    <font>
      <u/>
      <sz val="9"/>
      <color theme="10"/>
      <name val="Arial"/>
      <family val="2"/>
    </font>
    <font>
      <u/>
      <sz val="7.5"/>
      <color theme="0"/>
      <name val="Arial"/>
      <family val="2"/>
    </font>
    <font>
      <b/>
      <sz val="8"/>
      <color rgb="FF000000"/>
      <name val="Arial"/>
      <family val="2"/>
    </font>
    <font>
      <b/>
      <sz val="11"/>
      <color indexed="9"/>
      <name val="Arial"/>
      <family val="2"/>
    </font>
    <font>
      <sz val="11"/>
      <name val="Arial"/>
      <family val="2"/>
    </font>
    <font>
      <sz val="11"/>
      <color indexed="12"/>
      <name val="Arial"/>
      <family val="2"/>
    </font>
    <font>
      <b/>
      <sz val="11"/>
      <color theme="1"/>
      <name val="Arial"/>
      <family val="2"/>
    </font>
    <font>
      <b/>
      <sz val="11"/>
      <color indexed="12"/>
      <name val="Arial"/>
      <family val="2"/>
    </font>
    <font>
      <sz val="11"/>
      <color rgb="FF0000FF"/>
      <name val="Arial"/>
      <family val="2"/>
    </font>
    <font>
      <i/>
      <sz val="11"/>
      <color indexed="12"/>
      <name val="Arial"/>
      <family val="2"/>
    </font>
    <font>
      <i/>
      <sz val="11"/>
      <name val="Arial"/>
      <family val="2"/>
    </font>
  </fonts>
  <fills count="80">
    <fill>
      <patternFill patternType="none"/>
    </fill>
    <fill>
      <patternFill patternType="gray125"/>
    </fill>
    <fill>
      <patternFill patternType="solid">
        <fgColor indexed="9"/>
        <bgColor indexed="64"/>
      </patternFill>
    </fill>
    <fill>
      <patternFill patternType="solid">
        <fgColor indexed="57"/>
        <bgColor indexed="64"/>
      </patternFill>
    </fill>
    <fill>
      <patternFill patternType="solid">
        <fgColor indexed="22"/>
        <bgColor indexed="64"/>
      </patternFill>
    </fill>
    <fill>
      <patternFill patternType="solid">
        <fgColor indexed="53"/>
        <bgColor indexed="64"/>
      </patternFill>
    </fill>
    <fill>
      <patternFill patternType="solid">
        <fgColor indexed="62"/>
        <bgColor indexed="64"/>
      </patternFill>
    </fill>
    <fill>
      <patternFill patternType="solid">
        <fgColor indexed="60"/>
        <bgColor indexed="64"/>
      </patternFill>
    </fill>
    <fill>
      <patternFill patternType="solid">
        <fgColor indexed="63"/>
        <bgColor indexed="64"/>
      </patternFill>
    </fill>
    <fill>
      <patternFill patternType="solid">
        <fgColor indexed="13"/>
        <bgColor indexed="64"/>
      </patternFill>
    </fill>
    <fill>
      <patternFill patternType="solid">
        <fgColor indexed="65"/>
        <bgColor indexed="64"/>
      </patternFill>
    </fill>
    <fill>
      <patternFill patternType="solid">
        <fgColor rgb="FF58B552"/>
        <bgColor indexed="64"/>
      </patternFill>
    </fill>
    <fill>
      <patternFill patternType="solid">
        <fgColor theme="0"/>
        <bgColor indexed="64"/>
      </patternFill>
    </fill>
    <fill>
      <patternFill patternType="solid">
        <fgColor rgb="FF0066FF"/>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00B050"/>
        <bgColor indexed="64"/>
      </patternFill>
    </fill>
    <fill>
      <patternFill patternType="solid">
        <fgColor rgb="FFD05FF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0000"/>
        <bgColor indexed="64"/>
      </patternFill>
    </fill>
    <fill>
      <patternFill patternType="solid">
        <fgColor theme="4" tint="0.59999389629810485"/>
        <bgColor indexed="64"/>
      </patternFill>
    </fill>
    <fill>
      <patternFill patternType="solid">
        <fgColor theme="5" tint="0.59999389629810485"/>
        <bgColor indexed="64"/>
      </patternFill>
    </fill>
    <fill>
      <patternFill patternType="solid">
        <fgColor rgb="FF993300"/>
        <bgColor indexed="64"/>
      </patternFill>
    </fill>
    <fill>
      <patternFill patternType="solid">
        <fgColor theme="1"/>
        <bgColor indexed="64"/>
      </patternFill>
    </fill>
    <fill>
      <patternFill patternType="solid">
        <fgColor rgb="FFD8E4BC"/>
        <bgColor indexed="64"/>
      </patternFill>
    </fill>
    <fill>
      <patternFill patternType="solid">
        <fgColor theme="5"/>
        <bgColor indexed="64"/>
      </patternFill>
    </fill>
    <fill>
      <patternFill patternType="solid">
        <fgColor theme="6"/>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rgb="FF808080"/>
        <bgColor indexed="64"/>
      </patternFill>
    </fill>
    <fill>
      <patternFill patternType="solid">
        <fgColor rgb="FFFFFFCC"/>
      </patternFill>
    </fill>
    <fill>
      <patternFill patternType="solid">
        <fgColor rgb="FF0044FF"/>
        <bgColor indexed="64"/>
      </patternFill>
    </fill>
    <fill>
      <patternFill patternType="solid">
        <fgColor indexed="43"/>
        <bgColor indexed="64"/>
      </patternFill>
    </fill>
    <fill>
      <patternFill patternType="solid">
        <fgColor indexed="47"/>
        <bgColor indexed="64"/>
      </patternFill>
    </fill>
    <fill>
      <patternFill patternType="solid">
        <fgColor indexed="41"/>
        <bgColor indexed="64"/>
      </patternFill>
    </fill>
    <fill>
      <patternFill patternType="darkTrellis"/>
    </fill>
    <fill>
      <patternFill patternType="solid">
        <fgColor theme="8" tint="-0.249977111117893"/>
        <bgColor indexed="64"/>
      </patternFill>
    </fill>
    <fill>
      <patternFill patternType="solid">
        <fgColor theme="8"/>
        <bgColor indexed="64"/>
      </patternFill>
    </fill>
    <fill>
      <patternFill patternType="solid">
        <fgColor rgb="FFD9D9D9"/>
        <bgColor rgb="FF000000"/>
      </patternFill>
    </fill>
    <fill>
      <patternFill patternType="solid">
        <fgColor rgb="FFB7DEE8"/>
        <bgColor rgb="FF000000"/>
      </patternFill>
    </fill>
    <fill>
      <patternFill patternType="solid">
        <fgColor rgb="FFD8E4BC"/>
        <bgColor rgb="FF000000"/>
      </patternFill>
    </fill>
  </fills>
  <borders count="324">
    <border>
      <left/>
      <right/>
      <top/>
      <bottom/>
      <diagonal/>
    </border>
    <border>
      <left style="double">
        <color indexed="64"/>
      </left>
      <right/>
      <top style="double">
        <color indexed="64"/>
      </top>
      <bottom/>
      <diagonal/>
    </border>
    <border>
      <left style="double">
        <color indexed="64"/>
      </left>
      <right/>
      <top style="double">
        <color indexed="64"/>
      </top>
      <bottom style="double">
        <color indexed="64"/>
      </bottom>
      <diagonal/>
    </border>
    <border>
      <left style="medium">
        <color indexed="64"/>
      </left>
      <right/>
      <top/>
      <bottom/>
      <diagonal/>
    </border>
    <border>
      <left/>
      <right/>
      <top/>
      <bottom style="medium">
        <color indexed="64"/>
      </bottom>
      <diagonal/>
    </border>
    <border>
      <left/>
      <right/>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double">
        <color indexed="64"/>
      </left>
      <right style="thin">
        <color indexed="64"/>
      </right>
      <top style="double">
        <color indexed="64"/>
      </top>
      <bottom style="double">
        <color indexed="64"/>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style="thin">
        <color indexed="22"/>
      </top>
      <bottom style="thin">
        <color indexed="22"/>
      </bottom>
      <diagonal/>
    </border>
    <border>
      <left style="thin">
        <color indexed="9"/>
      </left>
      <right/>
      <top/>
      <bottom/>
      <diagonal/>
    </border>
    <border>
      <left/>
      <right/>
      <top/>
      <bottom style="thick">
        <color indexed="9"/>
      </bottom>
      <diagonal/>
    </border>
    <border>
      <left/>
      <right/>
      <top style="thick">
        <color indexed="9"/>
      </top>
      <bottom style="thick">
        <color indexed="9"/>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12"/>
      </left>
      <right style="medium">
        <color indexed="12"/>
      </right>
      <top style="medium">
        <color indexed="12"/>
      </top>
      <bottom style="medium">
        <color indexed="12"/>
      </bottom>
      <diagonal/>
    </border>
    <border>
      <left/>
      <right style="medium">
        <color indexed="64"/>
      </right>
      <top style="medium">
        <color indexed="64"/>
      </top>
      <bottom/>
      <diagonal/>
    </border>
    <border>
      <left/>
      <right style="hair">
        <color indexed="64"/>
      </right>
      <top style="thin">
        <color indexed="64"/>
      </top>
      <bottom style="thin">
        <color indexed="64"/>
      </bottom>
      <diagonal/>
    </border>
    <border>
      <left/>
      <right style="hair">
        <color indexed="64"/>
      </right>
      <top/>
      <bottom style="thin">
        <color indexed="64"/>
      </bottom>
      <diagonal/>
    </border>
    <border>
      <left/>
      <right style="hair">
        <color indexed="64"/>
      </right>
      <top/>
      <bottom style="medium">
        <color indexed="64"/>
      </bottom>
      <diagonal/>
    </border>
    <border>
      <left style="medium">
        <color indexed="64"/>
      </left>
      <right style="thin">
        <color indexed="64"/>
      </right>
      <top style="thin">
        <color indexed="64"/>
      </top>
      <bottom/>
      <diagonal/>
    </border>
    <border>
      <left style="hair">
        <color indexed="64"/>
      </left>
      <right style="medium">
        <color indexed="64"/>
      </right>
      <top style="thin">
        <color indexed="64"/>
      </top>
      <bottom style="thin">
        <color indexed="64"/>
      </bottom>
      <diagonal/>
    </border>
    <border>
      <left/>
      <right style="thin">
        <color indexed="64"/>
      </right>
      <top style="double">
        <color indexed="64"/>
      </top>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double">
        <color indexed="8"/>
      </right>
      <top style="thin">
        <color indexed="8"/>
      </top>
      <bottom style="double">
        <color indexed="8"/>
      </bottom>
      <diagonal/>
    </border>
    <border>
      <left/>
      <right/>
      <top style="thin">
        <color indexed="8"/>
      </top>
      <bottom/>
      <diagonal/>
    </border>
    <border>
      <left style="thin">
        <color indexed="8"/>
      </left>
      <right/>
      <top style="thin">
        <color indexed="8"/>
      </top>
      <bottom/>
      <diagonal/>
    </border>
    <border>
      <left/>
      <right style="thin">
        <color indexed="64"/>
      </right>
      <top style="thin">
        <color indexed="8"/>
      </top>
      <bottom/>
      <diagonal/>
    </border>
    <border>
      <left style="thin">
        <color indexed="8"/>
      </left>
      <right/>
      <top style="thin">
        <color indexed="8"/>
      </top>
      <bottom style="thin">
        <color indexed="8"/>
      </bottom>
      <diagonal/>
    </border>
    <border>
      <left style="thin">
        <color indexed="64"/>
      </left>
      <right style="thin">
        <color indexed="64"/>
      </right>
      <top style="thin">
        <color indexed="8"/>
      </top>
      <bottom style="double">
        <color indexed="64"/>
      </bottom>
      <diagonal/>
    </border>
    <border>
      <left style="thin">
        <color indexed="64"/>
      </left>
      <right style="thin">
        <color indexed="8"/>
      </right>
      <top style="thin">
        <color indexed="8"/>
      </top>
      <bottom style="double">
        <color indexed="64"/>
      </bottom>
      <diagonal/>
    </border>
    <border>
      <left/>
      <right/>
      <top/>
      <bottom style="double">
        <color indexed="64"/>
      </bottom>
      <diagonal/>
    </border>
    <border>
      <left style="double">
        <color indexed="8"/>
      </left>
      <right style="thin">
        <color indexed="64"/>
      </right>
      <top style="thin">
        <color indexed="8"/>
      </top>
      <bottom style="double">
        <color indexed="8"/>
      </bottom>
      <diagonal/>
    </border>
    <border>
      <left style="thin">
        <color indexed="8"/>
      </left>
      <right style="double">
        <color indexed="8"/>
      </right>
      <top style="thin">
        <color indexed="8"/>
      </top>
      <bottom/>
      <diagonal/>
    </border>
    <border>
      <left style="double">
        <color indexed="8"/>
      </left>
      <right style="thin">
        <color indexed="64"/>
      </right>
      <top style="thin">
        <color indexed="8"/>
      </top>
      <bottom/>
      <diagonal/>
    </border>
    <border>
      <left style="thin">
        <color indexed="64"/>
      </left>
      <right style="double">
        <color indexed="8"/>
      </right>
      <top style="thin">
        <color indexed="8"/>
      </top>
      <bottom/>
      <diagonal/>
    </border>
    <border>
      <left style="double">
        <color indexed="8"/>
      </left>
      <right style="thin">
        <color indexed="64"/>
      </right>
      <top style="thin">
        <color indexed="8"/>
      </top>
      <bottom style="double">
        <color indexed="64"/>
      </bottom>
      <diagonal/>
    </border>
    <border>
      <left style="thin">
        <color indexed="64"/>
      </left>
      <right style="double">
        <color indexed="8"/>
      </right>
      <top style="thin">
        <color indexed="64"/>
      </top>
      <bottom style="double">
        <color indexed="64"/>
      </bottom>
      <diagonal/>
    </border>
    <border>
      <left style="double">
        <color indexed="8"/>
      </left>
      <right/>
      <top style="thin">
        <color indexed="8"/>
      </top>
      <bottom style="double">
        <color indexed="8"/>
      </bottom>
      <diagonal/>
    </border>
    <border>
      <left/>
      <right/>
      <top style="double">
        <color indexed="8"/>
      </top>
      <bottom/>
      <diagonal/>
    </border>
    <border>
      <left/>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top style="thin">
        <color indexed="8"/>
      </top>
      <bottom/>
      <diagonal/>
    </border>
    <border>
      <left style="double">
        <color indexed="8"/>
      </left>
      <right/>
      <top/>
      <bottom style="thin">
        <color indexed="8"/>
      </bottom>
      <diagonal/>
    </border>
    <border>
      <left style="thin">
        <color indexed="8"/>
      </left>
      <right style="double">
        <color indexed="8"/>
      </right>
      <top/>
      <bottom style="thin">
        <color indexed="8"/>
      </bottom>
      <diagonal/>
    </border>
    <border>
      <left style="thin">
        <color indexed="8"/>
      </left>
      <right/>
      <top/>
      <bottom/>
      <diagonal/>
    </border>
    <border>
      <left/>
      <right style="double">
        <color indexed="8"/>
      </right>
      <top style="double">
        <color indexed="64"/>
      </top>
      <bottom/>
      <diagonal/>
    </border>
    <border>
      <left/>
      <right style="double">
        <color indexed="8"/>
      </right>
      <top/>
      <bottom style="double">
        <color indexed="8"/>
      </bottom>
      <diagonal/>
    </border>
    <border>
      <left style="thin">
        <color indexed="64"/>
      </left>
      <right style="double">
        <color indexed="8"/>
      </right>
      <top/>
      <bottom/>
      <diagonal/>
    </border>
    <border>
      <left style="thin">
        <color indexed="8"/>
      </left>
      <right/>
      <top style="double">
        <color indexed="8"/>
      </top>
      <bottom/>
      <diagonal/>
    </border>
    <border>
      <left style="double">
        <color indexed="8"/>
      </left>
      <right/>
      <top style="double">
        <color indexed="8"/>
      </top>
      <bottom/>
      <diagonal/>
    </border>
    <border>
      <left style="thin">
        <color indexed="8"/>
      </left>
      <right style="double">
        <color indexed="8"/>
      </right>
      <top style="double">
        <color indexed="8"/>
      </top>
      <bottom/>
      <diagonal/>
    </border>
    <border>
      <left style="double">
        <color indexed="8"/>
      </left>
      <right style="thin">
        <color indexed="8"/>
      </right>
      <top style="thin">
        <color indexed="8"/>
      </top>
      <bottom/>
      <diagonal/>
    </border>
    <border>
      <left style="thin">
        <color indexed="8"/>
      </left>
      <right style="thin">
        <color indexed="8"/>
      </right>
      <top style="thin">
        <color indexed="8"/>
      </top>
      <bottom/>
      <diagonal/>
    </border>
    <border>
      <left style="double">
        <color indexed="8"/>
      </left>
      <right style="thin">
        <color indexed="8"/>
      </right>
      <top/>
      <bottom style="thin">
        <color indexed="8"/>
      </bottom>
      <diagonal/>
    </border>
    <border>
      <left style="thin">
        <color indexed="8"/>
      </left>
      <right style="thin">
        <color indexed="8"/>
      </right>
      <top/>
      <bottom style="thin">
        <color indexed="8"/>
      </bottom>
      <diagonal/>
    </border>
    <border>
      <left style="double">
        <color indexed="8"/>
      </left>
      <right/>
      <top style="thin">
        <color indexed="8"/>
      </top>
      <bottom style="thin">
        <color indexed="8"/>
      </bottom>
      <diagonal/>
    </border>
    <border>
      <left/>
      <right style="double">
        <color indexed="8"/>
      </right>
      <top style="thin">
        <color indexed="8"/>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64"/>
      </right>
      <top/>
      <bottom style="double">
        <color indexed="64"/>
      </bottom>
      <diagonal/>
    </border>
    <border>
      <left/>
      <right style="thin">
        <color indexed="8"/>
      </right>
      <top/>
      <bottom style="double">
        <color indexed="64"/>
      </bottom>
      <diagonal/>
    </border>
    <border>
      <left style="double">
        <color indexed="8"/>
      </left>
      <right/>
      <top style="thin">
        <color indexed="64"/>
      </top>
      <bottom style="double">
        <color indexed="64"/>
      </bottom>
      <diagonal/>
    </border>
    <border>
      <left/>
      <right style="double">
        <color indexed="8"/>
      </right>
      <top style="thin">
        <color indexed="8"/>
      </top>
      <bottom style="double">
        <color indexed="64"/>
      </bottom>
      <diagonal/>
    </border>
    <border>
      <left/>
      <right style="thin">
        <color indexed="8"/>
      </right>
      <top style="thin">
        <color indexed="8"/>
      </top>
      <bottom style="thin">
        <color indexed="64"/>
      </bottom>
      <diagonal/>
    </border>
    <border>
      <left style="thin">
        <color indexed="8"/>
      </left>
      <right style="double">
        <color indexed="8"/>
      </right>
      <top style="thin">
        <color indexed="8"/>
      </top>
      <bottom style="double">
        <color indexed="64"/>
      </bottom>
      <diagonal/>
    </border>
    <border>
      <left style="double">
        <color indexed="64"/>
      </left>
      <right style="thin">
        <color indexed="64"/>
      </right>
      <top style="thin">
        <color indexed="64"/>
      </top>
      <bottom style="double">
        <color indexed="64"/>
      </bottom>
      <diagonal/>
    </border>
    <border>
      <left style="double">
        <color indexed="8"/>
      </left>
      <right/>
      <top style="thin">
        <color indexed="8"/>
      </top>
      <bottom style="double">
        <color indexed="64"/>
      </bottom>
      <diagonal/>
    </border>
    <border>
      <left style="double">
        <color indexed="8"/>
      </left>
      <right style="thin">
        <color indexed="8"/>
      </right>
      <top style="thin">
        <color indexed="8"/>
      </top>
      <bottom style="thin">
        <color indexed="8"/>
      </bottom>
      <diagonal/>
    </border>
    <border>
      <left style="double">
        <color indexed="64"/>
      </left>
      <right/>
      <top/>
      <bottom style="double">
        <color indexed="8"/>
      </bottom>
      <diagonal/>
    </border>
    <border>
      <left/>
      <right style="double">
        <color indexed="64"/>
      </right>
      <top/>
      <bottom style="thin">
        <color indexed="64"/>
      </bottom>
      <diagonal/>
    </border>
    <border>
      <left style="double">
        <color indexed="64"/>
      </left>
      <right style="thin">
        <color indexed="64"/>
      </right>
      <top/>
      <bottom/>
      <diagonal/>
    </border>
    <border>
      <left style="double">
        <color indexed="64"/>
      </left>
      <right style="thin">
        <color indexed="64"/>
      </right>
      <top style="thin">
        <color indexed="8"/>
      </top>
      <bottom/>
      <diagonal/>
    </border>
    <border>
      <left/>
      <right style="double">
        <color indexed="8"/>
      </right>
      <top/>
      <bottom/>
      <diagonal/>
    </border>
    <border>
      <left style="double">
        <color indexed="8"/>
      </left>
      <right style="thin">
        <color indexed="64"/>
      </right>
      <top style="double">
        <color indexed="8"/>
      </top>
      <bottom/>
      <diagonal/>
    </border>
    <border>
      <left style="thin">
        <color indexed="8"/>
      </left>
      <right style="thin">
        <color indexed="8"/>
      </right>
      <top style="thin">
        <color indexed="8"/>
      </top>
      <bottom style="double">
        <color indexed="64"/>
      </bottom>
      <diagonal/>
    </border>
    <border>
      <left/>
      <right/>
      <top style="double">
        <color indexed="64"/>
      </top>
      <bottom style="double">
        <color indexed="64"/>
      </bottom>
      <diagonal/>
    </border>
    <border>
      <left/>
      <right/>
      <top style="double">
        <color indexed="64"/>
      </top>
      <bottom/>
      <diagonal/>
    </border>
    <border>
      <left/>
      <right/>
      <top style="double">
        <color indexed="64"/>
      </top>
      <bottom style="thin">
        <color indexed="64"/>
      </bottom>
      <diagonal/>
    </border>
    <border>
      <left style="thin">
        <color indexed="64"/>
      </left>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style="double">
        <color indexed="64"/>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style="double">
        <color indexed="64"/>
      </bottom>
      <diagonal/>
    </border>
    <border>
      <left style="double">
        <color indexed="64"/>
      </left>
      <right/>
      <top style="double">
        <color indexed="64"/>
      </top>
      <bottom style="thin">
        <color indexed="64"/>
      </bottom>
      <diagonal/>
    </border>
    <border>
      <left style="double">
        <color indexed="64"/>
      </left>
      <right/>
      <top/>
      <bottom/>
      <diagonal/>
    </border>
    <border>
      <left style="double">
        <color indexed="64"/>
      </left>
      <right/>
      <top style="thin">
        <color indexed="64"/>
      </top>
      <bottom/>
      <diagonal/>
    </border>
    <border>
      <left style="double">
        <color indexed="64"/>
      </left>
      <right/>
      <top style="thin">
        <color indexed="64"/>
      </top>
      <bottom style="thin">
        <color indexed="64"/>
      </bottom>
      <diagonal/>
    </border>
    <border>
      <left style="double">
        <color indexed="64"/>
      </left>
      <right/>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style="double">
        <color indexed="64"/>
      </top>
      <bottom style="double">
        <color indexed="64"/>
      </bottom>
      <diagonal/>
    </border>
    <border>
      <left style="thin">
        <color indexed="64"/>
      </left>
      <right/>
      <top style="double">
        <color indexed="64"/>
      </top>
      <bottom/>
      <diagonal/>
    </border>
    <border>
      <left style="thin">
        <color indexed="64"/>
      </left>
      <right/>
      <top style="thin">
        <color indexed="64"/>
      </top>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style="thin">
        <color indexed="64"/>
      </bottom>
      <diagonal/>
    </border>
    <border>
      <left style="thin">
        <color indexed="64"/>
      </left>
      <right/>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style="double">
        <color indexed="64"/>
      </top>
      <bottom style="thin">
        <color indexed="64"/>
      </bottom>
      <diagonal/>
    </border>
    <border>
      <left style="thin">
        <color indexed="64"/>
      </left>
      <right/>
      <top/>
      <bottom style="double">
        <color indexed="64"/>
      </bottom>
      <diagonal/>
    </border>
    <border>
      <left style="thin">
        <color indexed="64"/>
      </left>
      <right style="double">
        <color indexed="64"/>
      </right>
      <top/>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bottom style="double">
        <color indexed="64"/>
      </bottom>
      <diagonal/>
    </border>
    <border>
      <left style="double">
        <color indexed="64"/>
      </left>
      <right/>
      <top/>
      <bottom style="thin">
        <color indexed="8"/>
      </bottom>
      <diagonal/>
    </border>
    <border>
      <left style="double">
        <color indexed="64"/>
      </left>
      <right/>
      <top style="thin">
        <color indexed="8"/>
      </top>
      <bottom/>
      <diagonal/>
    </border>
    <border>
      <left style="double">
        <color indexed="64"/>
      </left>
      <right style="thin">
        <color indexed="8"/>
      </right>
      <top style="thin">
        <color indexed="8"/>
      </top>
      <bottom style="thin">
        <color indexed="64"/>
      </bottom>
      <diagonal/>
    </border>
    <border>
      <left style="double">
        <color indexed="64"/>
      </left>
      <right style="thin">
        <color indexed="8"/>
      </right>
      <top style="thin">
        <color indexed="64"/>
      </top>
      <bottom style="thin">
        <color indexed="8"/>
      </bottom>
      <diagonal/>
    </border>
    <border>
      <left style="double">
        <color indexed="64"/>
      </left>
      <right/>
      <top style="thin">
        <color indexed="8"/>
      </top>
      <bottom style="thin">
        <color indexed="64"/>
      </bottom>
      <diagonal/>
    </border>
    <border>
      <left/>
      <right style="double">
        <color indexed="8"/>
      </right>
      <top/>
      <bottom style="double">
        <color indexed="64"/>
      </bottom>
      <diagonal/>
    </border>
    <border>
      <left/>
      <right style="thin">
        <color indexed="8"/>
      </right>
      <top/>
      <bottom/>
      <diagonal/>
    </border>
    <border>
      <left style="thin">
        <color indexed="8"/>
      </left>
      <right style="double">
        <color indexed="64"/>
      </right>
      <top/>
      <bottom/>
      <diagonal/>
    </border>
    <border>
      <left/>
      <right style="thin">
        <color indexed="8"/>
      </right>
      <top/>
      <bottom style="thin">
        <color indexed="8"/>
      </bottom>
      <diagonal/>
    </border>
    <border>
      <left style="thin">
        <color indexed="8"/>
      </left>
      <right/>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64"/>
      </bottom>
      <diagonal/>
    </border>
    <border>
      <left style="thin">
        <color indexed="8"/>
      </left>
      <right style="double">
        <color indexed="64"/>
      </right>
      <top style="thin">
        <color indexed="8"/>
      </top>
      <bottom/>
      <diagonal/>
    </border>
    <border>
      <left style="thin">
        <color indexed="8"/>
      </left>
      <right style="double">
        <color indexed="64"/>
      </right>
      <top style="thin">
        <color indexed="64"/>
      </top>
      <bottom style="thin">
        <color indexed="64"/>
      </bottom>
      <diagonal/>
    </border>
    <border>
      <left style="thin">
        <color indexed="8"/>
      </left>
      <right style="double">
        <color indexed="64"/>
      </right>
      <top style="thin">
        <color indexed="8"/>
      </top>
      <bottom style="thin">
        <color indexed="64"/>
      </bottom>
      <diagonal/>
    </border>
    <border>
      <left/>
      <right style="double">
        <color indexed="64"/>
      </right>
      <top/>
      <bottom/>
      <diagonal/>
    </border>
    <border>
      <left/>
      <right style="double">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thin">
        <color indexed="64"/>
      </top>
      <bottom style="double">
        <color indexed="64"/>
      </bottom>
      <diagonal/>
    </border>
    <border>
      <left style="double">
        <color indexed="64"/>
      </left>
      <right/>
      <top/>
      <bottom style="double">
        <color indexed="64"/>
      </bottom>
      <diagonal/>
    </border>
    <border>
      <left style="medium">
        <color indexed="64"/>
      </left>
      <right style="thin">
        <color indexed="64"/>
      </right>
      <top/>
      <bottom style="thin">
        <color indexed="64"/>
      </bottom>
      <diagonal/>
    </border>
    <border>
      <left/>
      <right style="thin">
        <color indexed="64"/>
      </right>
      <top/>
      <bottom style="double">
        <color indexed="64"/>
      </bottom>
      <diagonal/>
    </border>
    <border>
      <left/>
      <right style="medium">
        <color indexed="64"/>
      </right>
      <top style="double">
        <color indexed="64"/>
      </top>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top style="double">
        <color indexed="64"/>
      </top>
      <bottom/>
      <diagonal/>
    </border>
    <border>
      <left/>
      <right style="medium">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right style="medium">
        <color indexed="64"/>
      </right>
      <top style="thin">
        <color indexed="64"/>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bottom/>
      <diagonal/>
    </border>
    <border>
      <left style="thin">
        <color indexed="64"/>
      </left>
      <right style="double">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64"/>
      </right>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style="double">
        <color indexed="64"/>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style="thin">
        <color indexed="64"/>
      </top>
      <bottom style="double">
        <color indexed="64"/>
      </bottom>
      <diagonal/>
    </border>
    <border>
      <left/>
      <right style="double">
        <color indexed="64"/>
      </right>
      <top style="double">
        <color indexed="64"/>
      </top>
      <bottom style="double">
        <color indexed="64"/>
      </bottom>
      <diagonal/>
    </border>
    <border>
      <left/>
      <right/>
      <top style="thin">
        <color indexed="22"/>
      </top>
      <bottom/>
      <diagonal/>
    </border>
    <border>
      <left/>
      <right/>
      <top/>
      <bottom style="medium">
        <color indexed="22"/>
      </bottom>
      <diagonal/>
    </border>
    <border>
      <left/>
      <right/>
      <top style="thick">
        <color indexed="9"/>
      </top>
      <bottom/>
      <diagonal/>
    </border>
    <border>
      <left style="thin">
        <color indexed="9"/>
      </left>
      <right style="thin">
        <color indexed="9"/>
      </right>
      <top style="thin">
        <color indexed="9"/>
      </top>
      <bottom/>
      <diagonal/>
    </border>
    <border>
      <left/>
      <right/>
      <top/>
      <bottom style="thin">
        <color indexed="9"/>
      </bottom>
      <diagonal/>
    </border>
    <border>
      <left/>
      <right style="double">
        <color indexed="64"/>
      </right>
      <top style="double">
        <color indexed="64"/>
      </top>
      <bottom/>
      <diagonal/>
    </border>
    <border>
      <left/>
      <right/>
      <top/>
      <bottom style="thick">
        <color indexed="64"/>
      </bottom>
      <diagonal/>
    </border>
    <border>
      <left style="thin">
        <color indexed="64"/>
      </left>
      <right style="dashed">
        <color indexed="64"/>
      </right>
      <top style="thin">
        <color indexed="64"/>
      </top>
      <bottom style="thin">
        <color indexed="64"/>
      </bottom>
      <diagonal/>
    </border>
    <border>
      <left style="dashed">
        <color indexed="64"/>
      </left>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22"/>
      </bottom>
      <diagonal/>
    </border>
    <border>
      <left/>
      <right/>
      <top style="thin">
        <color indexed="9"/>
      </top>
      <bottom style="thin">
        <color indexed="22"/>
      </bottom>
      <diagonal/>
    </border>
    <border>
      <left/>
      <right style="thin">
        <color indexed="9"/>
      </right>
      <top style="thin">
        <color indexed="9"/>
      </top>
      <bottom style="thin">
        <color indexed="22"/>
      </bottom>
      <diagonal/>
    </border>
    <border>
      <left style="thin">
        <color indexed="9"/>
      </left>
      <right style="thin">
        <color indexed="9"/>
      </right>
      <top style="thin">
        <color indexed="9"/>
      </top>
      <bottom style="thin">
        <color indexed="9"/>
      </bottom>
      <diagonal/>
    </border>
    <border>
      <left style="double">
        <color indexed="8"/>
      </left>
      <right/>
      <top style="double">
        <color indexed="8"/>
      </top>
      <bottom style="thin">
        <color indexed="8"/>
      </bottom>
      <diagonal/>
    </border>
    <border>
      <left/>
      <right/>
      <top style="double">
        <color indexed="8"/>
      </top>
      <bottom style="thin">
        <color indexed="8"/>
      </bottom>
      <diagonal/>
    </border>
    <border>
      <left/>
      <right style="double">
        <color indexed="8"/>
      </right>
      <top style="double">
        <color indexed="8"/>
      </top>
      <bottom style="thin">
        <color indexed="8"/>
      </bottom>
      <diagonal/>
    </border>
    <border>
      <left style="double">
        <color indexed="64"/>
      </left>
      <right/>
      <top style="double">
        <color indexed="8"/>
      </top>
      <bottom style="double">
        <color indexed="8"/>
      </bottom>
      <diagonal/>
    </border>
    <border>
      <left/>
      <right style="double">
        <color indexed="8"/>
      </right>
      <top style="double">
        <color indexed="8"/>
      </top>
      <bottom style="double">
        <color indexed="8"/>
      </bottom>
      <diagonal/>
    </border>
    <border>
      <left style="double">
        <color indexed="8"/>
      </left>
      <right style="double">
        <color indexed="64"/>
      </right>
      <top style="double">
        <color indexed="64"/>
      </top>
      <bottom/>
      <diagonal/>
    </border>
    <border>
      <left style="double">
        <color indexed="8"/>
      </left>
      <right style="double">
        <color indexed="64"/>
      </right>
      <top/>
      <bottom style="double">
        <color indexed="8"/>
      </bottom>
      <diagonal/>
    </border>
    <border>
      <left/>
      <right style="dashed">
        <color indexed="64"/>
      </right>
      <top/>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theme="0"/>
      </right>
      <top/>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right style="thin">
        <color theme="0"/>
      </right>
      <top/>
      <bottom style="thin">
        <color indexed="64"/>
      </bottom>
      <diagonal/>
    </border>
    <border>
      <left style="thin">
        <color theme="0"/>
      </left>
      <right style="thin">
        <color theme="0"/>
      </right>
      <top/>
      <bottom style="thin">
        <color indexed="64"/>
      </bottom>
      <diagonal/>
    </border>
    <border>
      <left style="thin">
        <color theme="0"/>
      </left>
      <right/>
      <top/>
      <bottom/>
      <diagonal/>
    </border>
    <border>
      <left style="thin">
        <color indexed="9"/>
      </left>
      <right/>
      <top style="thin">
        <color indexed="9"/>
      </top>
      <bottom style="thin">
        <color theme="0"/>
      </bottom>
      <diagonal/>
    </border>
    <border>
      <left/>
      <right/>
      <top style="thin">
        <color indexed="9"/>
      </top>
      <bottom style="thin">
        <color theme="0"/>
      </bottom>
      <diagonal/>
    </border>
    <border>
      <left/>
      <right style="thin">
        <color indexed="9"/>
      </right>
      <top style="thin">
        <color indexed="9"/>
      </top>
      <bottom style="thin">
        <color theme="0"/>
      </bottom>
      <diagonal/>
    </border>
    <border>
      <left style="thin">
        <color indexed="9"/>
      </left>
      <right/>
      <top style="thin">
        <color indexed="22"/>
      </top>
      <bottom style="thin">
        <color theme="0"/>
      </bottom>
      <diagonal/>
    </border>
    <border>
      <left/>
      <right/>
      <top style="thin">
        <color indexed="22"/>
      </top>
      <bottom style="thin">
        <color theme="0"/>
      </bottom>
      <diagonal/>
    </border>
    <border>
      <left/>
      <right style="thin">
        <color indexed="9"/>
      </right>
      <top style="thin">
        <color indexed="22"/>
      </top>
      <bottom style="thin">
        <color theme="0"/>
      </bottom>
      <diagonal/>
    </border>
    <border>
      <left style="thin">
        <color theme="0"/>
      </left>
      <right/>
      <top style="thin">
        <color indexed="9"/>
      </top>
      <bottom style="thin">
        <color theme="0"/>
      </bottom>
      <diagonal/>
    </border>
    <border>
      <left/>
      <right style="double">
        <color indexed="64"/>
      </right>
      <top/>
      <bottom style="thin">
        <color theme="0" tint="-0.499984740745262"/>
      </bottom>
      <diagonal/>
    </border>
    <border>
      <left style="double">
        <color indexed="64"/>
      </left>
      <right style="thin">
        <color theme="0" tint="-0.499984740745262"/>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indexed="64"/>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theme="0" tint="-0.499984740745262"/>
      </right>
      <top/>
      <bottom style="thin">
        <color theme="0" tint="-0.499984740745262"/>
      </bottom>
      <diagonal/>
    </border>
    <border>
      <left/>
      <right style="double">
        <color indexed="64"/>
      </right>
      <top style="thin">
        <color indexed="64"/>
      </top>
      <bottom style="thin">
        <color theme="0" tint="-0.499984740745262"/>
      </bottom>
      <diagonal/>
    </border>
    <border>
      <left style="double">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right style="thin">
        <color indexed="64"/>
      </right>
      <top style="thin">
        <color indexed="64"/>
      </top>
      <bottom style="thin">
        <color theme="0" tint="-0.499984740745262"/>
      </bottom>
      <diagonal/>
    </border>
    <border>
      <left style="thin">
        <color indexed="64"/>
      </left>
      <right style="thin">
        <color theme="0" tint="-0.499984740745262"/>
      </right>
      <top style="thin">
        <color indexed="64"/>
      </top>
      <bottom style="thin">
        <color theme="0" tint="-0.499984740745262"/>
      </bottom>
      <diagonal/>
    </border>
    <border>
      <left style="thin">
        <color indexed="64"/>
      </left>
      <right style="thin">
        <color theme="0" tint="-0.499984740745262"/>
      </right>
      <top/>
      <bottom/>
      <diagonal/>
    </border>
    <border>
      <left style="thin">
        <color indexed="64"/>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double">
        <color indexed="64"/>
      </left>
      <right style="thin">
        <color theme="0" tint="-0.499984740745262"/>
      </right>
      <top/>
      <bottom/>
      <diagonal/>
    </border>
    <border>
      <left/>
      <right style="thin">
        <color theme="0" tint="-0.499984740745262"/>
      </right>
      <top/>
      <bottom/>
      <diagonal/>
    </border>
    <border>
      <left style="thin">
        <color theme="0" tint="-0.499984740745262"/>
      </left>
      <right style="thin">
        <color theme="0" tint="-0.499984740745262"/>
      </right>
      <top/>
      <bottom style="thin">
        <color indexed="64"/>
      </bottom>
      <diagonal/>
    </border>
    <border>
      <left style="double">
        <color indexed="64"/>
      </left>
      <right style="thin">
        <color theme="0" tint="-0.499984740745262"/>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right style="thin">
        <color indexed="64"/>
      </right>
      <top style="thin">
        <color theme="0" tint="-0.499984740745262"/>
      </top>
      <bottom style="thin">
        <color theme="0" tint="-0.499984740745262"/>
      </bottom>
      <diagonal/>
    </border>
    <border>
      <left style="thin">
        <color theme="0" tint="-0.499984740745262"/>
      </left>
      <right style="thin">
        <color indexed="64"/>
      </right>
      <top/>
      <bottom style="thin">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diagonal/>
    </border>
    <border>
      <left style="thin">
        <color theme="0"/>
      </left>
      <right/>
      <top/>
      <bottom style="thin">
        <color theme="0"/>
      </bottom>
      <diagonal/>
    </border>
    <border>
      <left/>
      <right style="thin">
        <color theme="0"/>
      </right>
      <top/>
      <bottom style="thin">
        <color theme="0"/>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theme="0" tint="-0.499984740745262"/>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right/>
      <top/>
      <bottom style="medium">
        <color theme="0"/>
      </bottom>
      <diagonal/>
    </border>
    <border>
      <left style="thin">
        <color indexed="9"/>
      </left>
      <right style="thin">
        <color indexed="9"/>
      </right>
      <top style="thin">
        <color indexed="9"/>
      </top>
      <bottom style="thin">
        <color theme="0"/>
      </bottom>
      <diagonal/>
    </border>
    <border>
      <left style="thin">
        <color theme="0"/>
      </left>
      <right/>
      <top style="thin">
        <color theme="0"/>
      </top>
      <bottom/>
      <diagonal/>
    </border>
    <border>
      <left/>
      <right style="dashed">
        <color indexed="64"/>
      </right>
      <top style="thin">
        <color theme="0"/>
      </top>
      <bottom/>
      <diagonal/>
    </border>
    <border>
      <left/>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medium">
        <color indexed="9"/>
      </left>
      <right style="thin">
        <color indexed="9"/>
      </right>
      <top style="thin">
        <color theme="0"/>
      </top>
      <bottom/>
      <diagonal/>
    </border>
    <border>
      <left/>
      <right style="thin">
        <color theme="0"/>
      </right>
      <top style="thin">
        <color indexed="9"/>
      </top>
      <bottom/>
      <diagonal/>
    </border>
    <border>
      <left style="thin">
        <color theme="0"/>
      </left>
      <right style="thin">
        <color theme="0"/>
      </right>
      <top style="thin">
        <color indexed="9"/>
      </top>
      <bottom/>
      <diagonal/>
    </border>
    <border>
      <left/>
      <right style="thin">
        <color theme="0"/>
      </right>
      <top style="thin">
        <color indexed="64"/>
      </top>
      <bottom/>
      <diagonal/>
    </border>
    <border>
      <left style="medium">
        <color indexed="9"/>
      </left>
      <right style="thin">
        <color indexed="9"/>
      </right>
      <top style="thin">
        <color indexed="64"/>
      </top>
      <bottom style="thin">
        <color indexed="64"/>
      </bottom>
      <diagonal/>
    </border>
    <border>
      <left/>
      <right style="thin">
        <color indexed="64"/>
      </right>
      <top/>
      <bottom style="thin">
        <color indexed="9"/>
      </bottom>
      <diagonal/>
    </border>
    <border>
      <left/>
      <right style="thin">
        <color indexed="64"/>
      </right>
      <top style="thin">
        <color indexed="9"/>
      </top>
      <bottom style="thin">
        <color theme="0"/>
      </bottom>
      <diagonal/>
    </border>
    <border>
      <left/>
      <right style="thin">
        <color indexed="64"/>
      </right>
      <top style="thin">
        <color indexed="9"/>
      </top>
      <bottom style="thin">
        <color indexed="9"/>
      </bottom>
      <diagonal/>
    </border>
    <border>
      <left/>
      <right style="thin">
        <color indexed="64"/>
      </right>
      <top style="thin">
        <color theme="0"/>
      </top>
      <bottom/>
      <diagonal/>
    </border>
    <border>
      <left/>
      <right style="thin">
        <color indexed="64"/>
      </right>
      <top/>
      <bottom style="thin">
        <color theme="0"/>
      </bottom>
      <diagonal/>
    </border>
    <border>
      <left style="medium">
        <color indexed="64"/>
      </left>
      <right style="thin">
        <color theme="0"/>
      </right>
      <top/>
      <bottom/>
      <diagonal/>
    </border>
    <border>
      <left style="medium">
        <color indexed="64"/>
      </left>
      <right style="thin">
        <color theme="0"/>
      </right>
      <top/>
      <bottom style="thin">
        <color indexed="64"/>
      </bottom>
      <diagonal/>
    </border>
    <border>
      <left style="thin">
        <color theme="0"/>
      </left>
      <right/>
      <top/>
      <bottom style="thin">
        <color indexed="64"/>
      </bottom>
      <diagonal/>
    </border>
    <border>
      <left style="thin">
        <color theme="0"/>
      </left>
      <right/>
      <top style="thin">
        <color indexed="64"/>
      </top>
      <bottom style="thin">
        <color indexed="64"/>
      </bottom>
      <diagonal/>
    </border>
    <border>
      <left style="thin">
        <color theme="0"/>
      </left>
      <right style="thin">
        <color theme="0"/>
      </right>
      <top style="thin">
        <color theme="0"/>
      </top>
      <bottom style="thin">
        <color theme="0"/>
      </bottom>
      <diagonal/>
    </border>
    <border>
      <left/>
      <right style="medium">
        <color theme="0"/>
      </right>
      <top/>
      <bottom/>
      <diagonal/>
    </border>
    <border>
      <left/>
      <right/>
      <top style="thin">
        <color indexed="9"/>
      </top>
      <bottom/>
      <diagonal/>
    </border>
    <border>
      <left style="thin">
        <color indexed="64"/>
      </left>
      <right style="thin">
        <color indexed="64"/>
      </right>
      <top style="thin">
        <color indexed="9"/>
      </top>
      <bottom/>
      <diagonal/>
    </border>
    <border>
      <left style="thin">
        <color theme="0" tint="-0.499984740745262"/>
      </left>
      <right/>
      <top style="thin">
        <color indexed="64"/>
      </top>
      <bottom style="thin">
        <color theme="0" tint="-0.4999847407452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style="double">
        <color indexed="8"/>
      </right>
      <top style="thin">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style="medium">
        <color indexed="64"/>
      </top>
      <bottom style="medium">
        <color indexed="64"/>
      </bottom>
      <diagonal/>
    </border>
    <border>
      <left/>
      <right/>
      <top/>
      <bottom style="thin">
        <color rgb="FF000000"/>
      </bottom>
      <diagonal/>
    </border>
    <border>
      <left/>
      <right/>
      <top style="thin">
        <color rgb="FF000000"/>
      </top>
      <bottom/>
      <diagonal/>
    </border>
  </borders>
  <cellStyleXfs count="557">
    <xf numFmtId="0" fontId="0" fillId="0" borderId="0"/>
    <xf numFmtId="0" fontId="8" fillId="0" borderId="0" applyNumberFormat="0" applyFill="0" applyBorder="0" applyAlignment="0" applyProtection="0">
      <alignment vertical="top"/>
      <protection locked="0"/>
    </xf>
    <xf numFmtId="9" fontId="28" fillId="0" borderId="0" applyFont="0" applyFill="0" applyBorder="0" applyAlignment="0" applyProtection="0"/>
    <xf numFmtId="0" fontId="133" fillId="0" borderId="0" applyNumberFormat="0" applyFill="0" applyBorder="0" applyAlignment="0" applyProtection="0"/>
    <xf numFmtId="0" fontId="134" fillId="0" borderId="311" applyNumberFormat="0" applyFill="0" applyAlignment="0" applyProtection="0"/>
    <xf numFmtId="0" fontId="135" fillId="0" borderId="312" applyNumberFormat="0" applyFill="0" applyAlignment="0" applyProtection="0"/>
    <xf numFmtId="0" fontId="136" fillId="0" borderId="313" applyNumberFormat="0" applyFill="0" applyAlignment="0" applyProtection="0"/>
    <xf numFmtId="0" fontId="136" fillId="0" borderId="0" applyNumberFormat="0" applyFill="0" applyBorder="0" applyAlignment="0" applyProtection="0"/>
    <xf numFmtId="0" fontId="137" fillId="37" borderId="0" applyNumberFormat="0" applyBorder="0" applyAlignment="0" applyProtection="0"/>
    <xf numFmtId="0" fontId="138" fillId="38" borderId="0" applyNumberFormat="0" applyBorder="0" applyAlignment="0" applyProtection="0"/>
    <xf numFmtId="0" fontId="139" fillId="39" borderId="0" applyNumberFormat="0" applyBorder="0" applyAlignment="0" applyProtection="0"/>
    <xf numFmtId="0" fontId="140" fillId="40" borderId="314" applyNumberFormat="0" applyAlignment="0" applyProtection="0"/>
    <xf numFmtId="0" fontId="141" fillId="41" borderId="315" applyNumberFormat="0" applyAlignment="0" applyProtection="0"/>
    <xf numFmtId="0" fontId="142" fillId="41" borderId="314" applyNumberFormat="0" applyAlignment="0" applyProtection="0"/>
    <xf numFmtId="0" fontId="143" fillId="0" borderId="316" applyNumberFormat="0" applyFill="0" applyAlignment="0" applyProtection="0"/>
    <xf numFmtId="0" fontId="144" fillId="42" borderId="317" applyNumberFormat="0" applyAlignment="0" applyProtection="0"/>
    <xf numFmtId="0" fontId="145" fillId="0" borderId="0" applyNumberFormat="0" applyFill="0" applyBorder="0" applyAlignment="0" applyProtection="0"/>
    <xf numFmtId="0" fontId="146" fillId="0" borderId="0" applyNumberFormat="0" applyFill="0" applyBorder="0" applyAlignment="0" applyProtection="0"/>
    <xf numFmtId="0" fontId="147" fillId="0" borderId="318" applyNumberFormat="0" applyFill="0" applyAlignment="0" applyProtection="0"/>
    <xf numFmtId="0" fontId="148" fillId="43" borderId="0" applyNumberFormat="0" applyBorder="0" applyAlignment="0" applyProtection="0"/>
    <xf numFmtId="0" fontId="3" fillId="44" borderId="0" applyNumberFormat="0" applyBorder="0" applyAlignment="0" applyProtection="0"/>
    <xf numFmtId="0" fontId="3" fillId="45" borderId="0" applyNumberFormat="0" applyBorder="0" applyAlignment="0" applyProtection="0"/>
    <xf numFmtId="0" fontId="148" fillId="46" borderId="0" applyNumberFormat="0" applyBorder="0" applyAlignment="0" applyProtection="0"/>
    <xf numFmtId="0" fontId="148" fillId="47" borderId="0" applyNumberFormat="0" applyBorder="0" applyAlignment="0" applyProtection="0"/>
    <xf numFmtId="0" fontId="3" fillId="48" borderId="0" applyNumberFormat="0" applyBorder="0" applyAlignment="0" applyProtection="0"/>
    <xf numFmtId="0" fontId="3" fillId="49" borderId="0" applyNumberFormat="0" applyBorder="0" applyAlignment="0" applyProtection="0"/>
    <xf numFmtId="0" fontId="148" fillId="50" borderId="0" applyNumberFormat="0" applyBorder="0" applyAlignment="0" applyProtection="0"/>
    <xf numFmtId="0" fontId="148" fillId="51" borderId="0" applyNumberFormat="0" applyBorder="0" applyAlignment="0" applyProtection="0"/>
    <xf numFmtId="0" fontId="3" fillId="52" borderId="0" applyNumberFormat="0" applyBorder="0" applyAlignment="0" applyProtection="0"/>
    <xf numFmtId="0" fontId="3" fillId="53" borderId="0" applyNumberFormat="0" applyBorder="0" applyAlignment="0" applyProtection="0"/>
    <xf numFmtId="0" fontId="148" fillId="54" borderId="0" applyNumberFormat="0" applyBorder="0" applyAlignment="0" applyProtection="0"/>
    <xf numFmtId="0" fontId="148" fillId="55" borderId="0" applyNumberFormat="0" applyBorder="0" applyAlignment="0" applyProtection="0"/>
    <xf numFmtId="0" fontId="3" fillId="56" borderId="0" applyNumberFormat="0" applyBorder="0" applyAlignment="0" applyProtection="0"/>
    <xf numFmtId="0" fontId="3" fillId="57" borderId="0" applyNumberFormat="0" applyBorder="0" applyAlignment="0" applyProtection="0"/>
    <xf numFmtId="0" fontId="148" fillId="58" borderId="0" applyNumberFormat="0" applyBorder="0" applyAlignment="0" applyProtection="0"/>
    <xf numFmtId="0" fontId="148" fillId="59" borderId="0" applyNumberFormat="0" applyBorder="0" applyAlignment="0" applyProtection="0"/>
    <xf numFmtId="0" fontId="3" fillId="60" borderId="0" applyNumberFormat="0" applyBorder="0" applyAlignment="0" applyProtection="0"/>
    <xf numFmtId="0" fontId="3" fillId="61" borderId="0" applyNumberFormat="0" applyBorder="0" applyAlignment="0" applyProtection="0"/>
    <xf numFmtId="0" fontId="148" fillId="62" borderId="0" applyNumberFormat="0" applyBorder="0" applyAlignment="0" applyProtection="0"/>
    <xf numFmtId="0" fontId="148" fillId="63" borderId="0" applyNumberFormat="0" applyBorder="0" applyAlignment="0" applyProtection="0"/>
    <xf numFmtId="0" fontId="3" fillId="64" borderId="0" applyNumberFormat="0" applyBorder="0" applyAlignment="0" applyProtection="0"/>
    <xf numFmtId="0" fontId="3" fillId="65" borderId="0" applyNumberFormat="0" applyBorder="0" applyAlignment="0" applyProtection="0"/>
    <xf numFmtId="0" fontId="148" fillId="66" borderId="0" applyNumberFormat="0" applyBorder="0" applyAlignment="0" applyProtection="0"/>
    <xf numFmtId="0" fontId="4" fillId="0" borderId="0"/>
    <xf numFmtId="0" fontId="4" fillId="71" borderId="0" applyNumberFormat="0" applyBorder="0" applyAlignment="0">
      <protection hidden="1"/>
    </xf>
    <xf numFmtId="0" fontId="168" fillId="0" borderId="0" applyNumberFormat="0" applyFill="0" applyBorder="0" applyAlignment="0" applyProtection="0">
      <alignment vertical="top"/>
      <protection locked="0"/>
    </xf>
    <xf numFmtId="0" fontId="170" fillId="0" borderId="0" applyNumberFormat="0" applyFill="0" applyBorder="0" applyAlignment="0" applyProtection="0"/>
    <xf numFmtId="0" fontId="4" fillId="72" borderId="0" applyNumberFormat="0" applyFont="0" applyBorder="0" applyAlignment="0"/>
    <xf numFmtId="0" fontId="4" fillId="0" borderId="0"/>
    <xf numFmtId="0" fontId="4" fillId="0" borderId="0"/>
    <xf numFmtId="0" fontId="4" fillId="0" borderId="0"/>
    <xf numFmtId="0" fontId="30" fillId="0" borderId="0"/>
    <xf numFmtId="0" fontId="4" fillId="0" borderId="0"/>
    <xf numFmtId="0" fontId="4" fillId="0" borderId="0"/>
    <xf numFmtId="0" fontId="2" fillId="0" borderId="0"/>
    <xf numFmtId="0" fontId="55" fillId="0" borderId="2">
      <alignment horizontal="center"/>
      <protection hidden="1"/>
    </xf>
    <xf numFmtId="0" fontId="55" fillId="0" borderId="2">
      <alignment horizontal="center"/>
      <protection hidden="1"/>
    </xf>
    <xf numFmtId="0" fontId="169" fillId="73" borderId="321">
      <alignment horizontal="center" vertical="center"/>
    </xf>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0" borderId="0"/>
    <xf numFmtId="0" fontId="2" fillId="69" borderId="320" applyNumberFormat="0" applyFont="0" applyAlignment="0" applyProtection="0"/>
    <xf numFmtId="178" fontId="30" fillId="0" borderId="0" applyNumberFormat="0" applyProtection="0">
      <alignment horizontal="center" vertical="center"/>
    </xf>
    <xf numFmtId="0" fontId="4" fillId="0" borderId="0" applyProtection="0"/>
    <xf numFmtId="0" fontId="168"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pplyProtection="0"/>
    <xf numFmtId="0" fontId="4" fillId="0" borderId="0"/>
    <xf numFmtId="0" fontId="4" fillId="0" borderId="0"/>
    <xf numFmtId="0" fontId="4" fillId="0" borderId="0"/>
    <xf numFmtId="0" fontId="4" fillId="0" borderId="0"/>
    <xf numFmtId="0" fontId="4" fillId="0" borderId="0"/>
    <xf numFmtId="0" fontId="4" fillId="0" borderId="0" applyProtection="0"/>
    <xf numFmtId="0" fontId="4" fillId="0" borderId="0" applyProtection="0"/>
    <xf numFmtId="0" fontId="2"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55" fillId="0" borderId="1">
      <alignment horizontal="left"/>
    </xf>
    <xf numFmtId="0" fontId="172" fillId="71" borderId="0">
      <alignment horizontal="left" vertical="center" indent="1"/>
    </xf>
    <xf numFmtId="0" fontId="173" fillId="0" borderId="0"/>
    <xf numFmtId="0" fontId="2" fillId="0" borderId="0"/>
    <xf numFmtId="0" fontId="4" fillId="0" borderId="0" applyProtection="0"/>
    <xf numFmtId="49" fontId="12" fillId="0" borderId="45" applyNumberFormat="0" applyFont="0" applyFill="0" applyBorder="0" applyProtection="0">
      <alignment horizontal="left" vertical="center" indent="5"/>
    </xf>
    <xf numFmtId="4" fontId="13" fillId="0" borderId="29" applyFill="0" applyBorder="0" applyProtection="0">
      <alignment horizontal="right" vertical="center"/>
    </xf>
    <xf numFmtId="0" fontId="14" fillId="0" borderId="0" applyNumberFormat="0" applyFill="0" applyBorder="0" applyAlignment="0" applyProtection="0"/>
    <xf numFmtId="4" fontId="12" fillId="0" borderId="35" applyFill="0" applyBorder="0" applyProtection="0">
      <alignment horizontal="right" vertical="center"/>
    </xf>
    <xf numFmtId="0" fontId="12" fillId="0" borderId="35" applyNumberFormat="0" applyFill="0" applyAlignment="0" applyProtection="0"/>
    <xf numFmtId="0" fontId="171" fillId="4" borderId="0" applyNumberFormat="0" applyFont="0" applyBorder="0" applyAlignment="0" applyProtection="0"/>
    <xf numFmtId="179" fontId="12" fillId="74" borderId="35" applyNumberFormat="0" applyFont="0" applyBorder="0" applyAlignment="0" applyProtection="0">
      <alignment horizontal="right" vertical="center"/>
    </xf>
    <xf numFmtId="0" fontId="12" fillId="0" borderId="0"/>
    <xf numFmtId="180" fontId="4" fillId="0" borderId="0" applyFont="0" applyFill="0" applyBorder="0" applyAlignment="0" applyProtection="0"/>
    <xf numFmtId="164" fontId="173" fillId="0" borderId="0" applyFont="0" applyFill="0" applyBorder="0" applyAlignment="0" applyProtection="0"/>
    <xf numFmtId="0" fontId="2" fillId="0" borderId="0"/>
    <xf numFmtId="0" fontId="4" fillId="0" borderId="0"/>
    <xf numFmtId="0" fontId="2" fillId="0" borderId="0"/>
    <xf numFmtId="0" fontId="9" fillId="0" borderId="0"/>
    <xf numFmtId="0" fontId="4" fillId="0" borderId="0"/>
    <xf numFmtId="0" fontId="45" fillId="0" borderId="0"/>
    <xf numFmtId="0" fontId="2" fillId="0" borderId="0"/>
    <xf numFmtId="0" fontId="2" fillId="0" borderId="0"/>
    <xf numFmtId="0" fontId="2" fillId="0" borderId="0"/>
    <xf numFmtId="0" fontId="4" fillId="71" borderId="0" applyNumberFormat="0" applyFont="0" applyBorder="0" applyAlignment="0"/>
    <xf numFmtId="0" fontId="4" fillId="0" borderId="0"/>
    <xf numFmtId="0" fontId="4" fillId="0" borderId="0" applyProtection="0"/>
    <xf numFmtId="0" fontId="9" fillId="0" borderId="0"/>
    <xf numFmtId="0" fontId="2" fillId="0" borderId="0"/>
    <xf numFmtId="0" fontId="4" fillId="0" borderId="0"/>
    <xf numFmtId="0" fontId="174" fillId="0" borderId="0"/>
    <xf numFmtId="0" fontId="2" fillId="0" borderId="0"/>
    <xf numFmtId="0" fontId="2" fillId="0" borderId="0"/>
    <xf numFmtId="0" fontId="174" fillId="0" borderId="0"/>
    <xf numFmtId="0" fontId="2" fillId="0" borderId="0"/>
    <xf numFmtId="0" fontId="2" fillId="0" borderId="0"/>
    <xf numFmtId="0" fontId="2" fillId="0" borderId="0"/>
    <xf numFmtId="0" fontId="2" fillId="0" borderId="0"/>
    <xf numFmtId="0" fontId="174" fillId="0" borderId="0"/>
    <xf numFmtId="0" fontId="4" fillId="0" borderId="0"/>
    <xf numFmtId="0" fontId="2" fillId="0" borderId="0"/>
    <xf numFmtId="0" fontId="2" fillId="0" borderId="0"/>
    <xf numFmtId="0" fontId="2" fillId="0" borderId="0"/>
    <xf numFmtId="0" fontId="2" fillId="0" borderId="0"/>
    <xf numFmtId="0" fontId="174" fillId="0" borderId="0"/>
    <xf numFmtId="0" fontId="2" fillId="0" borderId="0"/>
    <xf numFmtId="0" fontId="2" fillId="0" borderId="0"/>
    <xf numFmtId="0" fontId="2" fillId="0" borderId="0"/>
    <xf numFmtId="0" fontId="174" fillId="0" borderId="0"/>
    <xf numFmtId="0" fontId="2" fillId="0" borderId="0"/>
    <xf numFmtId="0" fontId="9" fillId="0" borderId="0"/>
    <xf numFmtId="0" fontId="2" fillId="0" borderId="0"/>
    <xf numFmtId="0" fontId="9" fillId="0" borderId="0"/>
    <xf numFmtId="0" fontId="2" fillId="0" borderId="0"/>
    <xf numFmtId="0" fontId="45" fillId="0" borderId="0"/>
    <xf numFmtId="0" fontId="174" fillId="0" borderId="0"/>
    <xf numFmtId="0" fontId="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0" borderId="0">
      <alignment vertical="top"/>
    </xf>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9" fillId="0" borderId="0"/>
    <xf numFmtId="0" fontId="4" fillId="0" borderId="0"/>
    <xf numFmtId="0" fontId="173" fillId="0" borderId="0"/>
    <xf numFmtId="0" fontId="174" fillId="0" borderId="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148" fillId="46" borderId="0" applyNumberFormat="0" applyBorder="0" applyAlignment="0" applyProtection="0"/>
    <xf numFmtId="0" fontId="148" fillId="50" borderId="0" applyNumberFormat="0" applyBorder="0" applyAlignment="0" applyProtection="0"/>
    <xf numFmtId="0" fontId="148" fillId="54" borderId="0" applyNumberFormat="0" applyBorder="0" applyAlignment="0" applyProtection="0"/>
    <xf numFmtId="0" fontId="148" fillId="58" borderId="0" applyNumberFormat="0" applyBorder="0" applyAlignment="0" applyProtection="0"/>
    <xf numFmtId="0" fontId="148" fillId="62" borderId="0" applyNumberFormat="0" applyBorder="0" applyAlignment="0" applyProtection="0"/>
    <xf numFmtId="0" fontId="148" fillId="66" borderId="0" applyNumberFormat="0" applyBorder="0" applyAlignment="0" applyProtection="0"/>
    <xf numFmtId="0" fontId="148" fillId="43" borderId="0" applyNumberFormat="0" applyBorder="0" applyAlignment="0" applyProtection="0"/>
    <xf numFmtId="0" fontId="148" fillId="47" borderId="0" applyNumberFormat="0" applyBorder="0" applyAlignment="0" applyProtection="0"/>
    <xf numFmtId="0" fontId="148" fillId="51" borderId="0" applyNumberFormat="0" applyBorder="0" applyAlignment="0" applyProtection="0"/>
    <xf numFmtId="0" fontId="148" fillId="55" borderId="0" applyNumberFormat="0" applyBorder="0" applyAlignment="0" applyProtection="0"/>
    <xf numFmtId="0" fontId="148" fillId="59" borderId="0" applyNumberFormat="0" applyBorder="0" applyAlignment="0" applyProtection="0"/>
    <xf numFmtId="0" fontId="148" fillId="63" borderId="0" applyNumberFormat="0" applyBorder="0" applyAlignment="0" applyProtection="0"/>
    <xf numFmtId="0" fontId="138" fillId="38" borderId="0" applyNumberFormat="0" applyBorder="0" applyAlignment="0" applyProtection="0"/>
    <xf numFmtId="0" fontId="175" fillId="38" borderId="0" applyNumberFormat="0" applyBorder="0" applyAlignment="0" applyProtection="0"/>
    <xf numFmtId="0" fontId="142" fillId="41" borderId="314" applyNumberFormat="0" applyAlignment="0" applyProtection="0"/>
    <xf numFmtId="0" fontId="144" fillId="42" borderId="317" applyNumberFormat="0" applyAlignment="0" applyProtection="0"/>
    <xf numFmtId="0" fontId="146" fillId="0" borderId="0" applyNumberFormat="0" applyFill="0" applyBorder="0" applyAlignment="0" applyProtection="0"/>
    <xf numFmtId="0" fontId="137" fillId="37" borderId="0" applyNumberFormat="0" applyBorder="0" applyAlignment="0" applyProtection="0"/>
    <xf numFmtId="0" fontId="176" fillId="37" borderId="0" applyNumberFormat="0" applyBorder="0" applyAlignment="0" applyProtection="0"/>
    <xf numFmtId="0" fontId="134" fillId="0" borderId="311" applyNumberFormat="0" applyFill="0" applyAlignment="0" applyProtection="0"/>
    <xf numFmtId="0" fontId="135" fillId="0" borderId="312" applyNumberFormat="0" applyFill="0" applyAlignment="0" applyProtection="0"/>
    <xf numFmtId="0" fontId="136" fillId="0" borderId="313" applyNumberFormat="0" applyFill="0" applyAlignment="0" applyProtection="0"/>
    <xf numFmtId="0" fontId="136" fillId="0" borderId="0" applyNumberFormat="0" applyFill="0" applyBorder="0" applyAlignment="0" applyProtection="0"/>
    <xf numFmtId="0" fontId="8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140" fillId="40" borderId="314" applyNumberFormat="0" applyAlignment="0" applyProtection="0"/>
    <xf numFmtId="0" fontId="143" fillId="0" borderId="316" applyNumberFormat="0" applyFill="0" applyAlignment="0" applyProtection="0"/>
    <xf numFmtId="0" fontId="139" fillId="39" borderId="0" applyNumberFormat="0" applyBorder="0" applyAlignment="0" applyProtection="0"/>
    <xf numFmtId="0" fontId="177" fillId="39"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9" fillId="0" borderId="0"/>
    <xf numFmtId="0" fontId="9" fillId="0" borderId="0"/>
    <xf numFmtId="0" fontId="9" fillId="0" borderId="0"/>
    <xf numFmtId="0" fontId="178" fillId="0" borderId="0"/>
    <xf numFmtId="0" fontId="9" fillId="0" borderId="0"/>
    <xf numFmtId="0" fontId="173" fillId="0" borderId="0"/>
    <xf numFmtId="0" fontId="2" fillId="0" borderId="0"/>
    <xf numFmtId="0" fontId="174" fillId="0" borderId="0"/>
    <xf numFmtId="0" fontId="174" fillId="0" borderId="0"/>
    <xf numFmtId="0" fontId="174" fillId="0" borderId="0"/>
    <xf numFmtId="0" fontId="2" fillId="0" borderId="0"/>
    <xf numFmtId="0" fontId="2" fillId="0" borderId="0"/>
    <xf numFmtId="0" fontId="174" fillId="0" borderId="0"/>
    <xf numFmtId="0" fontId="174" fillId="0" borderId="0"/>
    <xf numFmtId="0" fontId="2" fillId="0" borderId="0"/>
    <xf numFmtId="0" fontId="2" fillId="0" borderId="0"/>
    <xf numFmtId="0" fontId="174" fillId="0" borderId="0"/>
    <xf numFmtId="0" fontId="174" fillId="0" borderId="0"/>
    <xf numFmtId="0" fontId="174" fillId="0" borderId="0"/>
    <xf numFmtId="0" fontId="2" fillId="0" borderId="0"/>
    <xf numFmtId="0" fontId="2" fillId="0" borderId="0"/>
    <xf numFmtId="0" fontId="174" fillId="0" borderId="0"/>
    <xf numFmtId="0" fontId="174" fillId="0" borderId="0"/>
    <xf numFmtId="0" fontId="174" fillId="0" borderId="0"/>
    <xf numFmtId="0" fontId="2" fillId="0" borderId="0"/>
    <xf numFmtId="0" fontId="2" fillId="0" borderId="0"/>
    <xf numFmtId="0" fontId="174" fillId="0" borderId="0"/>
    <xf numFmtId="0" fontId="174" fillId="0" borderId="0"/>
    <xf numFmtId="0" fontId="174" fillId="0" borderId="0"/>
    <xf numFmtId="0" fontId="2" fillId="0" borderId="0"/>
    <xf numFmtId="0" fontId="2" fillId="0" borderId="0"/>
    <xf numFmtId="0" fontId="174" fillId="0" borderId="0"/>
    <xf numFmtId="0" fontId="174" fillId="0" borderId="0"/>
    <xf numFmtId="0" fontId="174" fillId="0" borderId="0"/>
    <xf numFmtId="0" fontId="2" fillId="0" borderId="0"/>
    <xf numFmtId="0" fontId="4"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7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4" fillId="0" borderId="0"/>
    <xf numFmtId="0" fontId="4" fillId="0" borderId="0"/>
    <xf numFmtId="0" fontId="2" fillId="69" borderId="320" applyNumberFormat="0" applyFont="0" applyAlignment="0" applyProtection="0"/>
    <xf numFmtId="0" fontId="174" fillId="69" borderId="320" applyNumberFormat="0" applyFont="0" applyAlignment="0" applyProtection="0"/>
    <xf numFmtId="0" fontId="174" fillId="69" borderId="320" applyNumberFormat="0" applyFont="0" applyAlignment="0" applyProtection="0"/>
    <xf numFmtId="0" fontId="141" fillId="41" borderId="315" applyNumberFormat="0" applyAlignment="0" applyProtection="0"/>
    <xf numFmtId="0" fontId="147" fillId="0" borderId="318" applyNumberFormat="0" applyFill="0" applyAlignment="0" applyProtection="0"/>
    <xf numFmtId="0" fontId="145" fillId="0" borderId="0" applyNumberFormat="0" applyFill="0" applyBorder="0" applyAlignment="0" applyProtection="0"/>
    <xf numFmtId="0" fontId="4" fillId="0" borderId="0"/>
    <xf numFmtId="0" fontId="2" fillId="0" borderId="0"/>
    <xf numFmtId="0" fontId="2" fillId="0" borderId="0"/>
    <xf numFmtId="0" fontId="88" fillId="0" borderId="0" applyNumberFormat="0" applyFill="0" applyBorder="0" applyAlignment="0" applyProtection="0">
      <alignment vertical="top"/>
      <protection locked="0"/>
    </xf>
    <xf numFmtId="0" fontId="4" fillId="0" borderId="0" applyProtection="0"/>
    <xf numFmtId="0" fontId="2" fillId="0" borderId="0"/>
    <xf numFmtId="0" fontId="4" fillId="0" borderId="0" applyProtection="0"/>
    <xf numFmtId="0" fontId="55" fillId="0" borderId="1">
      <alignment horizontal="left"/>
    </xf>
    <xf numFmtId="0" fontId="9" fillId="0" borderId="0"/>
    <xf numFmtId="0" fontId="4" fillId="72" borderId="0" applyNumberFormat="0" applyFont="0" applyBorder="0" applyAlignment="0"/>
    <xf numFmtId="0" fontId="30" fillId="0" borderId="0"/>
    <xf numFmtId="0" fontId="4" fillId="71" borderId="0" applyNumberFormat="0" applyBorder="0" applyAlignment="0">
      <protection hidden="1"/>
    </xf>
    <xf numFmtId="0" fontId="30" fillId="0" borderId="0"/>
    <xf numFmtId="0" fontId="173" fillId="0" borderId="0"/>
    <xf numFmtId="0" fontId="4" fillId="0" borderId="0"/>
    <xf numFmtId="0" fontId="4" fillId="0" borderId="0" applyProtection="0"/>
    <xf numFmtId="0" fontId="4" fillId="0" borderId="0"/>
    <xf numFmtId="0" fontId="4" fillId="0" borderId="0"/>
    <xf numFmtId="0" fontId="4" fillId="0" borderId="0" applyProtection="0"/>
    <xf numFmtId="0" fontId="4" fillId="0" borderId="0"/>
    <xf numFmtId="0" fontId="2" fillId="0" borderId="0"/>
    <xf numFmtId="0" fontId="4" fillId="0" borderId="0"/>
    <xf numFmtId="0" fontId="173" fillId="0" borderId="0"/>
    <xf numFmtId="0" fontId="4" fillId="0" borderId="0"/>
    <xf numFmtId="0" fontId="4" fillId="0" borderId="0"/>
    <xf numFmtId="0" fontId="4" fillId="0" borderId="0" applyProtection="0"/>
    <xf numFmtId="0" fontId="4" fillId="0" borderId="0"/>
    <xf numFmtId="0" fontId="4" fillId="0" borderId="0" applyProtection="0"/>
    <xf numFmtId="0" fontId="4" fillId="0" borderId="0"/>
    <xf numFmtId="0" fontId="4" fillId="0" borderId="0"/>
    <xf numFmtId="0" fontId="4" fillId="0" borderId="0"/>
    <xf numFmtId="0" fontId="4" fillId="0" borderId="0"/>
    <xf numFmtId="0" fontId="4" fillId="0" borderId="0"/>
    <xf numFmtId="0" fontId="4" fillId="0" borderId="0"/>
    <xf numFmtId="0" fontId="55" fillId="0" borderId="1">
      <alignment horizontal="left"/>
    </xf>
    <xf numFmtId="0" fontId="2" fillId="0" borderId="0"/>
    <xf numFmtId="0" fontId="168" fillId="0" borderId="0" applyNumberFormat="0" applyFill="0" applyBorder="0" applyAlignment="0" applyProtection="0">
      <alignment vertical="top"/>
      <protection locked="0"/>
    </xf>
    <xf numFmtId="0" fontId="4" fillId="71" borderId="0" applyNumberFormat="0" applyFont="0" applyBorder="0" applyAlignment="0"/>
    <xf numFmtId="0" fontId="4" fillId="0" borderId="0"/>
    <xf numFmtId="0" fontId="17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4" fillId="0" borderId="0"/>
    <xf numFmtId="178" fontId="30" fillId="0" borderId="0" applyNumberFormat="0" applyProtection="0">
      <alignment horizontal="center" vertical="center"/>
    </xf>
    <xf numFmtId="0" fontId="4" fillId="71" borderId="0" applyNumberFormat="0" applyBorder="0" applyAlignment="0">
      <protection hidden="1"/>
    </xf>
    <xf numFmtId="0" fontId="168" fillId="0" borderId="0" applyNumberFormat="0" applyFill="0" applyBorder="0" applyAlignment="0" applyProtection="0">
      <alignment vertical="top"/>
      <protection locked="0"/>
    </xf>
    <xf numFmtId="0" fontId="4" fillId="0" borderId="0"/>
    <xf numFmtId="0" fontId="30" fillId="0" borderId="0"/>
    <xf numFmtId="0" fontId="4" fillId="0" borderId="0"/>
    <xf numFmtId="0" fontId="173" fillId="0" borderId="0"/>
    <xf numFmtId="0" fontId="173" fillId="0" borderId="0"/>
    <xf numFmtId="0" fontId="4" fillId="0" borderId="0"/>
    <xf numFmtId="0" fontId="4" fillId="0" borderId="0"/>
    <xf numFmtId="0" fontId="173" fillId="0" borderId="0"/>
    <xf numFmtId="0" fontId="173" fillId="0" borderId="0"/>
    <xf numFmtId="0" fontId="4" fillId="0" borderId="0"/>
    <xf numFmtId="0" fontId="2" fillId="0" borderId="0"/>
    <xf numFmtId="0" fontId="4" fillId="0" borderId="0"/>
    <xf numFmtId="164" fontId="2" fillId="0" borderId="0" applyFont="0" applyFill="0" applyBorder="0" applyAlignment="0" applyProtection="0"/>
    <xf numFmtId="0" fontId="2" fillId="69" borderId="320" applyNumberFormat="0" applyFont="0" applyAlignment="0" applyProtection="0"/>
    <xf numFmtId="0" fontId="2" fillId="44" borderId="0" applyNumberFormat="0" applyBorder="0" applyAlignment="0" applyProtection="0"/>
    <xf numFmtId="0" fontId="2" fillId="45"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4"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45" borderId="0" applyNumberFormat="0" applyBorder="0" applyAlignment="0" applyProtection="0"/>
    <xf numFmtId="0" fontId="2" fillId="45" borderId="0" applyNumberFormat="0" applyBorder="0" applyAlignment="0" applyProtection="0"/>
    <xf numFmtId="0" fontId="2" fillId="49" borderId="0" applyNumberFormat="0" applyBorder="0" applyAlignment="0" applyProtection="0"/>
    <xf numFmtId="0" fontId="2" fillId="49" borderId="0" applyNumberFormat="0" applyBorder="0" applyAlignment="0" applyProtection="0"/>
    <xf numFmtId="0" fontId="2" fillId="53" borderId="0" applyNumberFormat="0" applyBorder="0" applyAlignment="0" applyProtection="0"/>
    <xf numFmtId="0" fontId="2" fillId="53" borderId="0" applyNumberFormat="0" applyBorder="0" applyAlignment="0" applyProtection="0"/>
    <xf numFmtId="0" fontId="2" fillId="57" borderId="0" applyNumberFormat="0" applyBorder="0" applyAlignment="0" applyProtection="0"/>
    <xf numFmtId="0" fontId="2" fillId="57"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69" borderId="320"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179" fillId="0" borderId="0" applyNumberFormat="0" applyFill="0" applyBorder="0" applyAlignment="0" applyProtection="0"/>
    <xf numFmtId="0" fontId="1" fillId="0" borderId="0"/>
    <xf numFmtId="0" fontId="30" fillId="0" borderId="0"/>
    <xf numFmtId="0" fontId="1" fillId="0" borderId="0"/>
    <xf numFmtId="0" fontId="1" fillId="0" borderId="0"/>
    <xf numFmtId="0" fontId="1" fillId="0" borderId="0"/>
    <xf numFmtId="0" fontId="1" fillId="0" borderId="0"/>
  </cellStyleXfs>
  <cellXfs count="2616">
    <xf numFmtId="0" fontId="0" fillId="0" borderId="0" xfId="0"/>
    <xf numFmtId="0" fontId="97" fillId="11" borderId="0" xfId="0" applyFont="1" applyFill="1" applyAlignment="1">
      <alignment horizontal="left" vertical="center"/>
    </xf>
    <xf numFmtId="0" fontId="5" fillId="0" borderId="0" xfId="0" applyFont="1"/>
    <xf numFmtId="0" fontId="15" fillId="0" borderId="0" xfId="0" applyFont="1"/>
    <xf numFmtId="0" fontId="20" fillId="0" borderId="0" xfId="0" applyFont="1" applyAlignment="1">
      <alignment wrapText="1"/>
    </xf>
    <xf numFmtId="0" fontId="20" fillId="0" borderId="0" xfId="0" applyFont="1"/>
    <xf numFmtId="0" fontId="19" fillId="0" borderId="0" xfId="0" applyFont="1" applyAlignment="1">
      <alignment horizontal="left" vertical="center"/>
    </xf>
    <xf numFmtId="0" fontId="24" fillId="0" borderId="0" xfId="0" applyFont="1"/>
    <xf numFmtId="0" fontId="0" fillId="0" borderId="0" xfId="0" quotePrefix="1"/>
    <xf numFmtId="0" fontId="5" fillId="2" borderId="0" xfId="0" applyFont="1" applyFill="1"/>
    <xf numFmtId="0" fontId="5" fillId="2" borderId="0" xfId="0" applyFont="1" applyFill="1" applyAlignment="1">
      <alignment horizontal="center"/>
    </xf>
    <xf numFmtId="0" fontId="6" fillId="2" borderId="0" xfId="0" applyFont="1" applyFill="1" applyAlignment="1">
      <alignment horizontal="center"/>
    </xf>
    <xf numFmtId="0" fontId="0" fillId="0" borderId="0" xfId="0" applyAlignment="1">
      <alignment horizontal="center"/>
    </xf>
    <xf numFmtId="0" fontId="7" fillId="0" borderId="0" xfId="0" applyFont="1"/>
    <xf numFmtId="0" fontId="4" fillId="2" borderId="0" xfId="0" applyFont="1" applyFill="1"/>
    <xf numFmtId="0" fontId="4" fillId="0" borderId="0" xfId="0" applyFont="1"/>
    <xf numFmtId="0" fontId="21" fillId="0" borderId="0" xfId="0" applyFont="1" applyAlignment="1">
      <alignment horizontal="left" vertical="center"/>
    </xf>
    <xf numFmtId="0" fontId="31" fillId="0" borderId="0" xfId="0" applyFont="1" applyAlignment="1">
      <alignment horizontal="right"/>
    </xf>
    <xf numFmtId="0" fontId="32" fillId="0" borderId="0" xfId="0" applyFont="1"/>
    <xf numFmtId="0" fontId="0" fillId="0" borderId="0" xfId="0" applyProtection="1">
      <protection locked="0"/>
    </xf>
    <xf numFmtId="0" fontId="9" fillId="0" borderId="0" xfId="0" applyFont="1"/>
    <xf numFmtId="0" fontId="0" fillId="0" borderId="0" xfId="0" applyAlignment="1">
      <alignment vertical="center"/>
    </xf>
    <xf numFmtId="0" fontId="43" fillId="0" borderId="0" xfId="0" applyFont="1" applyAlignment="1">
      <alignment horizontal="center"/>
    </xf>
    <xf numFmtId="0" fontId="45" fillId="0" borderId="0" xfId="0" applyFont="1"/>
    <xf numFmtId="0" fontId="43" fillId="0" borderId="0" xfId="0" applyFont="1"/>
    <xf numFmtId="0" fontId="46" fillId="0" borderId="0" xfId="0" applyFont="1" applyAlignment="1">
      <alignment horizontal="centerContinuous" vertical="center"/>
    </xf>
    <xf numFmtId="0" fontId="46" fillId="0" borderId="0" xfId="0" applyFont="1" applyAlignment="1">
      <alignment horizontal="left" vertical="center"/>
    </xf>
    <xf numFmtId="167" fontId="46" fillId="0" borderId="0" xfId="0" applyNumberFormat="1" applyFont="1" applyAlignment="1">
      <alignment horizontal="left" indent="1"/>
    </xf>
    <xf numFmtId="167" fontId="45" fillId="0" borderId="0" xfId="0" applyNumberFormat="1" applyFont="1" applyAlignment="1">
      <alignment horizontal="left" wrapText="1" indent="2"/>
    </xf>
    <xf numFmtId="167" fontId="49" fillId="0" borderId="0" xfId="0" applyNumberFormat="1" applyFont="1" applyAlignment="1">
      <alignment horizontal="left" wrapText="1" indent="3"/>
    </xf>
    <xf numFmtId="0" fontId="45" fillId="0" borderId="0" xfId="0" applyFont="1" applyAlignment="1">
      <alignment horizontal="left" wrapText="1" indent="2"/>
    </xf>
    <xf numFmtId="0" fontId="46" fillId="0" borderId="0" xfId="0" applyFont="1" applyAlignment="1">
      <alignment horizontal="left" indent="1"/>
    </xf>
    <xf numFmtId="0" fontId="9" fillId="0" borderId="5" xfId="0" applyFont="1" applyBorder="1"/>
    <xf numFmtId="0" fontId="0" fillId="0" borderId="0" xfId="0" applyAlignment="1">
      <alignment horizontal="right"/>
    </xf>
    <xf numFmtId="0" fontId="67" fillId="0" borderId="0" xfId="0" applyFont="1" applyAlignment="1">
      <alignment vertical="top" wrapText="1"/>
    </xf>
    <xf numFmtId="0" fontId="20" fillId="0" borderId="0" xfId="0" applyFont="1" applyAlignment="1">
      <alignment vertical="center"/>
    </xf>
    <xf numFmtId="0" fontId="66" fillId="3" borderId="0" xfId="0" applyFont="1" applyFill="1" applyAlignment="1">
      <alignment horizontal="center" vertical="center"/>
    </xf>
    <xf numFmtId="0" fontId="7" fillId="0" borderId="0" xfId="0" applyFont="1" applyAlignment="1">
      <alignment horizontal="right"/>
    </xf>
    <xf numFmtId="0" fontId="0" fillId="7" borderId="21" xfId="0" applyFill="1" applyBorder="1"/>
    <xf numFmtId="0" fontId="0" fillId="5" borderId="22" xfId="0" applyFill="1" applyBorder="1"/>
    <xf numFmtId="0" fontId="68" fillId="0" borderId="0" xfId="0" applyFont="1"/>
    <xf numFmtId="0" fontId="70" fillId="0" borderId="0" xfId="0" applyFont="1"/>
    <xf numFmtId="171" fontId="7" fillId="0" borderId="0" xfId="0" applyNumberFormat="1" applyFont="1" applyAlignment="1">
      <alignment horizontal="right"/>
    </xf>
    <xf numFmtId="0" fontId="31" fillId="0" borderId="28" xfId="0" applyFont="1" applyBorder="1" applyAlignment="1" applyProtection="1">
      <alignment horizontal="center" vertical="top" wrapText="1"/>
      <protection hidden="1"/>
    </xf>
    <xf numFmtId="0" fontId="0" fillId="0" borderId="0" xfId="0" quotePrefix="1" applyProtection="1">
      <protection locked="0"/>
    </xf>
    <xf numFmtId="0" fontId="30" fillId="0" borderId="0" xfId="0" applyFont="1"/>
    <xf numFmtId="0" fontId="31" fillId="0" borderId="29" xfId="0" applyFont="1" applyBorder="1" applyAlignment="1">
      <alignment horizontal="center" vertical="top" wrapText="1"/>
    </xf>
    <xf numFmtId="0" fontId="4" fillId="0" borderId="26" xfId="0" applyFont="1" applyBorder="1" applyAlignment="1">
      <alignment horizontal="center"/>
    </xf>
    <xf numFmtId="0" fontId="4" fillId="0" borderId="7" xfId="0" applyFont="1" applyBorder="1" applyAlignment="1">
      <alignment horizontal="center"/>
    </xf>
    <xf numFmtId="0" fontId="4" fillId="0" borderId="30" xfId="0" applyFont="1" applyBorder="1" applyAlignment="1">
      <alignment horizontal="center"/>
    </xf>
    <xf numFmtId="0" fontId="4" fillId="0" borderId="31" xfId="0" applyFont="1" applyBorder="1" applyAlignment="1">
      <alignment horizontal="center"/>
    </xf>
    <xf numFmtId="0" fontId="37" fillId="0" borderId="24" xfId="0" applyFont="1" applyBorder="1" applyAlignment="1" applyProtection="1">
      <alignment horizontal="left"/>
      <protection hidden="1"/>
    </xf>
    <xf numFmtId="0" fontId="37" fillId="0" borderId="26" xfId="0" applyFont="1" applyBorder="1" applyAlignment="1" applyProtection="1">
      <alignment horizontal="left"/>
      <protection hidden="1"/>
    </xf>
    <xf numFmtId="0" fontId="4" fillId="0" borderId="0" xfId="0" applyFont="1" applyAlignment="1">
      <alignment horizontal="center"/>
    </xf>
    <xf numFmtId="0" fontId="34" fillId="0" borderId="0" xfId="0" applyFont="1" applyAlignment="1">
      <alignment horizontal="center"/>
    </xf>
    <xf numFmtId="0" fontId="4" fillId="0" borderId="35" xfId="0" applyFont="1" applyBorder="1" applyProtection="1">
      <protection hidden="1"/>
    </xf>
    <xf numFmtId="0" fontId="7" fillId="0" borderId="0" xfId="0" applyFont="1" applyProtection="1">
      <protection hidden="1"/>
    </xf>
    <xf numFmtId="0" fontId="4" fillId="0" borderId="35" xfId="0" applyFont="1" applyBorder="1" applyAlignment="1" applyProtection="1">
      <alignment horizontal="left"/>
      <protection hidden="1"/>
    </xf>
    <xf numFmtId="0" fontId="31" fillId="0" borderId="36" xfId="0" quotePrefix="1" applyFont="1" applyBorder="1" applyAlignment="1" applyProtection="1">
      <alignment horizontal="center" vertical="top" wrapText="1"/>
      <protection hidden="1"/>
    </xf>
    <xf numFmtId="0" fontId="31" fillId="0" borderId="36" xfId="0" applyFont="1" applyBorder="1" applyAlignment="1" applyProtection="1">
      <alignment horizontal="center" vertical="top" wrapText="1"/>
      <protection hidden="1"/>
    </xf>
    <xf numFmtId="0" fontId="31" fillId="0" borderId="29" xfId="0" applyFont="1" applyBorder="1" applyAlignment="1" applyProtection="1">
      <alignment horizontal="center" vertical="top" wrapText="1"/>
      <protection hidden="1"/>
    </xf>
    <xf numFmtId="0" fontId="30" fillId="0" borderId="31" xfId="0" applyFont="1" applyBorder="1"/>
    <xf numFmtId="0" fontId="4" fillId="0" borderId="29" xfId="0" applyFont="1" applyBorder="1" applyAlignment="1">
      <alignment horizontal="center"/>
    </xf>
    <xf numFmtId="0" fontId="4" fillId="0" borderId="37" xfId="0" applyFont="1" applyBorder="1" applyAlignment="1">
      <alignment horizontal="center"/>
    </xf>
    <xf numFmtId="0" fontId="4" fillId="0" borderId="35" xfId="0" applyFont="1" applyBorder="1" applyAlignment="1">
      <alignment horizontal="center"/>
    </xf>
    <xf numFmtId="0" fontId="4" fillId="0" borderId="35" xfId="0" quotePrefix="1" applyFont="1" applyBorder="1" applyAlignment="1">
      <alignment horizontal="center"/>
    </xf>
    <xf numFmtId="0" fontId="34" fillId="0" borderId="0" xfId="0" applyFont="1"/>
    <xf numFmtId="0" fontId="4" fillId="0" borderId="34" xfId="0" applyFont="1" applyBorder="1"/>
    <xf numFmtId="0" fontId="4" fillId="0" borderId="34" xfId="0" applyFont="1" applyBorder="1" applyAlignment="1">
      <alignment horizontal="center"/>
    </xf>
    <xf numFmtId="0" fontId="4" fillId="0" borderId="34" xfId="0" applyFont="1" applyBorder="1" applyAlignment="1">
      <alignment horizontal="left"/>
    </xf>
    <xf numFmtId="0" fontId="4" fillId="0" borderId="35" xfId="0" applyFont="1" applyBorder="1" applyAlignment="1" applyProtection="1">
      <alignment horizontal="left" indent="1"/>
      <protection hidden="1"/>
    </xf>
    <xf numFmtId="0" fontId="4" fillId="0" borderId="35" xfId="0" applyFont="1" applyBorder="1" applyAlignment="1" applyProtection="1">
      <alignment horizontal="left" wrapText="1" indent="1"/>
      <protection hidden="1"/>
    </xf>
    <xf numFmtId="0" fontId="30" fillId="0" borderId="0" xfId="0" applyFont="1" applyProtection="1">
      <protection locked="0"/>
    </xf>
    <xf numFmtId="0" fontId="4" fillId="0" borderId="0" xfId="0" applyFont="1" applyAlignment="1" applyProtection="1">
      <alignment horizontal="centerContinuous"/>
      <protection hidden="1"/>
    </xf>
    <xf numFmtId="0" fontId="7" fillId="0" borderId="0" xfId="0" applyFont="1" applyAlignment="1" applyProtection="1">
      <alignment horizontal="centerContinuous" vertical="center" wrapText="1"/>
      <protection hidden="1"/>
    </xf>
    <xf numFmtId="0" fontId="12" fillId="0" borderId="0" xfId="0" applyFont="1"/>
    <xf numFmtId="0" fontId="43" fillId="0" borderId="38" xfId="0" applyFont="1" applyBorder="1" applyAlignment="1">
      <alignment horizontal="center"/>
    </xf>
    <xf numFmtId="0" fontId="43" fillId="0" borderId="37" xfId="0" applyFont="1" applyBorder="1" applyAlignment="1">
      <alignment horizontal="center" vertical="center" wrapText="1"/>
    </xf>
    <xf numFmtId="0" fontId="43" fillId="0" borderId="11" xfId="0" applyFont="1" applyBorder="1" applyAlignment="1">
      <alignment horizontal="center" vertical="center" wrapText="1"/>
    </xf>
    <xf numFmtId="0" fontId="14" fillId="0" borderId="0" xfId="0" applyFont="1" applyAlignment="1">
      <alignment horizontal="centerContinuous"/>
    </xf>
    <xf numFmtId="0" fontId="50" fillId="0" borderId="13" xfId="0" applyFont="1" applyBorder="1" applyAlignment="1">
      <alignment horizontal="centerContinuous" vertical="center"/>
    </xf>
    <xf numFmtId="0" fontId="13" fillId="0" borderId="39" xfId="0" applyFont="1" applyBorder="1" applyAlignment="1">
      <alignment horizontal="centerContinuous" vertical="center"/>
    </xf>
    <xf numFmtId="0" fontId="9" fillId="0" borderId="40" xfId="0" applyFont="1" applyBorder="1"/>
    <xf numFmtId="0" fontId="45" fillId="0" borderId="4" xfId="0" applyFont="1" applyBorder="1"/>
    <xf numFmtId="0" fontId="47" fillId="0" borderId="41" xfId="0" applyFont="1" applyBorder="1" applyAlignment="1">
      <alignment horizontal="center"/>
    </xf>
    <xf numFmtId="0" fontId="46" fillId="0" borderId="42" xfId="0" applyFont="1" applyBorder="1" applyAlignment="1">
      <alignment horizontal="centerContinuous"/>
    </xf>
    <xf numFmtId="0" fontId="0" fillId="0" borderId="4" xfId="0" applyBorder="1" applyAlignment="1">
      <alignment horizontal="centerContinuous"/>
    </xf>
    <xf numFmtId="0" fontId="45" fillId="0" borderId="4" xfId="0" applyFont="1" applyBorder="1" applyAlignment="1">
      <alignment horizontal="centerContinuous"/>
    </xf>
    <xf numFmtId="0" fontId="14" fillId="0" borderId="0" xfId="0" applyFont="1" applyAlignment="1" applyProtection="1">
      <alignment horizontal="centerContinuous"/>
      <protection hidden="1"/>
    </xf>
    <xf numFmtId="0" fontId="13" fillId="0" borderId="43" xfId="0" applyFont="1" applyBorder="1" applyAlignment="1" applyProtection="1">
      <alignment horizontal="center" vertical="center" wrapText="1"/>
      <protection hidden="1"/>
    </xf>
    <xf numFmtId="0" fontId="13" fillId="0" borderId="43" xfId="0" applyFont="1" applyBorder="1" applyAlignment="1" applyProtection="1">
      <alignment horizontal="centerContinuous" vertical="center" wrapText="1"/>
      <protection hidden="1"/>
    </xf>
    <xf numFmtId="0" fontId="13" fillId="0" borderId="44" xfId="0" applyFont="1" applyBorder="1" applyAlignment="1" applyProtection="1">
      <alignment horizontal="centerContinuous" vertical="center" wrapText="1"/>
      <protection hidden="1"/>
    </xf>
    <xf numFmtId="0" fontId="13" fillId="0" borderId="0" xfId="0" applyFont="1" applyProtection="1">
      <protection hidden="1"/>
    </xf>
    <xf numFmtId="0" fontId="46" fillId="0" borderId="0" xfId="0" applyFont="1" applyProtection="1">
      <protection hidden="1"/>
    </xf>
    <xf numFmtId="0" fontId="9" fillId="0" borderId="0" xfId="0" applyFont="1" applyAlignment="1" applyProtection="1">
      <alignment horizontal="center"/>
      <protection hidden="1"/>
    </xf>
    <xf numFmtId="0" fontId="12" fillId="0" borderId="13" xfId="0" quotePrefix="1" applyFont="1" applyBorder="1" applyAlignment="1" applyProtection="1">
      <alignment vertical="center"/>
      <protection hidden="1"/>
    </xf>
    <xf numFmtId="0" fontId="43" fillId="0" borderId="35" xfId="0" quotePrefix="1" applyFont="1" applyBorder="1" applyAlignment="1">
      <alignment horizontal="center" vertical="center"/>
    </xf>
    <xf numFmtId="0" fontId="43" fillId="0" borderId="29" xfId="0" quotePrefix="1" applyFont="1" applyBorder="1" applyAlignment="1">
      <alignment horizontal="center" vertical="center"/>
    </xf>
    <xf numFmtId="0" fontId="12" fillId="0" borderId="13" xfId="0" applyFont="1" applyBorder="1" applyAlignment="1" applyProtection="1">
      <alignment horizontal="left" vertical="center"/>
      <protection hidden="1"/>
    </xf>
    <xf numFmtId="0" fontId="12" fillId="0" borderId="13" xfId="0" applyFont="1" applyBorder="1" applyAlignment="1" applyProtection="1">
      <alignment vertical="center"/>
      <protection hidden="1"/>
    </xf>
    <xf numFmtId="0" fontId="43" fillId="0" borderId="0" xfId="0" applyFont="1" applyAlignment="1">
      <alignment horizontal="center" vertical="center"/>
    </xf>
    <xf numFmtId="0" fontId="12" fillId="0" borderId="45" xfId="0" applyFont="1" applyBorder="1" applyAlignment="1" applyProtection="1">
      <alignment vertical="center"/>
      <protection hidden="1"/>
    </xf>
    <xf numFmtId="0" fontId="12" fillId="0" borderId="46" xfId="0" applyFont="1" applyBorder="1" applyAlignment="1" applyProtection="1">
      <alignment vertical="center"/>
      <protection hidden="1"/>
    </xf>
    <xf numFmtId="0" fontId="43" fillId="0" borderId="47" xfId="0" quotePrefix="1" applyFont="1" applyBorder="1" applyAlignment="1">
      <alignment horizontal="center" vertical="center"/>
    </xf>
    <xf numFmtId="0" fontId="12" fillId="0" borderId="48" xfId="0" applyFont="1" applyBorder="1" applyAlignment="1" applyProtection="1">
      <alignment vertical="center"/>
      <protection hidden="1"/>
    </xf>
    <xf numFmtId="0" fontId="12" fillId="0" borderId="49" xfId="0" applyFont="1" applyBorder="1" applyAlignment="1" applyProtection="1">
      <alignment vertical="center"/>
      <protection hidden="1"/>
    </xf>
    <xf numFmtId="0" fontId="43" fillId="0" borderId="50" xfId="0" quotePrefix="1" applyFont="1" applyBorder="1" applyAlignment="1">
      <alignment horizontal="center" vertical="center"/>
    </xf>
    <xf numFmtId="0" fontId="43" fillId="0" borderId="51" xfId="0" quotePrefix="1" applyFont="1" applyBorder="1" applyAlignment="1">
      <alignment horizontal="center" vertical="center"/>
    </xf>
    <xf numFmtId="0" fontId="44" fillId="0" borderId="12" xfId="0" applyFont="1" applyBorder="1" applyAlignment="1" applyProtection="1">
      <alignment horizontal="left" vertical="center" wrapText="1" indent="2"/>
      <protection hidden="1"/>
    </xf>
    <xf numFmtId="0" fontId="44" fillId="0" borderId="13" xfId="0" applyFont="1" applyBorder="1" applyAlignment="1" applyProtection="1">
      <alignment horizontal="left" vertical="center" indent="2"/>
      <protection hidden="1"/>
    </xf>
    <xf numFmtId="0" fontId="44" fillId="0" borderId="12" xfId="0" applyFont="1" applyBorder="1" applyAlignment="1" applyProtection="1">
      <alignment horizontal="left" vertical="center" indent="2"/>
      <protection hidden="1"/>
    </xf>
    <xf numFmtId="0" fontId="12" fillId="0" borderId="48" xfId="0" applyFont="1" applyBorder="1" applyAlignment="1" applyProtection="1">
      <alignment horizontal="left" vertical="center" indent="2"/>
      <protection hidden="1"/>
    </xf>
    <xf numFmtId="0" fontId="12" fillId="0" borderId="45" xfId="0" applyFont="1" applyBorder="1" applyAlignment="1" applyProtection="1">
      <alignment horizontal="left" vertical="center" indent="2"/>
      <protection hidden="1"/>
    </xf>
    <xf numFmtId="0" fontId="12" fillId="0" borderId="46" xfId="0" applyFont="1" applyBorder="1" applyAlignment="1" applyProtection="1">
      <alignment horizontal="left" vertical="center" indent="2"/>
      <protection hidden="1"/>
    </xf>
    <xf numFmtId="0" fontId="27" fillId="0" borderId="0" xfId="0" applyFont="1" applyAlignment="1" applyProtection="1">
      <alignment horizontal="center"/>
      <protection hidden="1"/>
    </xf>
    <xf numFmtId="0" fontId="12" fillId="0" borderId="60" xfId="0" applyFont="1" applyBorder="1" applyAlignment="1" applyProtection="1">
      <alignment vertical="center"/>
      <protection hidden="1"/>
    </xf>
    <xf numFmtId="0" fontId="13" fillId="0" borderId="63" xfId="0" applyFont="1" applyBorder="1" applyAlignment="1" applyProtection="1">
      <alignment vertical="center"/>
      <protection hidden="1"/>
    </xf>
    <xf numFmtId="0" fontId="43" fillId="0" borderId="64" xfId="0" applyFont="1" applyBorder="1" applyAlignment="1">
      <alignment horizontal="center" vertical="center"/>
    </xf>
    <xf numFmtId="0" fontId="23" fillId="0" borderId="0" xfId="0" applyFont="1" applyAlignment="1" applyProtection="1">
      <alignment horizontal="left" indent="1"/>
      <protection hidden="1"/>
    </xf>
    <xf numFmtId="0" fontId="14" fillId="0" borderId="0" xfId="0" applyFont="1" applyAlignment="1">
      <alignment horizontal="left"/>
    </xf>
    <xf numFmtId="0" fontId="46" fillId="0" borderId="45" xfId="0" applyFont="1" applyBorder="1" applyAlignment="1">
      <alignment horizontal="left" vertical="center"/>
    </xf>
    <xf numFmtId="0" fontId="13" fillId="0" borderId="45" xfId="0" applyFont="1" applyBorder="1" applyAlignment="1">
      <alignment horizontal="left" indent="1"/>
    </xf>
    <xf numFmtId="0" fontId="12" fillId="0" borderId="45" xfId="0" applyFont="1" applyBorder="1" applyAlignment="1">
      <alignment horizontal="left" indent="2"/>
    </xf>
    <xf numFmtId="0" fontId="12" fillId="0" borderId="45" xfId="0" applyFont="1" applyBorder="1" applyAlignment="1">
      <alignment horizontal="left" wrapText="1" indent="2"/>
    </xf>
    <xf numFmtId="0" fontId="13" fillId="0" borderId="46" xfId="0" applyFont="1" applyBorder="1" applyAlignment="1">
      <alignment horizontal="left" indent="1"/>
    </xf>
    <xf numFmtId="0" fontId="43" fillId="0" borderId="0" xfId="0" applyFont="1" applyProtection="1">
      <protection hidden="1"/>
    </xf>
    <xf numFmtId="0" fontId="45" fillId="0" borderId="44" xfId="0" applyFont="1" applyBorder="1" applyAlignment="1">
      <alignment horizontal="left"/>
    </xf>
    <xf numFmtId="0" fontId="46" fillId="0" borderId="52" xfId="0" applyFont="1" applyBorder="1" applyAlignment="1">
      <alignment horizontal="left" vertical="center"/>
    </xf>
    <xf numFmtId="0" fontId="48" fillId="0" borderId="0" xfId="0" applyFont="1" applyAlignment="1">
      <alignment horizontal="center"/>
    </xf>
    <xf numFmtId="0" fontId="43" fillId="0" borderId="35" xfId="0" quotePrefix="1" applyFont="1" applyBorder="1" applyAlignment="1">
      <alignment horizontal="center"/>
    </xf>
    <xf numFmtId="0" fontId="45" fillId="0" borderId="39" xfId="0" applyFont="1" applyBorder="1"/>
    <xf numFmtId="0" fontId="45" fillId="0" borderId="3" xfId="0" applyFont="1" applyBorder="1"/>
    <xf numFmtId="0" fontId="43" fillId="0" borderId="13" xfId="0" applyFont="1" applyBorder="1"/>
    <xf numFmtId="0" fontId="43" fillId="0" borderId="0" xfId="0" applyFont="1" applyAlignment="1" applyProtection="1">
      <alignment horizontal="center"/>
      <protection locked="0"/>
    </xf>
    <xf numFmtId="0" fontId="43" fillId="0" borderId="0" xfId="0" applyFont="1" applyProtection="1">
      <protection locked="0"/>
    </xf>
    <xf numFmtId="3" fontId="13" fillId="0" borderId="58" xfId="0" applyNumberFormat="1" applyFont="1" applyBorder="1" applyProtection="1">
      <protection hidden="1"/>
    </xf>
    <xf numFmtId="3" fontId="12" fillId="0" borderId="58" xfId="0" applyNumberFormat="1" applyFont="1" applyBorder="1" applyProtection="1">
      <protection locked="0"/>
    </xf>
    <xf numFmtId="3" fontId="13" fillId="0" borderId="53" xfId="0" applyNumberFormat="1" applyFont="1" applyBorder="1"/>
    <xf numFmtId="3" fontId="13" fillId="0" borderId="58" xfId="0" applyNumberFormat="1" applyFont="1" applyBorder="1" applyProtection="1">
      <protection locked="0"/>
    </xf>
    <xf numFmtId="0" fontId="43" fillId="0" borderId="47" xfId="0" quotePrefix="1" applyFont="1" applyBorder="1" applyAlignment="1">
      <alignment horizontal="center"/>
    </xf>
    <xf numFmtId="0" fontId="45" fillId="0" borderId="0" xfId="0" quotePrefix="1" applyFont="1"/>
    <xf numFmtId="0" fontId="43" fillId="0" borderId="9" xfId="0" quotePrefix="1" applyFont="1" applyBorder="1" applyAlignment="1">
      <alignment horizontal="center"/>
    </xf>
    <xf numFmtId="3" fontId="13" fillId="0" borderId="65" xfId="0" applyNumberFormat="1" applyFont="1" applyBorder="1" applyProtection="1">
      <protection hidden="1"/>
    </xf>
    <xf numFmtId="3" fontId="13" fillId="0" borderId="66" xfId="0" applyNumberFormat="1" applyFont="1" applyBorder="1"/>
    <xf numFmtId="0" fontId="12" fillId="0" borderId="45" xfId="0" applyFont="1" applyBorder="1" applyAlignment="1">
      <alignment horizontal="left" vertical="center" indent="2"/>
    </xf>
    <xf numFmtId="0" fontId="12" fillId="0" borderId="45" xfId="0" applyFont="1" applyBorder="1" applyAlignment="1">
      <alignment horizontal="left" vertical="center" wrapText="1" indent="2"/>
    </xf>
    <xf numFmtId="0" fontId="13" fillId="0" borderId="45" xfId="0" applyFont="1" applyBorder="1" applyAlignment="1" applyProtection="1">
      <alignment horizontal="left" vertical="center" indent="1"/>
      <protection hidden="1"/>
    </xf>
    <xf numFmtId="0" fontId="12" fillId="0" borderId="45" xfId="0" applyFont="1" applyBorder="1" applyAlignment="1" applyProtection="1">
      <alignment horizontal="left" vertical="center" wrapText="1" indent="2"/>
      <protection hidden="1"/>
    </xf>
    <xf numFmtId="0" fontId="27" fillId="0" borderId="0" xfId="0" applyFont="1" applyAlignment="1" applyProtection="1">
      <alignment horizontal="center" vertical="center"/>
      <protection hidden="1"/>
    </xf>
    <xf numFmtId="0" fontId="13" fillId="0" borderId="45" xfId="0" applyFont="1" applyBorder="1" applyAlignment="1">
      <alignment horizontal="left" vertical="center" indent="1"/>
    </xf>
    <xf numFmtId="0" fontId="13" fillId="0" borderId="12" xfId="0" applyFont="1" applyBorder="1" applyAlignment="1">
      <alignment horizontal="left" vertical="center" indent="1"/>
    </xf>
    <xf numFmtId="0" fontId="13" fillId="0" borderId="46" xfId="0" applyFont="1" applyBorder="1" applyAlignment="1">
      <alignment horizontal="left" vertical="center" indent="1"/>
    </xf>
    <xf numFmtId="0" fontId="45" fillId="0" borderId="6" xfId="0" applyFont="1" applyBorder="1"/>
    <xf numFmtId="0" fontId="45" fillId="0" borderId="67" xfId="0" applyFont="1" applyBorder="1"/>
    <xf numFmtId="0" fontId="45" fillId="0" borderId="8" xfId="0" applyFont="1" applyBorder="1"/>
    <xf numFmtId="0" fontId="43" fillId="0" borderId="3" xfId="0" applyFont="1" applyBorder="1"/>
    <xf numFmtId="0" fontId="43" fillId="0" borderId="8" xfId="0" applyFont="1" applyBorder="1"/>
    <xf numFmtId="0" fontId="43" fillId="0" borderId="14" xfId="0" applyFont="1" applyBorder="1"/>
    <xf numFmtId="0" fontId="43" fillId="0" borderId="4" xfId="0" applyFont="1" applyBorder="1"/>
    <xf numFmtId="0" fontId="43" fillId="0" borderId="23" xfId="0" applyFont="1" applyBorder="1"/>
    <xf numFmtId="0" fontId="43" fillId="0" borderId="31" xfId="0" applyFont="1" applyBorder="1" applyAlignment="1">
      <alignment horizontal="left"/>
    </xf>
    <xf numFmtId="0" fontId="43" fillId="0" borderId="38" xfId="0" applyFont="1" applyBorder="1" applyAlignment="1">
      <alignment horizontal="left"/>
    </xf>
    <xf numFmtId="0" fontId="43" fillId="0" borderId="68" xfId="0" applyFont="1" applyBorder="1" applyAlignment="1">
      <alignment horizontal="centerContinuous" vertical="center"/>
    </xf>
    <xf numFmtId="0" fontId="43" fillId="0" borderId="11" xfId="0" applyFont="1" applyBorder="1" applyAlignment="1">
      <alignment horizontal="centerContinuous" vertical="center"/>
    </xf>
    <xf numFmtId="3" fontId="12" fillId="0" borderId="68" xfId="0" applyNumberFormat="1" applyFont="1" applyBorder="1" applyProtection="1">
      <protection locked="0"/>
    </xf>
    <xf numFmtId="0" fontId="43" fillId="0" borderId="40" xfId="0" applyFont="1" applyBorder="1" applyAlignment="1">
      <alignment horizontal="left"/>
    </xf>
    <xf numFmtId="0" fontId="45" fillId="0" borderId="44" xfId="0" applyFont="1" applyBorder="1" applyAlignment="1">
      <alignment horizontal="centerContinuous" vertical="center"/>
    </xf>
    <xf numFmtId="167" fontId="46" fillId="0" borderId="45" xfId="0" applyNumberFormat="1" applyFont="1" applyBorder="1" applyAlignment="1">
      <alignment horizontal="left" indent="1"/>
    </xf>
    <xf numFmtId="167" fontId="45" fillId="0" borderId="45" xfId="0" applyNumberFormat="1" applyFont="1" applyBorder="1" applyAlignment="1">
      <alignment horizontal="left" wrapText="1" indent="2"/>
    </xf>
    <xf numFmtId="0" fontId="45" fillId="0" borderId="45" xfId="0" applyFont="1" applyBorder="1" applyAlignment="1">
      <alignment horizontal="left" wrapText="1" indent="2"/>
    </xf>
    <xf numFmtId="0" fontId="46" fillId="0" borderId="45" xfId="0" applyFont="1" applyBorder="1" applyAlignment="1">
      <alignment horizontal="left" indent="1"/>
    </xf>
    <xf numFmtId="0" fontId="45" fillId="0" borderId="46" xfId="0" applyFont="1" applyBorder="1" applyAlignment="1">
      <alignment horizontal="left" wrapText="1" indent="2"/>
    </xf>
    <xf numFmtId="3" fontId="12" fillId="0" borderId="52" xfId="0" applyNumberFormat="1" applyFont="1" applyBorder="1" applyProtection="1">
      <protection locked="0"/>
    </xf>
    <xf numFmtId="3" fontId="12" fillId="0" borderId="69" xfId="0" applyNumberFormat="1" applyFont="1" applyBorder="1" applyProtection="1">
      <protection locked="0"/>
    </xf>
    <xf numFmtId="3" fontId="13" fillId="0" borderId="69" xfId="0" applyNumberFormat="1" applyFont="1" applyBorder="1" applyProtection="1">
      <protection hidden="1"/>
    </xf>
    <xf numFmtId="3" fontId="13" fillId="0" borderId="52" xfId="0" applyNumberFormat="1" applyFont="1" applyBorder="1" applyProtection="1">
      <protection hidden="1"/>
    </xf>
    <xf numFmtId="3" fontId="12" fillId="0" borderId="70" xfId="0" applyNumberFormat="1" applyFont="1" applyBorder="1" applyProtection="1">
      <protection locked="0"/>
    </xf>
    <xf numFmtId="3" fontId="12" fillId="0" borderId="23" xfId="0" applyNumberFormat="1" applyFont="1" applyBorder="1" applyProtection="1">
      <protection locked="0"/>
    </xf>
    <xf numFmtId="167" fontId="49" fillId="0" borderId="45" xfId="0" applyNumberFormat="1" applyFont="1" applyBorder="1" applyAlignment="1">
      <alignment horizontal="left" wrapText="1" indent="3"/>
    </xf>
    <xf numFmtId="167" fontId="45" fillId="0" borderId="71" xfId="0" applyNumberFormat="1" applyFont="1" applyBorder="1" applyAlignment="1">
      <alignment horizontal="left" wrapText="1" indent="2"/>
    </xf>
    <xf numFmtId="3" fontId="12" fillId="0" borderId="11" xfId="0" applyNumberFormat="1" applyFont="1" applyBorder="1" applyProtection="1">
      <protection locked="0"/>
    </xf>
    <xf numFmtId="0" fontId="43" fillId="0" borderId="38" xfId="0" quotePrefix="1" applyFont="1" applyBorder="1" applyAlignment="1">
      <alignment horizontal="center"/>
    </xf>
    <xf numFmtId="0" fontId="43" fillId="0" borderId="41" xfId="0" quotePrefix="1" applyFont="1" applyBorder="1" applyAlignment="1">
      <alignment horizontal="center"/>
    </xf>
    <xf numFmtId="0" fontId="46" fillId="0" borderId="35" xfId="0" applyFont="1" applyBorder="1" applyAlignment="1">
      <alignment horizontal="centerContinuous" vertical="center"/>
    </xf>
    <xf numFmtId="0" fontId="43" fillId="0" borderId="10" xfId="0" quotePrefix="1" applyFont="1" applyBorder="1" applyAlignment="1">
      <alignment horizontal="center"/>
    </xf>
    <xf numFmtId="0" fontId="45" fillId="0" borderId="64" xfId="0" applyFont="1" applyBorder="1" applyAlignment="1" applyProtection="1">
      <alignment horizontal="centerContinuous" vertical="center" wrapText="1"/>
      <protection hidden="1"/>
    </xf>
    <xf numFmtId="0" fontId="13" fillId="0" borderId="45" xfId="0" applyFont="1" applyBorder="1" applyAlignment="1" applyProtection="1">
      <alignment horizontal="left" vertical="center"/>
      <protection hidden="1"/>
    </xf>
    <xf numFmtId="3" fontId="13" fillId="0" borderId="69" xfId="0" applyNumberFormat="1" applyFont="1" applyBorder="1"/>
    <xf numFmtId="3" fontId="13" fillId="0" borderId="11" xfId="0" applyNumberFormat="1" applyFont="1" applyBorder="1"/>
    <xf numFmtId="0" fontId="43" fillId="0" borderId="37" xfId="0" quotePrefix="1" applyFont="1" applyBorder="1" applyAlignment="1">
      <alignment horizontal="center" vertical="center"/>
    </xf>
    <xf numFmtId="0" fontId="43" fillId="0" borderId="38" xfId="0" quotePrefix="1" applyFont="1" applyBorder="1" applyAlignment="1">
      <alignment horizontal="center" vertical="center"/>
    </xf>
    <xf numFmtId="0" fontId="43" fillId="0" borderId="41" xfId="0" quotePrefix="1" applyFont="1" applyBorder="1" applyAlignment="1">
      <alignment horizontal="center" vertical="center"/>
    </xf>
    <xf numFmtId="167" fontId="13" fillId="0" borderId="45" xfId="0" applyNumberFormat="1" applyFont="1" applyBorder="1" applyAlignment="1" applyProtection="1">
      <alignment horizontal="left" vertical="center" indent="1"/>
      <protection hidden="1"/>
    </xf>
    <xf numFmtId="167" fontId="12" fillId="0" borderId="45" xfId="0" applyNumberFormat="1" applyFont="1" applyBorder="1" applyAlignment="1" applyProtection="1">
      <alignment horizontal="left" vertical="center" wrapText="1" indent="2"/>
      <protection hidden="1"/>
    </xf>
    <xf numFmtId="167" fontId="44" fillId="0" borderId="45" xfId="0" applyNumberFormat="1" applyFont="1" applyBorder="1" applyAlignment="1" applyProtection="1">
      <alignment horizontal="left" vertical="center" wrapText="1" indent="3"/>
      <protection hidden="1"/>
    </xf>
    <xf numFmtId="167" fontId="12" fillId="0" borderId="71" xfId="0" applyNumberFormat="1" applyFont="1" applyBorder="1" applyAlignment="1" applyProtection="1">
      <alignment horizontal="left" vertical="center" wrapText="1" indent="2"/>
      <protection hidden="1"/>
    </xf>
    <xf numFmtId="0" fontId="12" fillId="0" borderId="46" xfId="0" applyFont="1" applyBorder="1" applyAlignment="1" applyProtection="1">
      <alignment horizontal="left" vertical="center" wrapText="1" indent="2"/>
      <protection hidden="1"/>
    </xf>
    <xf numFmtId="0" fontId="45" fillId="0" borderId="14" xfId="0" applyFont="1" applyBorder="1"/>
    <xf numFmtId="0" fontId="45" fillId="0" borderId="23" xfId="0" applyFont="1" applyBorder="1"/>
    <xf numFmtId="0" fontId="46" fillId="0" borderId="68" xfId="0" applyFont="1" applyBorder="1" applyAlignment="1" applyProtection="1">
      <alignment horizontal="centerContinuous" vertical="center" wrapText="1"/>
      <protection hidden="1"/>
    </xf>
    <xf numFmtId="0" fontId="46" fillId="0" borderId="72" xfId="0" applyFont="1" applyBorder="1" applyAlignment="1" applyProtection="1">
      <alignment horizontal="centerContinuous" vertical="center" wrapText="1"/>
      <protection hidden="1"/>
    </xf>
    <xf numFmtId="0" fontId="39" fillId="0" borderId="65" xfId="0" applyFont="1" applyBorder="1" applyAlignment="1" applyProtection="1">
      <alignment horizontal="center" vertical="center" wrapText="1"/>
      <protection hidden="1"/>
    </xf>
    <xf numFmtId="0" fontId="9" fillId="0" borderId="73"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39" fillId="0" borderId="28" xfId="0" applyFont="1" applyBorder="1" applyAlignment="1" applyProtection="1">
      <alignment horizontal="center" vertical="center" wrapText="1"/>
      <protection hidden="1"/>
    </xf>
    <xf numFmtId="0" fontId="39" fillId="0" borderId="29" xfId="0" applyFont="1" applyBorder="1" applyAlignment="1" applyProtection="1">
      <alignment horizontal="center" vertical="center" wrapText="1"/>
      <protection hidden="1"/>
    </xf>
    <xf numFmtId="0" fontId="9" fillId="0" borderId="38" xfId="0" applyFont="1" applyBorder="1" applyAlignment="1" applyProtection="1">
      <alignment horizontal="center" vertical="center" wrapText="1"/>
      <protection hidden="1"/>
    </xf>
    <xf numFmtId="0" fontId="9" fillId="0" borderId="0" xfId="0" applyFont="1" applyAlignment="1">
      <alignment vertical="top" wrapText="1"/>
    </xf>
    <xf numFmtId="168" fontId="35" fillId="0" borderId="0" xfId="0" applyNumberFormat="1" applyFont="1"/>
    <xf numFmtId="0" fontId="35" fillId="0" borderId="0" xfId="0" applyFont="1"/>
    <xf numFmtId="168" fontId="56" fillId="0" borderId="0" xfId="0" applyNumberFormat="1" applyFont="1" applyAlignment="1" applyProtection="1">
      <alignment horizontal="center"/>
      <protection hidden="1"/>
    </xf>
    <xf numFmtId="0" fontId="56" fillId="0" borderId="0" xfId="0" applyFont="1" applyAlignment="1" applyProtection="1">
      <alignment horizontal="center"/>
      <protection hidden="1"/>
    </xf>
    <xf numFmtId="0" fontId="31" fillId="2" borderId="0" xfId="0" applyFont="1" applyFill="1" applyAlignment="1">
      <alignment horizontal="right"/>
    </xf>
    <xf numFmtId="0" fontId="71" fillId="2" borderId="0" xfId="0" applyFont="1" applyFill="1" applyProtection="1">
      <protection hidden="1"/>
    </xf>
    <xf numFmtId="168" fontId="9" fillId="0" borderId="0" xfId="0" applyNumberFormat="1" applyFont="1"/>
    <xf numFmtId="0" fontId="32" fillId="0" borderId="5" xfId="0" applyFont="1" applyBorder="1"/>
    <xf numFmtId="0" fontId="9" fillId="2" borderId="0" xfId="0" applyFont="1" applyFill="1" applyProtection="1">
      <protection hidden="1"/>
    </xf>
    <xf numFmtId="0" fontId="55" fillId="0" borderId="2" xfId="0" applyFont="1" applyBorder="1" applyProtection="1">
      <protection hidden="1"/>
    </xf>
    <xf numFmtId="0" fontId="22" fillId="2" borderId="5" xfId="0" applyFont="1" applyFill="1" applyBorder="1" applyAlignment="1">
      <alignment vertical="top" wrapText="1"/>
    </xf>
    <xf numFmtId="0" fontId="22" fillId="2" borderId="0" xfId="0" applyFont="1" applyFill="1" applyAlignment="1">
      <alignment vertical="top"/>
    </xf>
    <xf numFmtId="0" fontId="22" fillId="2" borderId="0" xfId="0" applyFont="1" applyFill="1" applyAlignment="1">
      <alignment vertical="top" wrapText="1"/>
    </xf>
    <xf numFmtId="0" fontId="9" fillId="2" borderId="0" xfId="0" applyFont="1" applyFill="1" applyAlignment="1">
      <alignment horizontal="center"/>
    </xf>
    <xf numFmtId="0" fontId="57" fillId="2" borderId="0" xfId="0" quotePrefix="1" applyFont="1" applyFill="1" applyAlignment="1" applyProtection="1">
      <alignment horizontal="right"/>
      <protection hidden="1"/>
    </xf>
    <xf numFmtId="0" fontId="22" fillId="2" borderId="162" xfId="0" applyFont="1" applyFill="1" applyBorder="1" applyAlignment="1" applyProtection="1">
      <alignment horizontal="center" vertical="top" wrapText="1"/>
      <protection hidden="1"/>
    </xf>
    <xf numFmtId="0" fontId="22" fillId="2" borderId="163" xfId="0" applyFont="1" applyFill="1" applyBorder="1" applyAlignment="1">
      <alignment horizontal="centerContinuous" wrapText="1"/>
    </xf>
    <xf numFmtId="0" fontId="9" fillId="2" borderId="0" xfId="0" applyFont="1" applyFill="1" applyAlignment="1">
      <alignment horizontal="left"/>
    </xf>
    <xf numFmtId="168" fontId="9" fillId="2" borderId="0" xfId="0" applyNumberFormat="1" applyFont="1" applyFill="1"/>
    <xf numFmtId="0" fontId="22" fillId="2" borderId="5" xfId="0" applyFont="1" applyFill="1" applyBorder="1" applyAlignment="1">
      <alignment horizontal="center" vertical="top" wrapText="1"/>
    </xf>
    <xf numFmtId="0" fontId="22" fillId="2" borderId="0" xfId="0" applyFont="1" applyFill="1" applyAlignment="1">
      <alignment horizontal="center" vertical="top" wrapText="1"/>
    </xf>
    <xf numFmtId="0" fontId="4" fillId="2" borderId="0" xfId="0" quotePrefix="1" applyFont="1" applyFill="1"/>
    <xf numFmtId="0" fontId="9" fillId="2" borderId="0" xfId="0" applyFont="1" applyFill="1"/>
    <xf numFmtId="0" fontId="4" fillId="2" borderId="0" xfId="0" applyFont="1" applyFill="1" applyAlignment="1">
      <alignment horizontal="left"/>
    </xf>
    <xf numFmtId="0" fontId="9" fillId="0" borderId="133" xfId="0" applyFont="1" applyBorder="1" applyAlignment="1" applyProtection="1">
      <alignment horizontal="center" vertical="center" wrapText="1"/>
      <protection hidden="1"/>
    </xf>
    <xf numFmtId="0" fontId="9" fillId="0" borderId="123" xfId="0" applyFont="1" applyBorder="1" applyAlignment="1" applyProtection="1">
      <alignment horizontal="center" vertical="center" wrapText="1"/>
      <protection hidden="1"/>
    </xf>
    <xf numFmtId="0" fontId="9" fillId="0" borderId="136"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39" fillId="0" borderId="59" xfId="0" applyFont="1" applyBorder="1" applyAlignment="1" applyProtection="1">
      <alignment horizontal="center" vertical="center" wrapText="1"/>
      <protection hidden="1"/>
    </xf>
    <xf numFmtId="0" fontId="9" fillId="0" borderId="30" xfId="0" applyFont="1" applyBorder="1" applyAlignment="1" applyProtection="1">
      <alignment horizontal="center" vertical="center" wrapText="1"/>
      <protection hidden="1"/>
    </xf>
    <xf numFmtId="3" fontId="9" fillId="0" borderId="35" xfId="0" applyNumberFormat="1" applyFont="1" applyBorder="1" applyProtection="1">
      <protection locked="0"/>
    </xf>
    <xf numFmtId="0" fontId="4" fillId="0" borderId="0" xfId="0" quotePrefix="1" applyFont="1"/>
    <xf numFmtId="0" fontId="40" fillId="0" borderId="0" xfId="0" applyFont="1" applyAlignment="1">
      <alignment horizontal="left"/>
    </xf>
    <xf numFmtId="0" fontId="9" fillId="0" borderId="0" xfId="0" applyFont="1" applyAlignment="1">
      <alignment horizontal="left"/>
    </xf>
    <xf numFmtId="0" fontId="31" fillId="0" borderId="0" xfId="0" applyFont="1"/>
    <xf numFmtId="0" fontId="30" fillId="0" borderId="0" xfId="0" applyFont="1" applyAlignment="1">
      <alignment horizontal="centerContinuous"/>
    </xf>
    <xf numFmtId="0" fontId="4" fillId="0" borderId="0" xfId="0" applyFont="1" applyAlignment="1">
      <alignment horizontal="centerContinuous"/>
    </xf>
    <xf numFmtId="0" fontId="4" fillId="0" borderId="0" xfId="0" applyFont="1" applyAlignment="1">
      <alignment horizontal="left"/>
    </xf>
    <xf numFmtId="0" fontId="4" fillId="0" borderId="172" xfId="0" applyFont="1" applyBorder="1"/>
    <xf numFmtId="0" fontId="9" fillId="0" borderId="172" xfId="0" applyFont="1" applyBorder="1"/>
    <xf numFmtId="0" fontId="9" fillId="0" borderId="136" xfId="0" applyFont="1" applyBorder="1" applyAlignment="1">
      <alignment vertical="top"/>
    </xf>
    <xf numFmtId="0" fontId="9" fillId="0" borderId="29" xfId="0" applyFont="1" applyBorder="1" applyAlignment="1">
      <alignment vertical="top" wrapText="1"/>
    </xf>
    <xf numFmtId="0" fontId="9" fillId="0" borderId="143" xfId="0" applyFont="1" applyBorder="1" applyAlignment="1">
      <alignment vertical="top" wrapText="1"/>
    </xf>
    <xf numFmtId="0" fontId="9" fillId="0" borderId="83" xfId="0" applyFont="1" applyBorder="1"/>
    <xf numFmtId="0" fontId="9" fillId="0" borderId="173" xfId="0" applyFont="1" applyBorder="1"/>
    <xf numFmtId="49" fontId="9" fillId="0" borderId="154" xfId="0" applyNumberFormat="1" applyFont="1" applyBorder="1" applyAlignment="1">
      <alignment horizontal="centerContinuous"/>
    </xf>
    <xf numFmtId="49" fontId="9" fillId="0" borderId="27" xfId="0" applyNumberFormat="1" applyFont="1" applyBorder="1" applyAlignment="1">
      <alignment horizontal="centerContinuous"/>
    </xf>
    <xf numFmtId="49" fontId="9" fillId="0" borderId="110" xfId="0" applyNumberFormat="1" applyFont="1" applyBorder="1" applyAlignment="1">
      <alignment horizontal="centerContinuous"/>
    </xf>
    <xf numFmtId="0" fontId="9" fillId="0" borderId="10" xfId="0" applyFont="1" applyBorder="1"/>
    <xf numFmtId="0" fontId="9" fillId="0" borderId="154" xfId="0" applyFont="1" applyBorder="1"/>
    <xf numFmtId="3" fontId="9" fillId="0" borderId="26" xfId="0" applyNumberFormat="1" applyFont="1" applyBorder="1" applyProtection="1">
      <protection locked="0"/>
    </xf>
    <xf numFmtId="0" fontId="40" fillId="0" borderId="0" xfId="0" applyFont="1"/>
    <xf numFmtId="0" fontId="9" fillId="0" borderId="130" xfId="0" applyFont="1" applyBorder="1"/>
    <xf numFmtId="3" fontId="9" fillId="0" borderId="27" xfId="0" applyNumberFormat="1" applyFont="1" applyBorder="1" applyProtection="1">
      <protection locked="0"/>
    </xf>
    <xf numFmtId="1" fontId="9" fillId="0" borderId="0" xfId="0" applyNumberFormat="1" applyFont="1"/>
    <xf numFmtId="3" fontId="9" fillId="0" borderId="156" xfId="0" applyNumberFormat="1" applyFont="1" applyBorder="1" applyProtection="1">
      <protection locked="0"/>
    </xf>
    <xf numFmtId="3" fontId="9" fillId="0" borderId="33" xfId="0" applyNumberFormat="1" applyFont="1" applyBorder="1" applyProtection="1">
      <protection locked="0"/>
    </xf>
    <xf numFmtId="0" fontId="9" fillId="0" borderId="37" xfId="0" applyFont="1" applyBorder="1"/>
    <xf numFmtId="0" fontId="9" fillId="0" borderId="32" xfId="0" applyFont="1" applyBorder="1"/>
    <xf numFmtId="0" fontId="9" fillId="0" borderId="33" xfId="0" applyFont="1" applyBorder="1"/>
    <xf numFmtId="0" fontId="40" fillId="0" borderId="128" xfId="0" applyFont="1" applyBorder="1"/>
    <xf numFmtId="0" fontId="39" fillId="0" borderId="0" xfId="0" applyFont="1" applyAlignment="1" applyProtection="1">
      <alignment horizontal="right"/>
      <protection hidden="1"/>
    </xf>
    <xf numFmtId="0" fontId="9" fillId="0" borderId="138" xfId="0" applyFont="1" applyBorder="1" applyProtection="1">
      <protection hidden="1"/>
    </xf>
    <xf numFmtId="0" fontId="9" fillId="0" borderId="141" xfId="0" applyFont="1" applyBorder="1" applyProtection="1">
      <protection hidden="1"/>
    </xf>
    <xf numFmtId="0" fontId="9" fillId="0" borderId="175" xfId="0" applyFont="1" applyBorder="1" applyProtection="1">
      <protection hidden="1"/>
    </xf>
    <xf numFmtId="0" fontId="40" fillId="0" borderId="128" xfId="0" applyFont="1" applyBorder="1" applyProtection="1">
      <protection hidden="1"/>
    </xf>
    <xf numFmtId="0" fontId="9" fillId="0" borderId="176" xfId="0" applyFont="1" applyBorder="1" applyProtection="1">
      <protection hidden="1"/>
    </xf>
    <xf numFmtId="0" fontId="40" fillId="0" borderId="0" xfId="0" applyFont="1" applyProtection="1">
      <protection hidden="1"/>
    </xf>
    <xf numFmtId="0" fontId="31" fillId="0" borderId="0" xfId="0" applyFont="1" applyAlignment="1">
      <alignment horizontal="left" vertical="center"/>
    </xf>
    <xf numFmtId="0" fontId="7" fillId="0" borderId="5" xfId="0" applyFont="1" applyBorder="1"/>
    <xf numFmtId="0" fontId="9" fillId="0" borderId="138" xfId="0" applyFont="1" applyBorder="1" applyAlignment="1" applyProtection="1">
      <alignment horizontal="left" vertical="center"/>
      <protection hidden="1"/>
    </xf>
    <xf numFmtId="0" fontId="9" fillId="0" borderId="133" xfId="0" applyFont="1" applyBorder="1" applyAlignment="1" applyProtection="1">
      <alignment horizontal="center" vertical="center"/>
      <protection hidden="1"/>
    </xf>
    <xf numFmtId="166" fontId="30" fillId="0" borderId="151" xfId="0" quotePrefix="1" applyNumberFormat="1" applyFont="1" applyBorder="1" applyAlignment="1">
      <alignment horizontal="center" vertical="center"/>
    </xf>
    <xf numFmtId="166" fontId="30" fillId="0" borderId="148" xfId="0" quotePrefix="1" applyNumberFormat="1" applyFont="1" applyBorder="1" applyAlignment="1">
      <alignment horizontal="center" vertical="center"/>
    </xf>
    <xf numFmtId="166" fontId="30" fillId="0" borderId="110" xfId="0" quotePrefix="1" applyNumberFormat="1" applyFont="1" applyBorder="1" applyAlignment="1">
      <alignment horizontal="center" vertical="center"/>
    </xf>
    <xf numFmtId="0" fontId="4" fillId="0" borderId="128" xfId="0" applyFont="1" applyBorder="1" applyAlignment="1">
      <alignment horizontal="center" vertical="center"/>
    </xf>
    <xf numFmtId="0" fontId="30" fillId="0" borderId="174" xfId="0" quotePrefix="1" applyFont="1" applyBorder="1" applyAlignment="1">
      <alignment horizontal="center" vertical="center"/>
    </xf>
    <xf numFmtId="0" fontId="4" fillId="0" borderId="0" xfId="0" applyFont="1" applyAlignment="1">
      <alignment horizontal="center" vertical="center"/>
    </xf>
    <xf numFmtId="0" fontId="30" fillId="0" borderId="151" xfId="0" quotePrefix="1" applyFont="1" applyBorder="1" applyAlignment="1">
      <alignment horizontal="center" vertical="center"/>
    </xf>
    <xf numFmtId="0" fontId="30" fillId="0" borderId="110" xfId="0" quotePrefix="1" applyFont="1" applyBorder="1" applyAlignment="1">
      <alignment horizontal="center" vertical="center"/>
    </xf>
    <xf numFmtId="0" fontId="30" fillId="0" borderId="148" xfId="0" quotePrefix="1" applyFont="1" applyBorder="1" applyAlignment="1">
      <alignment horizontal="center" vertical="center"/>
    </xf>
    <xf numFmtId="0" fontId="27" fillId="0" borderId="0" xfId="0" applyFont="1" applyAlignment="1">
      <alignment horizontal="center" vertical="center"/>
    </xf>
    <xf numFmtId="0" fontId="9" fillId="0" borderId="176" xfId="0" applyFont="1" applyBorder="1" applyAlignment="1" applyProtection="1">
      <alignment horizontal="left" vertical="center" wrapText="1"/>
      <protection hidden="1"/>
    </xf>
    <xf numFmtId="0" fontId="9" fillId="0" borderId="83" xfId="0" quotePrefix="1" applyFont="1" applyBorder="1" applyAlignment="1" applyProtection="1">
      <alignment horizontal="left"/>
      <protection hidden="1"/>
    </xf>
    <xf numFmtId="0" fontId="9" fillId="0" borderId="32" xfId="0" quotePrefix="1" applyFont="1" applyBorder="1" applyProtection="1">
      <protection hidden="1"/>
    </xf>
    <xf numFmtId="0" fontId="39" fillId="0" borderId="155" xfId="0" applyFont="1" applyBorder="1" applyAlignment="1" applyProtection="1">
      <alignment horizontal="center" vertical="center" wrapText="1"/>
      <protection hidden="1"/>
    </xf>
    <xf numFmtId="0" fontId="40" fillId="0" borderId="147" xfId="0" applyFont="1" applyBorder="1" applyAlignment="1" applyProtection="1">
      <alignment horizontal="center" vertical="center" wrapText="1"/>
      <protection hidden="1"/>
    </xf>
    <xf numFmtId="0" fontId="39" fillId="0" borderId="177" xfId="0" applyFont="1" applyBorder="1" applyAlignment="1" applyProtection="1">
      <alignment horizontal="center" vertical="center" wrapText="1"/>
      <protection hidden="1"/>
    </xf>
    <xf numFmtId="0" fontId="39" fillId="0" borderId="71" xfId="0" applyFont="1" applyBorder="1" applyAlignment="1" applyProtection="1">
      <alignment horizontal="center" vertical="center" wrapText="1"/>
      <protection hidden="1"/>
    </xf>
    <xf numFmtId="0" fontId="9" fillId="0" borderId="149"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45" xfId="0" applyFont="1" applyBorder="1" applyAlignment="1" applyProtection="1">
      <alignment horizontal="center" vertical="center" wrapText="1"/>
      <protection hidden="1"/>
    </xf>
    <xf numFmtId="0" fontId="39" fillId="0" borderId="0" xfId="0" applyFont="1" applyAlignment="1">
      <alignment horizontal="right"/>
    </xf>
    <xf numFmtId="3" fontId="9" fillId="0" borderId="9" xfId="0" applyNumberFormat="1" applyFont="1" applyBorder="1" applyProtection="1">
      <protection locked="0"/>
    </xf>
    <xf numFmtId="0" fontId="9" fillId="0" borderId="0" xfId="0" quotePrefix="1" applyFont="1"/>
    <xf numFmtId="0" fontId="9" fillId="0" borderId="172" xfId="0" applyFont="1" applyBorder="1" applyAlignment="1">
      <alignment horizontal="center"/>
    </xf>
    <xf numFmtId="0" fontId="9" fillId="0" borderId="173" xfId="0" applyFont="1" applyBorder="1" applyAlignment="1">
      <alignment horizontal="center"/>
    </xf>
    <xf numFmtId="3" fontId="9" fillId="0" borderId="37" xfId="0" applyNumberFormat="1" applyFont="1" applyBorder="1" applyProtection="1">
      <protection locked="0"/>
    </xf>
    <xf numFmtId="0" fontId="9" fillId="2" borderId="5" xfId="0" applyFont="1" applyFill="1" applyBorder="1"/>
    <xf numFmtId="0" fontId="9" fillId="2" borderId="10" xfId="0" applyFont="1" applyFill="1" applyBorder="1"/>
    <xf numFmtId="0" fontId="9" fillId="2" borderId="154" xfId="0" applyFont="1" applyFill="1" applyBorder="1"/>
    <xf numFmtId="0" fontId="40" fillId="2" borderId="0" xfId="0" applyFont="1" applyFill="1"/>
    <xf numFmtId="0" fontId="31" fillId="0" borderId="0" xfId="0" applyFont="1" applyProtection="1">
      <protection hidden="1"/>
    </xf>
    <xf numFmtId="0" fontId="9" fillId="2" borderId="142" xfId="0" applyFont="1" applyFill="1" applyBorder="1" applyProtection="1">
      <protection hidden="1"/>
    </xf>
    <xf numFmtId="0" fontId="9" fillId="2" borderId="141" xfId="0" applyFont="1" applyFill="1" applyBorder="1" applyProtection="1">
      <protection hidden="1"/>
    </xf>
    <xf numFmtId="0" fontId="9" fillId="2" borderId="175" xfId="0" applyFont="1" applyFill="1" applyBorder="1" applyProtection="1">
      <protection hidden="1"/>
    </xf>
    <xf numFmtId="0" fontId="40" fillId="2" borderId="0" xfId="0" applyFont="1" applyFill="1" applyProtection="1">
      <protection hidden="1"/>
    </xf>
    <xf numFmtId="0" fontId="9" fillId="2" borderId="5" xfId="0" quotePrefix="1" applyFont="1" applyFill="1" applyBorder="1" applyProtection="1">
      <protection hidden="1"/>
    </xf>
    <xf numFmtId="0" fontId="9" fillId="0" borderId="142" xfId="0" applyFont="1" applyBorder="1" applyAlignment="1" applyProtection="1">
      <alignment horizontal="left" vertical="center"/>
      <protection hidden="1"/>
    </xf>
    <xf numFmtId="0" fontId="9" fillId="2" borderId="32" xfId="0" quotePrefix="1" applyFont="1" applyFill="1" applyBorder="1" applyProtection="1">
      <protection hidden="1"/>
    </xf>
    <xf numFmtId="166" fontId="9" fillId="2" borderId="143" xfId="0" quotePrefix="1" applyNumberFormat="1" applyFont="1" applyFill="1" applyBorder="1" applyAlignment="1">
      <alignment horizontal="center" vertical="center"/>
    </xf>
    <xf numFmtId="166" fontId="9" fillId="2" borderId="148" xfId="0" quotePrefix="1" applyNumberFormat="1" applyFont="1" applyFill="1" applyBorder="1" applyAlignment="1">
      <alignment horizontal="center" vertical="center"/>
    </xf>
    <xf numFmtId="0" fontId="9" fillId="2" borderId="0" xfId="0" applyFont="1" applyFill="1" applyAlignment="1">
      <alignment horizontal="center" vertical="center"/>
    </xf>
    <xf numFmtId="0" fontId="9" fillId="2" borderId="151" xfId="0" quotePrefix="1" applyFont="1" applyFill="1" applyBorder="1" applyAlignment="1">
      <alignment horizontal="center" vertical="center"/>
    </xf>
    <xf numFmtId="0" fontId="9" fillId="2" borderId="110" xfId="0" quotePrefix="1" applyFont="1" applyFill="1" applyBorder="1" applyAlignment="1">
      <alignment horizontal="center" vertical="center"/>
    </xf>
    <xf numFmtId="0" fontId="9" fillId="2" borderId="143" xfId="0" quotePrefix="1" applyFont="1" applyFill="1" applyBorder="1" applyAlignment="1">
      <alignment horizontal="center" vertical="center"/>
    </xf>
    <xf numFmtId="0" fontId="9" fillId="2" borderId="174" xfId="0" quotePrefix="1" applyFont="1" applyFill="1" applyBorder="1" applyAlignment="1">
      <alignment horizontal="center" vertical="center"/>
    </xf>
    <xf numFmtId="0" fontId="9" fillId="0" borderId="176" xfId="0" applyFont="1" applyBorder="1" applyAlignment="1" applyProtection="1">
      <alignment horizontal="left" vertical="center"/>
      <protection hidden="1"/>
    </xf>
    <xf numFmtId="0" fontId="9" fillId="2" borderId="178" xfId="0" quotePrefix="1" applyFont="1" applyFill="1" applyBorder="1" applyProtection="1">
      <protection hidden="1"/>
    </xf>
    <xf numFmtId="0" fontId="39" fillId="4" borderId="129" xfId="0" applyFont="1" applyFill="1" applyBorder="1" applyAlignment="1" applyProtection="1">
      <alignment horizontal="center" vertical="center" wrapText="1"/>
      <protection hidden="1"/>
    </xf>
    <xf numFmtId="49" fontId="9" fillId="0" borderId="26" xfId="0" applyNumberFormat="1" applyFont="1" applyBorder="1" applyAlignment="1">
      <alignment horizontal="center"/>
    </xf>
    <xf numFmtId="49" fontId="9" fillId="4" borderId="156" xfId="0" applyNumberFormat="1" applyFont="1" applyFill="1" applyBorder="1" applyAlignment="1">
      <alignment horizontal="centerContinuous"/>
    </xf>
    <xf numFmtId="0" fontId="39" fillId="4" borderId="130" xfId="0" applyFont="1" applyFill="1" applyBorder="1" applyAlignment="1" applyProtection="1">
      <alignment horizontal="center" vertical="center" wrapText="1"/>
      <protection hidden="1"/>
    </xf>
    <xf numFmtId="0" fontId="9" fillId="0" borderId="34" xfId="0" quotePrefix="1" applyFont="1" applyBorder="1" applyProtection="1">
      <protection hidden="1"/>
    </xf>
    <xf numFmtId="0" fontId="9" fillId="0" borderId="150" xfId="0" quotePrefix="1" applyFont="1" applyBorder="1" applyAlignment="1">
      <alignment horizontal="center" vertical="center"/>
    </xf>
    <xf numFmtId="0" fontId="40" fillId="2" borderId="128" xfId="0" applyFont="1" applyFill="1" applyBorder="1" applyProtection="1">
      <protection hidden="1"/>
    </xf>
    <xf numFmtId="0" fontId="9" fillId="0" borderId="128" xfId="0" quotePrefix="1" applyFont="1" applyBorder="1" applyProtection="1">
      <protection hidden="1"/>
    </xf>
    <xf numFmtId="0" fontId="9" fillId="0" borderId="128" xfId="0" quotePrefix="1" applyFont="1" applyBorder="1" applyAlignment="1">
      <alignment horizontal="center" vertical="center"/>
    </xf>
    <xf numFmtId="0" fontId="9" fillId="2" borderId="130" xfId="0" applyFont="1" applyFill="1" applyBorder="1"/>
    <xf numFmtId="0" fontId="9" fillId="2" borderId="176" xfId="0" applyFont="1" applyFill="1" applyBorder="1" applyProtection="1">
      <protection hidden="1"/>
    </xf>
    <xf numFmtId="0" fontId="9" fillId="2" borderId="83" xfId="0" applyFont="1" applyFill="1" applyBorder="1"/>
    <xf numFmtId="166" fontId="9" fillId="0" borderId="110" xfId="0" quotePrefix="1" applyNumberFormat="1" applyFont="1" applyBorder="1" applyAlignment="1">
      <alignment horizontal="center" vertical="center"/>
    </xf>
    <xf numFmtId="0" fontId="39" fillId="4" borderId="179" xfId="0" applyFont="1" applyFill="1" applyBorder="1" applyAlignment="1" applyProtection="1">
      <alignment horizontal="center" vertical="center" wrapText="1"/>
      <protection hidden="1"/>
    </xf>
    <xf numFmtId="49" fontId="9" fillId="4" borderId="180" xfId="0" applyNumberFormat="1" applyFont="1" applyFill="1" applyBorder="1" applyAlignment="1">
      <alignment horizontal="centerContinuous"/>
    </xf>
    <xf numFmtId="49" fontId="9" fillId="0" borderId="181" xfId="0" applyNumberFormat="1" applyFont="1" applyBorder="1" applyAlignment="1">
      <alignment horizontal="centerContinuous"/>
    </xf>
    <xf numFmtId="3" fontId="9" fillId="0" borderId="58" xfId="0" applyNumberFormat="1" applyFont="1" applyBorder="1" applyProtection="1">
      <protection locked="0"/>
    </xf>
    <xf numFmtId="3" fontId="9" fillId="0" borderId="10" xfId="0" applyNumberFormat="1" applyFont="1" applyBorder="1" applyProtection="1">
      <protection locked="0"/>
    </xf>
    <xf numFmtId="0" fontId="39" fillId="4" borderId="185" xfId="0" applyFont="1" applyFill="1" applyBorder="1" applyAlignment="1" applyProtection="1">
      <alignment horizontal="center" vertical="center" wrapText="1"/>
      <protection hidden="1"/>
    </xf>
    <xf numFmtId="0" fontId="39" fillId="4" borderId="186" xfId="0" applyFont="1" applyFill="1" applyBorder="1" applyAlignment="1" applyProtection="1">
      <alignment horizontal="center" vertical="center" wrapText="1"/>
      <protection hidden="1"/>
    </xf>
    <xf numFmtId="49" fontId="9" fillId="0" borderId="182" xfId="0" applyNumberFormat="1" applyFont="1" applyBorder="1" applyAlignment="1">
      <alignment horizontal="centerContinuous"/>
    </xf>
    <xf numFmtId="3" fontId="9" fillId="0" borderId="11" xfId="0" applyNumberFormat="1" applyFont="1" applyBorder="1" applyProtection="1">
      <protection locked="0"/>
    </xf>
    <xf numFmtId="49" fontId="9" fillId="4" borderId="180" xfId="0" applyNumberFormat="1" applyFont="1" applyFill="1" applyBorder="1" applyAlignment="1">
      <alignment horizontal="center"/>
    </xf>
    <xf numFmtId="3" fontId="40" fillId="4" borderId="45" xfId="0" applyNumberFormat="1" applyFont="1" applyFill="1" applyBorder="1" applyProtection="1">
      <protection locked="0"/>
    </xf>
    <xf numFmtId="3" fontId="40" fillId="4" borderId="177" xfId="0" applyNumberFormat="1" applyFont="1" applyFill="1" applyBorder="1" applyProtection="1">
      <protection locked="0"/>
    </xf>
    <xf numFmtId="3" fontId="40" fillId="4" borderId="182" xfId="0" applyNumberFormat="1" applyFont="1" applyFill="1" applyBorder="1" applyProtection="1">
      <protection locked="0"/>
    </xf>
    <xf numFmtId="0" fontId="9" fillId="0" borderId="31" xfId="0" applyFont="1" applyBorder="1" applyAlignment="1" applyProtection="1">
      <alignment horizontal="center" vertical="center"/>
      <protection hidden="1"/>
    </xf>
    <xf numFmtId="0" fontId="9" fillId="0" borderId="38" xfId="0" applyFont="1" applyBorder="1" applyAlignment="1" applyProtection="1">
      <alignment horizontal="center" vertical="center"/>
      <protection hidden="1"/>
    </xf>
    <xf numFmtId="0" fontId="40" fillId="0" borderId="153" xfId="0" applyFont="1" applyBorder="1" applyAlignment="1" applyProtection="1">
      <alignment horizontal="center" vertical="center" wrapText="1"/>
      <protection hidden="1"/>
    </xf>
    <xf numFmtId="0" fontId="40" fillId="0" borderId="143" xfId="0" applyFont="1" applyBorder="1" applyAlignment="1" applyProtection="1">
      <alignment horizontal="center" vertical="center" wrapText="1"/>
      <protection hidden="1"/>
    </xf>
    <xf numFmtId="0" fontId="9" fillId="4" borderId="129" xfId="0" applyFont="1" applyFill="1" applyBorder="1" applyAlignment="1" applyProtection="1">
      <alignment horizontal="center" vertical="center" wrapText="1"/>
      <protection hidden="1"/>
    </xf>
    <xf numFmtId="0" fontId="9" fillId="0" borderId="145" xfId="0" applyFont="1" applyBorder="1" applyAlignment="1" applyProtection="1">
      <alignment horizontal="center" vertical="center"/>
      <protection hidden="1"/>
    </xf>
    <xf numFmtId="0" fontId="9" fillId="0" borderId="7" xfId="0" applyFont="1" applyBorder="1" applyAlignment="1" applyProtection="1">
      <alignment horizontal="center" vertical="center"/>
      <protection hidden="1"/>
    </xf>
    <xf numFmtId="0" fontId="9" fillId="0" borderId="149" xfId="0" applyFont="1" applyBorder="1" applyAlignment="1" applyProtection="1">
      <alignment horizontal="center" vertical="center"/>
      <protection hidden="1"/>
    </xf>
    <xf numFmtId="0" fontId="9" fillId="4" borderId="185" xfId="0" applyFont="1" applyFill="1" applyBorder="1" applyAlignment="1" applyProtection="1">
      <alignment horizontal="center" vertical="center" wrapText="1"/>
      <protection hidden="1"/>
    </xf>
    <xf numFmtId="0" fontId="9" fillId="4" borderId="191" xfId="0" applyFont="1" applyFill="1" applyBorder="1" applyAlignment="1" applyProtection="1">
      <alignment horizontal="center" vertical="center" wrapText="1"/>
      <protection hidden="1"/>
    </xf>
    <xf numFmtId="0" fontId="9" fillId="4" borderId="177" xfId="0" applyFont="1" applyFill="1" applyBorder="1" applyAlignment="1" applyProtection="1">
      <alignment horizontal="center" vertical="center" wrapText="1"/>
      <protection hidden="1"/>
    </xf>
    <xf numFmtId="0" fontId="9" fillId="0" borderId="129"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5" xfId="0" applyFont="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protection hidden="1"/>
    </xf>
    <xf numFmtId="0" fontId="9" fillId="0" borderId="30" xfId="0" applyFont="1" applyBorder="1" applyAlignment="1" applyProtection="1">
      <alignment horizontal="center" vertical="center"/>
      <protection hidden="1"/>
    </xf>
    <xf numFmtId="0" fontId="9" fillId="0" borderId="29" xfId="0" applyFont="1" applyBorder="1" applyAlignment="1" applyProtection="1">
      <alignment horizontal="center" vertical="center"/>
      <protection hidden="1"/>
    </xf>
    <xf numFmtId="0" fontId="9" fillId="0" borderId="0" xfId="0" applyFont="1" applyAlignment="1">
      <alignment horizontal="center"/>
    </xf>
    <xf numFmtId="0" fontId="9" fillId="0" borderId="148" xfId="0" quotePrefix="1" applyFont="1" applyBorder="1" applyAlignment="1">
      <alignment horizontal="center" vertical="center"/>
    </xf>
    <xf numFmtId="0" fontId="9" fillId="0" borderId="151" xfId="0" quotePrefix="1" applyFont="1" applyBorder="1" applyAlignment="1">
      <alignment horizontal="center" vertical="center"/>
    </xf>
    <xf numFmtId="3" fontId="40" fillId="4" borderId="71" xfId="0" applyNumberFormat="1" applyFont="1" applyFill="1" applyBorder="1" applyProtection="1">
      <protection locked="0"/>
    </xf>
    <xf numFmtId="3" fontId="9" fillId="0" borderId="47" xfId="0" applyNumberFormat="1" applyFont="1" applyBorder="1" applyProtection="1">
      <protection locked="0"/>
    </xf>
    <xf numFmtId="3" fontId="9" fillId="0" borderId="61" xfId="0" applyNumberFormat="1" applyFont="1" applyBorder="1" applyProtection="1">
      <protection locked="0"/>
    </xf>
    <xf numFmtId="3" fontId="9" fillId="0" borderId="178" xfId="0" applyNumberFormat="1" applyFont="1" applyBorder="1" applyProtection="1">
      <protection locked="0"/>
    </xf>
    <xf numFmtId="0" fontId="40" fillId="0" borderId="4" xfId="0" applyFont="1" applyBorder="1"/>
    <xf numFmtId="3" fontId="40" fillId="0" borderId="193" xfId="0" applyNumberFormat="1" applyFont="1" applyBorder="1"/>
    <xf numFmtId="0" fontId="40" fillId="0" borderId="5" xfId="0" applyFont="1" applyBorder="1"/>
    <xf numFmtId="3" fontId="40" fillId="0" borderId="38" xfId="0" applyNumberFormat="1" applyFont="1" applyBorder="1"/>
    <xf numFmtId="3" fontId="40" fillId="0" borderId="29" xfId="0" applyNumberFormat="1" applyFont="1" applyBorder="1"/>
    <xf numFmtId="3" fontId="9" fillId="0" borderId="111" xfId="0" applyNumberFormat="1" applyFont="1" applyBorder="1" applyProtection="1">
      <protection locked="0"/>
    </xf>
    <xf numFmtId="0" fontId="9" fillId="0" borderId="34" xfId="0" applyFont="1" applyBorder="1"/>
    <xf numFmtId="3" fontId="9" fillId="0" borderId="28" xfId="0" applyNumberFormat="1" applyFont="1" applyBorder="1" applyProtection="1">
      <protection locked="0"/>
    </xf>
    <xf numFmtId="0" fontId="9" fillId="0" borderId="195" xfId="0" applyFont="1" applyBorder="1"/>
    <xf numFmtId="3" fontId="9" fillId="0" borderId="196" xfId="0" applyNumberFormat="1" applyFont="1" applyBorder="1" applyProtection="1">
      <protection locked="0"/>
    </xf>
    <xf numFmtId="0" fontId="40" fillId="0" borderId="130" xfId="0" applyFont="1" applyBorder="1"/>
    <xf numFmtId="3" fontId="40" fillId="0" borderId="135" xfId="0" applyNumberFormat="1" applyFont="1" applyBorder="1"/>
    <xf numFmtId="3" fontId="40" fillId="0" borderId="24" xfId="0" applyNumberFormat="1" applyFont="1" applyBorder="1"/>
    <xf numFmtId="0" fontId="9" fillId="0" borderId="4" xfId="0" applyFont="1" applyBorder="1"/>
    <xf numFmtId="3" fontId="40" fillId="0" borderId="136" xfId="0" applyNumberFormat="1" applyFont="1" applyBorder="1"/>
    <xf numFmtId="3" fontId="9" fillId="0" borderId="36" xfId="0" applyNumberFormat="1" applyFont="1" applyBorder="1" applyProtection="1">
      <protection locked="0"/>
    </xf>
    <xf numFmtId="0" fontId="9" fillId="0" borderId="194" xfId="0" quotePrefix="1" applyFont="1" applyBorder="1" applyAlignment="1">
      <alignment horizontal="center" vertical="center"/>
    </xf>
    <xf numFmtId="0" fontId="9" fillId="0" borderId="143" xfId="0" quotePrefix="1" applyFont="1" applyBorder="1" applyAlignment="1">
      <alignment horizontal="center" vertical="center"/>
    </xf>
    <xf numFmtId="0" fontId="9" fillId="0" borderId="192" xfId="0" quotePrefix="1" applyFont="1" applyBorder="1" applyAlignment="1">
      <alignment horizontal="center" vertical="center"/>
    </xf>
    <xf numFmtId="0" fontId="9" fillId="0" borderId="174" xfId="0" quotePrefix="1" applyFont="1" applyBorder="1" applyAlignment="1">
      <alignment horizontal="center" vertical="center"/>
    </xf>
    <xf numFmtId="0" fontId="9" fillId="0" borderId="153" xfId="0" quotePrefix="1" applyFont="1" applyBorder="1" applyAlignment="1">
      <alignment horizontal="center" vertical="center"/>
    </xf>
    <xf numFmtId="0" fontId="9" fillId="0" borderId="110" xfId="0" quotePrefix="1" applyFont="1" applyBorder="1" applyAlignment="1">
      <alignment horizontal="center" vertical="center"/>
    </xf>
    <xf numFmtId="0" fontId="9" fillId="9" borderId="0" xfId="0" applyFont="1" applyFill="1" applyAlignment="1">
      <alignment horizontal="left"/>
    </xf>
    <xf numFmtId="3" fontId="40" fillId="0" borderId="42" xfId="0" applyNumberFormat="1" applyFont="1" applyBorder="1"/>
    <xf numFmtId="3" fontId="40" fillId="0" borderId="149" xfId="0" applyNumberFormat="1" applyFont="1" applyBorder="1"/>
    <xf numFmtId="3" fontId="9" fillId="0" borderId="195" xfId="0" applyNumberFormat="1" applyFont="1" applyBorder="1" applyProtection="1">
      <protection locked="0"/>
    </xf>
    <xf numFmtId="3" fontId="9" fillId="0" borderId="199" xfId="0" applyNumberFormat="1" applyFont="1" applyBorder="1" applyProtection="1">
      <protection locked="0"/>
    </xf>
    <xf numFmtId="3" fontId="9" fillId="0" borderId="152" xfId="0" applyNumberFormat="1" applyFont="1" applyBorder="1" applyProtection="1">
      <protection locked="0"/>
    </xf>
    <xf numFmtId="3" fontId="40" fillId="0" borderId="25" xfId="0" applyNumberFormat="1" applyFont="1" applyBorder="1"/>
    <xf numFmtId="3" fontId="9" fillId="0" borderId="146" xfId="0" applyNumberFormat="1" applyFont="1" applyBorder="1" applyProtection="1">
      <protection locked="0"/>
    </xf>
    <xf numFmtId="3" fontId="40" fillId="4" borderId="200" xfId="0" applyNumberFormat="1" applyFont="1" applyFill="1" applyBorder="1"/>
    <xf numFmtId="3" fontId="40" fillId="0" borderId="201" xfId="0" applyNumberFormat="1" applyFont="1" applyBorder="1"/>
    <xf numFmtId="3" fontId="40" fillId="4" borderId="177" xfId="0" applyNumberFormat="1" applyFont="1" applyFill="1" applyBorder="1"/>
    <xf numFmtId="3" fontId="40" fillId="0" borderId="65" xfId="0" applyNumberFormat="1" applyFont="1" applyBorder="1"/>
    <xf numFmtId="3" fontId="9" fillId="0" borderId="62" xfId="0" applyNumberFormat="1" applyFont="1" applyBorder="1" applyProtection="1">
      <protection locked="0"/>
    </xf>
    <xf numFmtId="3" fontId="9" fillId="0" borderId="53" xfId="0" applyNumberFormat="1" applyFont="1" applyBorder="1" applyProtection="1">
      <protection locked="0"/>
    </xf>
    <xf numFmtId="3" fontId="9" fillId="0" borderId="184" xfId="0" applyNumberFormat="1" applyFont="1" applyBorder="1" applyProtection="1">
      <protection locked="0"/>
    </xf>
    <xf numFmtId="3" fontId="40" fillId="4" borderId="187" xfId="0" applyNumberFormat="1" applyFont="1" applyFill="1" applyBorder="1"/>
    <xf numFmtId="3" fontId="40" fillId="0" borderId="183" xfId="0" applyNumberFormat="1" applyFont="1" applyBorder="1"/>
    <xf numFmtId="3" fontId="9" fillId="0" borderId="59" xfId="0" applyNumberFormat="1" applyFont="1" applyBorder="1" applyProtection="1">
      <protection locked="0"/>
    </xf>
    <xf numFmtId="3" fontId="9" fillId="0" borderId="181" xfId="0" applyNumberFormat="1" applyFont="1" applyBorder="1" applyProtection="1">
      <protection locked="0"/>
    </xf>
    <xf numFmtId="0" fontId="39" fillId="0" borderId="0" xfId="0" applyFont="1" applyAlignment="1" applyProtection="1">
      <alignment horizontal="center"/>
      <protection hidden="1"/>
    </xf>
    <xf numFmtId="3" fontId="40" fillId="4" borderId="46" xfId="0" applyNumberFormat="1" applyFont="1" applyFill="1" applyBorder="1" applyProtection="1">
      <protection locked="0"/>
    </xf>
    <xf numFmtId="3" fontId="40" fillId="4" borderId="189" xfId="0" applyNumberFormat="1" applyFont="1" applyFill="1" applyBorder="1" applyProtection="1">
      <protection locked="0"/>
    </xf>
    <xf numFmtId="0" fontId="9" fillId="9" borderId="0" xfId="0" applyFont="1" applyFill="1"/>
    <xf numFmtId="0" fontId="35" fillId="0" borderId="129" xfId="0" applyFont="1" applyBorder="1" applyAlignment="1">
      <alignment horizontal="centerContinuous"/>
    </xf>
    <xf numFmtId="0" fontId="0" fillId="0" borderId="0" xfId="0" applyAlignment="1">
      <alignment horizontal="centerContinuous"/>
    </xf>
    <xf numFmtId="0" fontId="7" fillId="0" borderId="0" xfId="0" applyFont="1" applyAlignment="1">
      <alignment horizontal="centerContinuous"/>
    </xf>
    <xf numFmtId="0" fontId="53" fillId="0" borderId="25" xfId="0" applyFont="1" applyBorder="1" applyAlignment="1" applyProtection="1">
      <alignment horizontal="centerContinuous" vertical="center"/>
      <protection hidden="1"/>
    </xf>
    <xf numFmtId="0" fontId="53" fillId="0" borderId="130" xfId="0" applyFont="1" applyBorder="1" applyAlignment="1" applyProtection="1">
      <alignment horizontal="centerContinuous" vertical="center"/>
      <protection hidden="1"/>
    </xf>
    <xf numFmtId="0" fontId="53" fillId="0" borderId="35" xfId="0" applyFont="1" applyBorder="1" applyAlignment="1" applyProtection="1">
      <alignment horizontal="center" vertical="center" wrapText="1"/>
      <protection hidden="1"/>
    </xf>
    <xf numFmtId="0" fontId="53" fillId="0" borderId="35" xfId="0" quotePrefix="1" applyFont="1" applyBorder="1" applyAlignment="1" applyProtection="1">
      <alignment horizontal="center" vertical="center" wrapText="1"/>
      <protection hidden="1"/>
    </xf>
    <xf numFmtId="0" fontId="53" fillId="0" borderId="130" xfId="0" applyFont="1" applyBorder="1" applyAlignment="1">
      <alignment horizontal="centerContinuous" vertical="center"/>
    </xf>
    <xf numFmtId="0" fontId="53" fillId="0" borderId="32" xfId="0" applyFont="1" applyBorder="1" applyAlignment="1">
      <alignment horizontal="centerContinuous" vertical="center"/>
    </xf>
    <xf numFmtId="0" fontId="7" fillId="0" borderId="202" xfId="0" applyFont="1" applyBorder="1" applyAlignment="1">
      <alignment horizontal="centerContinuous" vertical="center"/>
    </xf>
    <xf numFmtId="0" fontId="35" fillId="0" borderId="142" xfId="0" applyFont="1" applyBorder="1" applyAlignment="1">
      <alignment horizontal="centerContinuous" vertical="center"/>
    </xf>
    <xf numFmtId="0" fontId="35" fillId="0" borderId="5" xfId="0" quotePrefix="1" applyFont="1" applyBorder="1" applyAlignment="1">
      <alignment horizontal="centerContinuous" vertical="center" wrapText="1"/>
    </xf>
    <xf numFmtId="0" fontId="7" fillId="0" borderId="0" xfId="0" applyFont="1" applyAlignment="1" applyProtection="1">
      <alignment horizontal="centerContinuous" vertical="center"/>
      <protection hidden="1"/>
    </xf>
    <xf numFmtId="0" fontId="31" fillId="0" borderId="10" xfId="0" applyFont="1" applyBorder="1"/>
    <xf numFmtId="0" fontId="31" fillId="0" borderId="122" xfId="0" applyFont="1" applyBorder="1"/>
    <xf numFmtId="0" fontId="31" fillId="0" borderId="0" xfId="0" applyFont="1" applyAlignment="1">
      <alignment horizontal="left"/>
    </xf>
    <xf numFmtId="0" fontId="52" fillId="0" borderId="0" xfId="0" applyFont="1"/>
    <xf numFmtId="0" fontId="23" fillId="2" borderId="0" xfId="0" applyFont="1" applyFill="1" applyAlignment="1" applyProtection="1">
      <alignment horizontal="left"/>
      <protection hidden="1"/>
    </xf>
    <xf numFmtId="0" fontId="9" fillId="0" borderId="129" xfId="0" applyFont="1" applyBorder="1" applyAlignment="1">
      <alignment horizontal="center"/>
    </xf>
    <xf numFmtId="0" fontId="23" fillId="0" borderId="0" xfId="0" applyFont="1"/>
    <xf numFmtId="0" fontId="9" fillId="0" borderId="26" xfId="0" quotePrefix="1" applyFont="1" applyBorder="1" applyAlignment="1">
      <alignment horizontal="center"/>
    </xf>
    <xf numFmtId="0" fontId="9" fillId="0" borderId="35" xfId="0" quotePrefix="1" applyFont="1" applyBorder="1" applyAlignment="1">
      <alignment horizontal="center" vertical="center"/>
    </xf>
    <xf numFmtId="0" fontId="9" fillId="0" borderId="26" xfId="0" quotePrefix="1" applyFont="1" applyBorder="1" applyAlignment="1">
      <alignment horizontal="center" vertical="center"/>
    </xf>
    <xf numFmtId="0" fontId="9" fillId="0" borderId="29" xfId="0" quotePrefix="1" applyFont="1" applyBorder="1" applyAlignment="1">
      <alignment horizontal="center" vertical="center"/>
    </xf>
    <xf numFmtId="0" fontId="27" fillId="0" borderId="0" xfId="0" applyFont="1" applyAlignment="1">
      <alignment horizontal="center"/>
    </xf>
    <xf numFmtId="0" fontId="9" fillId="2" borderId="26" xfId="0" quotePrefix="1" applyFont="1" applyFill="1" applyBorder="1" applyAlignment="1">
      <alignment horizontal="center" vertical="center"/>
    </xf>
    <xf numFmtId="0" fontId="9" fillId="0" borderId="26" xfId="0" applyFont="1" applyBorder="1" applyAlignment="1">
      <alignment horizontal="center" vertical="center"/>
    </xf>
    <xf numFmtId="14" fontId="0" fillId="0" borderId="0" xfId="0" applyNumberFormat="1"/>
    <xf numFmtId="0" fontId="9" fillId="0" borderId="128" xfId="0" applyFont="1" applyBorder="1" applyAlignment="1" applyProtection="1">
      <alignment horizontal="center"/>
      <protection locked="0"/>
    </xf>
    <xf numFmtId="0" fontId="9" fillId="0" borderId="206" xfId="0" applyFont="1" applyBorder="1" applyAlignment="1" applyProtection="1">
      <alignment horizontal="center"/>
      <protection locked="0"/>
    </xf>
    <xf numFmtId="0" fontId="9" fillId="0" borderId="118" xfId="0" applyFont="1" applyBorder="1" applyAlignment="1" applyProtection="1">
      <alignment horizontal="center"/>
      <protection hidden="1"/>
    </xf>
    <xf numFmtId="0" fontId="9" fillId="0" borderId="154" xfId="0" applyFont="1" applyBorder="1" applyProtection="1">
      <protection hidden="1"/>
    </xf>
    <xf numFmtId="0" fontId="9" fillId="0" borderId="5" xfId="0" applyFont="1" applyBorder="1" applyAlignment="1">
      <alignment horizontal="center"/>
    </xf>
    <xf numFmtId="0" fontId="9" fillId="0" borderId="128" xfId="0" applyFont="1" applyBorder="1" applyAlignment="1">
      <alignment horizontal="center"/>
    </xf>
    <xf numFmtId="0" fontId="9" fillId="0" borderId="26" xfId="0" applyFont="1" applyBorder="1" applyAlignment="1">
      <alignment horizontal="center"/>
    </xf>
    <xf numFmtId="0" fontId="9" fillId="0" borderId="0" xfId="0" applyFont="1" applyAlignment="1">
      <alignment vertical="center"/>
    </xf>
    <xf numFmtId="0" fontId="7" fillId="0" borderId="129" xfId="0" applyFont="1" applyBorder="1" applyAlignment="1">
      <alignment horizontal="centerContinuous"/>
    </xf>
    <xf numFmtId="0" fontId="35" fillId="0" borderId="5" xfId="0" applyFont="1" applyBorder="1" applyAlignment="1">
      <alignment horizontal="centerContinuous" vertical="center"/>
    </xf>
    <xf numFmtId="0" fontId="40" fillId="0" borderId="154" xfId="0" applyFont="1" applyBorder="1" applyAlignment="1">
      <alignment horizontal="left"/>
    </xf>
    <xf numFmtId="0" fontId="9" fillId="0" borderId="26" xfId="0" applyFont="1" applyBorder="1"/>
    <xf numFmtId="0" fontId="9" fillId="0" borderId="110" xfId="0" quotePrefix="1" applyFont="1" applyBorder="1" applyAlignment="1">
      <alignment horizontal="center"/>
    </xf>
    <xf numFmtId="0" fontId="9" fillId="0" borderId="128" xfId="0" applyFont="1" applyBorder="1" applyAlignment="1">
      <alignment vertical="center"/>
    </xf>
    <xf numFmtId="0" fontId="40" fillId="0" borderId="133" xfId="0" applyFont="1" applyBorder="1" applyAlignment="1">
      <alignment horizontal="center"/>
    </xf>
    <xf numFmtId="0" fontId="9" fillId="0" borderId="137" xfId="0" applyFont="1" applyBorder="1" applyAlignment="1">
      <alignment horizontal="center" shrinkToFit="1"/>
    </xf>
    <xf numFmtId="0" fontId="7" fillId="0" borderId="0" xfId="0" applyFont="1" applyAlignment="1">
      <alignment horizontal="centerContinuous" vertical="center"/>
    </xf>
    <xf numFmtId="0" fontId="0" fillId="0" borderId="0" xfId="0" applyAlignment="1">
      <alignment horizontal="centerContinuous" vertical="center"/>
    </xf>
    <xf numFmtId="0" fontId="0" fillId="0" borderId="203" xfId="0" applyBorder="1"/>
    <xf numFmtId="0" fontId="9" fillId="0" borderId="0" xfId="0" applyFont="1" applyAlignment="1">
      <alignment horizontal="center" shrinkToFit="1"/>
    </xf>
    <xf numFmtId="0" fontId="9" fillId="0" borderId="2" xfId="0" applyFont="1" applyBorder="1" applyAlignment="1" applyProtection="1">
      <alignment horizontal="left" vertical="center" indent="1"/>
      <protection hidden="1"/>
    </xf>
    <xf numFmtId="0" fontId="9" fillId="0" borderId="24" xfId="0" applyFont="1" applyBorder="1" applyAlignment="1">
      <alignment horizontal="center" vertical="center"/>
    </xf>
    <xf numFmtId="0" fontId="9" fillId="0" borderId="24" xfId="0" applyFont="1" applyBorder="1" applyAlignment="1">
      <alignment vertical="center"/>
    </xf>
    <xf numFmtId="0" fontId="9" fillId="0" borderId="26" xfId="0" applyFont="1" applyBorder="1" applyAlignment="1">
      <alignment vertical="center"/>
    </xf>
    <xf numFmtId="0" fontId="9" fillId="0" borderId="5" xfId="0" applyFont="1" applyBorder="1" applyAlignment="1" applyProtection="1">
      <alignment vertical="center"/>
      <protection hidden="1"/>
    </xf>
    <xf numFmtId="0" fontId="9" fillId="0" borderId="29" xfId="0" quotePrefix="1" applyFont="1" applyBorder="1" applyAlignment="1">
      <alignment horizontal="left" vertical="center"/>
    </xf>
    <xf numFmtId="0" fontId="9" fillId="0" borderId="35" xfId="0" applyFont="1" applyBorder="1" applyAlignment="1" applyProtection="1">
      <alignment vertical="center"/>
      <protection hidden="1"/>
    </xf>
    <xf numFmtId="0" fontId="9" fillId="0" borderId="35" xfId="0" quotePrefix="1" applyFont="1" applyBorder="1" applyAlignment="1" applyProtection="1">
      <alignment vertical="center"/>
      <protection hidden="1"/>
    </xf>
    <xf numFmtId="0" fontId="9" fillId="0" borderId="10" xfId="0" applyFont="1" applyBorder="1" applyAlignment="1" applyProtection="1">
      <alignment vertical="center"/>
      <protection hidden="1"/>
    </xf>
    <xf numFmtId="0" fontId="9" fillId="0" borderId="35" xfId="0" applyFont="1" applyBorder="1" applyAlignment="1">
      <alignment vertical="center"/>
    </xf>
    <xf numFmtId="0" fontId="9" fillId="0" borderId="27" xfId="0" applyFont="1" applyBorder="1" applyAlignment="1" applyProtection="1">
      <alignment horizontal="left" vertical="center" wrapText="1"/>
      <protection hidden="1"/>
    </xf>
    <xf numFmtId="0" fontId="9" fillId="0" borderId="24" xfId="0" applyFont="1" applyBorder="1" applyAlignment="1" applyProtection="1">
      <alignment vertical="center"/>
      <protection hidden="1"/>
    </xf>
    <xf numFmtId="0" fontId="53" fillId="0" borderId="148" xfId="0" applyFont="1" applyBorder="1" applyAlignment="1" applyProtection="1">
      <alignment horizontal="center" vertical="center"/>
      <protection hidden="1"/>
    </xf>
    <xf numFmtId="0" fontId="9" fillId="2" borderId="29" xfId="0" quotePrefix="1" applyFont="1" applyFill="1" applyBorder="1" applyAlignment="1">
      <alignment horizontal="center" vertical="center"/>
    </xf>
    <xf numFmtId="0" fontId="9" fillId="2" borderId="29" xfId="0" quotePrefix="1" applyFont="1" applyFill="1" applyBorder="1" applyAlignment="1">
      <alignment horizontal="left" vertical="center"/>
    </xf>
    <xf numFmtId="0" fontId="9" fillId="2" borderId="35" xfId="0" applyFont="1" applyFill="1" applyBorder="1" applyAlignment="1">
      <alignment vertical="center"/>
    </xf>
    <xf numFmtId="0" fontId="9" fillId="2" borderId="26" xfId="0" applyFont="1" applyFill="1" applyBorder="1" applyAlignment="1">
      <alignment vertical="center"/>
    </xf>
    <xf numFmtId="0" fontId="9" fillId="2" borderId="0" xfId="0" applyFont="1" applyFill="1" applyAlignment="1">
      <alignment horizontal="center" shrinkToFit="1"/>
    </xf>
    <xf numFmtId="0" fontId="9" fillId="0" borderId="27" xfId="0" applyFont="1" applyBorder="1" applyAlignment="1" applyProtection="1">
      <alignment horizontal="left" wrapText="1"/>
      <protection hidden="1"/>
    </xf>
    <xf numFmtId="0" fontId="9" fillId="0" borderId="130" xfId="0" applyFont="1" applyBorder="1" applyProtection="1">
      <protection hidden="1"/>
    </xf>
    <xf numFmtId="0" fontId="9" fillId="0" borderId="24" xfId="0" applyFont="1" applyBorder="1"/>
    <xf numFmtId="0" fontId="9" fillId="0" borderId="24" xfId="0" applyFont="1" applyBorder="1" applyAlignment="1">
      <alignment horizontal="center"/>
    </xf>
    <xf numFmtId="0" fontId="9" fillId="0" borderId="10" xfId="0" applyFont="1" applyBorder="1" applyAlignment="1" applyProtection="1">
      <alignment horizontal="left" vertical="center"/>
      <protection hidden="1"/>
    </xf>
    <xf numFmtId="0" fontId="9" fillId="0" borderId="29" xfId="0" quotePrefix="1" applyFont="1" applyBorder="1" applyAlignment="1" applyProtection="1">
      <alignment horizontal="left" vertical="center"/>
      <protection hidden="1"/>
    </xf>
    <xf numFmtId="0" fontId="9" fillId="0" borderId="83" xfId="0" applyFont="1" applyBorder="1" applyAlignment="1" applyProtection="1">
      <alignment vertical="center"/>
      <protection hidden="1"/>
    </xf>
    <xf numFmtId="0" fontId="9" fillId="0" borderId="83" xfId="0" applyFont="1" applyBorder="1" applyAlignment="1">
      <alignment vertical="center"/>
    </xf>
    <xf numFmtId="0" fontId="9" fillId="0" borderId="130" xfId="0" applyFont="1" applyBorder="1" applyAlignment="1" applyProtection="1">
      <alignment horizontal="left" vertical="center"/>
      <protection hidden="1"/>
    </xf>
    <xf numFmtId="0" fontId="9" fillId="0" borderId="137" xfId="0" applyFont="1" applyBorder="1" applyAlignment="1" applyProtection="1">
      <alignment horizontal="center" shrinkToFit="1"/>
      <protection hidden="1"/>
    </xf>
    <xf numFmtId="0" fontId="9" fillId="0" borderId="34" xfId="0" quotePrefix="1" applyFont="1" applyBorder="1" applyAlignment="1">
      <alignment horizontal="left"/>
    </xf>
    <xf numFmtId="0" fontId="54" fillId="0" borderId="128" xfId="0" quotePrefix="1" applyFont="1" applyBorder="1" applyAlignment="1">
      <alignment horizontal="left"/>
    </xf>
    <xf numFmtId="0" fontId="54" fillId="0" borderId="0" xfId="0" quotePrefix="1" applyFont="1" applyAlignment="1">
      <alignment horizontal="left"/>
    </xf>
    <xf numFmtId="0" fontId="9" fillId="0" borderId="0" xfId="0" quotePrefix="1" applyFont="1" applyAlignment="1">
      <alignment horizontal="left"/>
    </xf>
    <xf numFmtId="0" fontId="9" fillId="0" borderId="130" xfId="0" applyFont="1" applyBorder="1" applyAlignment="1" applyProtection="1">
      <alignment vertical="center"/>
      <protection hidden="1"/>
    </xf>
    <xf numFmtId="0" fontId="9" fillId="0" borderId="29" xfId="0" quotePrefix="1" applyFont="1" applyBorder="1" applyAlignment="1" applyProtection="1">
      <alignment vertical="center"/>
      <protection hidden="1"/>
    </xf>
    <xf numFmtId="0" fontId="9" fillId="0" borderId="24" xfId="0" applyFont="1" applyBorder="1" applyAlignment="1" applyProtection="1">
      <alignment horizontal="left" vertical="center"/>
      <protection hidden="1"/>
    </xf>
    <xf numFmtId="0" fontId="9" fillId="0" borderId="26" xfId="0" applyFont="1" applyBorder="1" applyAlignment="1" applyProtection="1">
      <alignment horizontal="left" vertical="center"/>
      <protection hidden="1"/>
    </xf>
    <xf numFmtId="0" fontId="9" fillId="0" borderId="154" xfId="0" applyFont="1" applyBorder="1" applyAlignment="1" applyProtection="1">
      <alignment vertical="center"/>
      <protection hidden="1"/>
    </xf>
    <xf numFmtId="0" fontId="9" fillId="2" borderId="10" xfId="0" applyFont="1" applyFill="1" applyBorder="1" applyAlignment="1" applyProtection="1">
      <alignment vertical="center"/>
      <protection hidden="1"/>
    </xf>
    <xf numFmtId="0" fontId="9" fillId="2" borderId="27" xfId="0" applyFont="1" applyFill="1" applyBorder="1" applyAlignment="1" applyProtection="1">
      <alignment vertical="center"/>
      <protection hidden="1"/>
    </xf>
    <xf numFmtId="0" fontId="9" fillId="2" borderId="10" xfId="0" applyFont="1" applyFill="1" applyBorder="1" applyAlignment="1" applyProtection="1">
      <alignment horizontal="left" vertical="center"/>
      <protection hidden="1"/>
    </xf>
    <xf numFmtId="0" fontId="9" fillId="2" borderId="25" xfId="0" applyFont="1" applyFill="1" applyBorder="1" applyAlignment="1" applyProtection="1">
      <alignment vertical="center"/>
      <protection hidden="1"/>
    </xf>
    <xf numFmtId="0" fontId="9" fillId="2" borderId="24" xfId="0" quotePrefix="1" applyFont="1" applyFill="1" applyBorder="1" applyAlignment="1">
      <alignment horizontal="center" vertical="center"/>
    </xf>
    <xf numFmtId="0" fontId="9" fillId="2" borderId="24" xfId="0" applyFont="1" applyFill="1" applyBorder="1" applyAlignment="1">
      <alignment vertical="center"/>
    </xf>
    <xf numFmtId="0" fontId="7" fillId="0" borderId="35" xfId="0" applyFont="1" applyBorder="1" applyProtection="1">
      <protection hidden="1"/>
    </xf>
    <xf numFmtId="0" fontId="18" fillId="0" borderId="0" xfId="0" applyFont="1" applyAlignment="1">
      <alignment vertical="center"/>
    </xf>
    <xf numFmtId="0" fontId="0" fillId="0" borderId="208" xfId="0" applyBorder="1"/>
    <xf numFmtId="0" fontId="64" fillId="0" borderId="0" xfId="0" applyFont="1" applyAlignment="1">
      <alignment vertical="top"/>
    </xf>
    <xf numFmtId="0" fontId="0" fillId="0" borderId="10" xfId="0" applyBorder="1"/>
    <xf numFmtId="0" fontId="0" fillId="0" borderId="21" xfId="0" applyBorder="1"/>
    <xf numFmtId="0" fontId="0" fillId="0" borderId="22" xfId="0" applyBorder="1"/>
    <xf numFmtId="0" fontId="0" fillId="0" borderId="209" xfId="0" applyBorder="1"/>
    <xf numFmtId="0" fontId="63" fillId="13" borderId="230" xfId="0" applyFont="1" applyFill="1" applyBorder="1" applyAlignment="1">
      <alignment vertical="top"/>
    </xf>
    <xf numFmtId="0" fontId="0" fillId="5" borderId="230" xfId="0" applyFill="1" applyBorder="1"/>
    <xf numFmtId="0" fontId="63" fillId="5" borderId="230" xfId="0" applyFont="1" applyFill="1" applyBorder="1" applyAlignment="1">
      <alignment vertical="top"/>
    </xf>
    <xf numFmtId="0" fontId="0" fillId="7" borderId="230" xfId="0" applyFill="1" applyBorder="1"/>
    <xf numFmtId="0" fontId="63" fillId="7" borderId="230" xfId="0" applyFont="1" applyFill="1" applyBorder="1" applyAlignment="1">
      <alignment vertical="top"/>
    </xf>
    <xf numFmtId="0" fontId="63" fillId="6" borderId="230" xfId="0" applyFont="1" applyFill="1" applyBorder="1" applyAlignment="1">
      <alignment vertical="top"/>
    </xf>
    <xf numFmtId="0" fontId="7" fillId="14" borderId="0" xfId="0" applyFont="1" applyFill="1"/>
    <xf numFmtId="0" fontId="0" fillId="14" borderId="0" xfId="0" applyFill="1"/>
    <xf numFmtId="0" fontId="7" fillId="15" borderId="0" xfId="0" applyFont="1" applyFill="1"/>
    <xf numFmtId="0" fontId="0" fillId="15" borderId="0" xfId="0" applyFill="1"/>
    <xf numFmtId="0" fontId="21" fillId="0" borderId="0" xfId="0" applyFont="1" applyAlignment="1">
      <alignment vertical="top"/>
    </xf>
    <xf numFmtId="0" fontId="29" fillId="0" borderId="0" xfId="0" applyFont="1" applyAlignment="1">
      <alignment horizontal="left" vertical="top" wrapText="1"/>
    </xf>
    <xf numFmtId="0" fontId="69" fillId="0" borderId="0" xfId="0" applyFont="1" applyAlignment="1">
      <alignment vertical="top"/>
    </xf>
    <xf numFmtId="0" fontId="76" fillId="0" borderId="0" xfId="0" applyFont="1" applyAlignment="1">
      <alignment horizontal="center"/>
    </xf>
    <xf numFmtId="0" fontId="76" fillId="0" borderId="0" xfId="0" applyFont="1"/>
    <xf numFmtId="0" fontId="7" fillId="0" borderId="0" xfId="0" applyFont="1" applyAlignment="1">
      <alignment horizontal="left" vertical="center"/>
    </xf>
    <xf numFmtId="0" fontId="4" fillId="0" borderId="0" xfId="0" applyFont="1" applyAlignment="1">
      <alignment vertical="top" wrapText="1"/>
    </xf>
    <xf numFmtId="0" fontId="75" fillId="0" borderId="0" xfId="0" applyFont="1"/>
    <xf numFmtId="0" fontId="4" fillId="0" borderId="0" xfId="0" applyFont="1" applyAlignment="1">
      <alignment wrapText="1"/>
    </xf>
    <xf numFmtId="0" fontId="7" fillId="0" borderId="0" xfId="0" applyFont="1" applyAlignment="1">
      <alignment horizontal="right" vertical="top"/>
    </xf>
    <xf numFmtId="0" fontId="68" fillId="0" borderId="5" xfId="0" applyFont="1" applyBorder="1"/>
    <xf numFmtId="0" fontId="18" fillId="0" borderId="0" xfId="0" applyFont="1" applyAlignment="1">
      <alignment vertical="top" wrapText="1"/>
    </xf>
    <xf numFmtId="0" fontId="63" fillId="17" borderId="230" xfId="0" applyFont="1" applyFill="1" applyBorder="1" applyAlignment="1">
      <alignment vertical="top"/>
    </xf>
    <xf numFmtId="0" fontId="26" fillId="17" borderId="20" xfId="1" applyNumberFormat="1" applyFont="1" applyFill="1" applyBorder="1" applyAlignment="1" applyProtection="1">
      <alignment vertical="center" wrapText="1"/>
    </xf>
    <xf numFmtId="0" fontId="0" fillId="6" borderId="0" xfId="0" applyFill="1"/>
    <xf numFmtId="0" fontId="26" fillId="16" borderId="232" xfId="1" applyNumberFormat="1" applyFont="1" applyFill="1" applyBorder="1" applyAlignment="1" applyProtection="1">
      <alignment horizontal="center" vertical="center" wrapText="1"/>
    </xf>
    <xf numFmtId="0" fontId="63" fillId="16" borderId="230" xfId="0" applyFont="1" applyFill="1" applyBorder="1" applyAlignment="1">
      <alignment vertical="top"/>
    </xf>
    <xf numFmtId="0" fontId="7" fillId="18" borderId="0" xfId="0" applyFont="1" applyFill="1"/>
    <xf numFmtId="0" fontId="0" fillId="18" borderId="0" xfId="0" applyFill="1"/>
    <xf numFmtId="0" fontId="78" fillId="24" borderId="12" xfId="1" applyNumberFormat="1" applyFont="1" applyFill="1" applyBorder="1" applyAlignment="1" applyProtection="1"/>
    <xf numFmtId="0" fontId="9" fillId="24" borderId="10" xfId="0" applyFont="1" applyFill="1" applyBorder="1"/>
    <xf numFmtId="0" fontId="9" fillId="0" borderId="0" xfId="0" applyFont="1" applyAlignment="1">
      <alignment horizontal="right"/>
    </xf>
    <xf numFmtId="0" fontId="4" fillId="0" borderId="0" xfId="0" applyFont="1" applyAlignment="1">
      <alignment horizontal="right"/>
    </xf>
    <xf numFmtId="0" fontId="77" fillId="0" borderId="3" xfId="1" applyNumberFormat="1" applyFont="1" applyFill="1" applyBorder="1" applyAlignment="1" applyProtection="1">
      <alignment horizontal="left" indent="1"/>
    </xf>
    <xf numFmtId="0" fontId="9" fillId="2" borderId="3" xfId="0" applyFont="1" applyFill="1" applyBorder="1" applyAlignment="1">
      <alignment horizontal="left" indent="1"/>
    </xf>
    <xf numFmtId="0" fontId="9" fillId="2" borderId="13" xfId="0" applyFont="1" applyFill="1" applyBorder="1" applyAlignment="1">
      <alignment horizontal="left" indent="1"/>
    </xf>
    <xf numFmtId="0" fontId="39" fillId="0" borderId="0" xfId="0" applyFont="1"/>
    <xf numFmtId="0" fontId="40" fillId="0" borderId="0" xfId="0" applyFont="1" applyAlignment="1">
      <alignment horizontal="right"/>
    </xf>
    <xf numFmtId="0" fontId="40" fillId="0" borderId="0" xfId="0" applyFont="1" applyAlignment="1">
      <alignment horizontal="right" indent="1"/>
    </xf>
    <xf numFmtId="0" fontId="80" fillId="0" borderId="0" xfId="1" applyFont="1" applyAlignment="1" applyProtection="1"/>
    <xf numFmtId="0" fontId="9" fillId="0" borderId="0" xfId="0" applyFont="1" applyAlignment="1">
      <alignment horizontal="left" indent="1"/>
    </xf>
    <xf numFmtId="0" fontId="40" fillId="0" borderId="5" xfId="0" applyFont="1" applyBorder="1" applyAlignment="1">
      <alignment horizontal="right"/>
    </xf>
    <xf numFmtId="0" fontId="9" fillId="0" borderId="5" xfId="0" applyFont="1" applyBorder="1" applyAlignment="1">
      <alignment horizontal="left" indent="1"/>
    </xf>
    <xf numFmtId="0" fontId="100" fillId="0" borderId="0" xfId="0" applyFont="1"/>
    <xf numFmtId="3" fontId="102" fillId="0" borderId="0" xfId="0" applyNumberFormat="1" applyFont="1"/>
    <xf numFmtId="9" fontId="99" fillId="0" borderId="0" xfId="2" applyFont="1" applyFill="1" applyBorder="1" applyAlignment="1">
      <alignment horizontal="center"/>
    </xf>
    <xf numFmtId="0" fontId="81" fillId="12" borderId="10" xfId="0" applyFont="1" applyFill="1" applyBorder="1" applyAlignment="1">
      <alignment horizontal="left" vertical="center"/>
    </xf>
    <xf numFmtId="0" fontId="4" fillId="0" borderId="0" xfId="0" applyFont="1" applyAlignment="1">
      <alignment vertical="center"/>
    </xf>
    <xf numFmtId="0" fontId="7" fillId="0" borderId="0" xfId="0" applyFont="1" applyAlignment="1">
      <alignment horizontal="right" vertical="center"/>
    </xf>
    <xf numFmtId="0" fontId="100" fillId="0" borderId="34" xfId="0" applyFont="1" applyBorder="1"/>
    <xf numFmtId="3" fontId="102" fillId="0" borderId="34" xfId="0" applyNumberFormat="1" applyFont="1" applyBorder="1"/>
    <xf numFmtId="0" fontId="40" fillId="0" borderId="36" xfId="0" applyFont="1" applyBorder="1" applyAlignment="1">
      <alignment horizontal="right" vertical="center"/>
    </xf>
    <xf numFmtId="0" fontId="9" fillId="0" borderId="0" xfId="0" applyFont="1" applyAlignment="1">
      <alignment vertical="top"/>
    </xf>
    <xf numFmtId="0" fontId="40" fillId="0" borderId="0" xfId="0" applyFont="1" applyAlignment="1">
      <alignment horizontal="right" vertical="top"/>
    </xf>
    <xf numFmtId="0" fontId="99" fillId="0" borderId="0" xfId="0" applyFont="1" applyAlignment="1">
      <alignment vertical="top"/>
    </xf>
    <xf numFmtId="1" fontId="100" fillId="0" borderId="0" xfId="2" applyNumberFormat="1" applyFont="1"/>
    <xf numFmtId="0" fontId="103" fillId="0" borderId="0" xfId="0" applyFont="1" applyAlignment="1">
      <alignment horizontal="right" vertical="center"/>
    </xf>
    <xf numFmtId="0" fontId="102" fillId="0" borderId="0" xfId="0" applyFont="1"/>
    <xf numFmtId="170" fontId="100" fillId="0" borderId="0" xfId="0" applyNumberFormat="1" applyFont="1"/>
    <xf numFmtId="1" fontId="100" fillId="0" borderId="0" xfId="0" applyNumberFormat="1" applyFont="1"/>
    <xf numFmtId="0" fontId="9" fillId="0" borderId="0" xfId="0" applyFont="1" applyAlignment="1">
      <alignment horizontal="center" vertical="center" wrapText="1"/>
    </xf>
    <xf numFmtId="9" fontId="104" fillId="0" borderId="0" xfId="2" applyFont="1" applyFill="1" applyBorder="1" applyAlignment="1">
      <alignment horizontal="center" vertical="center"/>
    </xf>
    <xf numFmtId="0" fontId="9" fillId="0" borderId="140" xfId="0" applyFont="1" applyBorder="1" applyAlignment="1" applyProtection="1">
      <alignment horizontal="left" vertical="center"/>
      <protection hidden="1"/>
    </xf>
    <xf numFmtId="0" fontId="6" fillId="0" borderId="0" xfId="0" applyFont="1" applyAlignment="1">
      <alignment vertical="center"/>
    </xf>
    <xf numFmtId="0" fontId="9" fillId="0" borderId="36" xfId="0" applyFont="1" applyBorder="1"/>
    <xf numFmtId="0" fontId="9" fillId="0" borderId="7" xfId="0" applyFont="1" applyBorder="1"/>
    <xf numFmtId="0" fontId="9" fillId="0" borderId="31" xfId="0" applyFont="1" applyBorder="1"/>
    <xf numFmtId="0" fontId="9" fillId="0" borderId="0" xfId="0" applyFont="1" applyAlignment="1">
      <alignment vertical="center" wrapText="1"/>
    </xf>
    <xf numFmtId="0" fontId="40" fillId="0" borderId="0" xfId="0" applyFont="1" applyAlignment="1">
      <alignment horizontal="center"/>
    </xf>
    <xf numFmtId="3" fontId="100" fillId="0" borderId="34" xfId="0" applyNumberFormat="1" applyFont="1" applyBorder="1"/>
    <xf numFmtId="3" fontId="100" fillId="0" borderId="5" xfId="0" applyNumberFormat="1" applyFont="1" applyBorder="1"/>
    <xf numFmtId="3" fontId="100" fillId="0" borderId="0" xfId="0" applyNumberFormat="1" applyFont="1"/>
    <xf numFmtId="170" fontId="102" fillId="0" borderId="34" xfId="0" applyNumberFormat="1" applyFont="1" applyBorder="1"/>
    <xf numFmtId="0" fontId="101" fillId="0" borderId="0" xfId="0" applyFont="1" applyAlignment="1">
      <alignment horizontal="center" vertical="center"/>
    </xf>
    <xf numFmtId="0" fontId="0" fillId="0" borderId="7" xfId="0" applyBorder="1" applyAlignment="1">
      <alignment vertical="center"/>
    </xf>
    <xf numFmtId="0" fontId="4" fillId="0" borderId="7" xfId="0" applyFont="1" applyBorder="1" applyAlignment="1">
      <alignment vertical="center"/>
    </xf>
    <xf numFmtId="3" fontId="99" fillId="0" borderId="154" xfId="0" applyNumberFormat="1" applyFont="1" applyBorder="1" applyAlignment="1">
      <alignment vertical="top"/>
    </xf>
    <xf numFmtId="3" fontId="9" fillId="24" borderId="154" xfId="0" applyNumberFormat="1" applyFont="1" applyFill="1" applyBorder="1" applyAlignment="1">
      <alignment vertical="top"/>
    </xf>
    <xf numFmtId="3" fontId="99" fillId="0" borderId="130" xfId="0" applyNumberFormat="1" applyFont="1" applyBorder="1"/>
    <xf numFmtId="3" fontId="9" fillId="24" borderId="130" xfId="0" applyNumberFormat="1" applyFont="1" applyFill="1" applyBorder="1"/>
    <xf numFmtId="0" fontId="40" fillId="0" borderId="0" xfId="0" applyFont="1" applyAlignment="1">
      <alignment vertical="center" wrapText="1"/>
    </xf>
    <xf numFmtId="0" fontId="40" fillId="0" borderId="0" xfId="0" applyFont="1" applyAlignment="1">
      <alignment vertical="center"/>
    </xf>
    <xf numFmtId="0" fontId="40" fillId="0" borderId="0" xfId="0" applyFont="1" applyAlignment="1">
      <alignment horizontal="left" vertical="top"/>
    </xf>
    <xf numFmtId="170" fontId="102" fillId="0" borderId="0" xfId="2" applyNumberFormat="1" applyFont="1" applyAlignment="1">
      <alignment horizontal="right"/>
    </xf>
    <xf numFmtId="172" fontId="9" fillId="0" borderId="0" xfId="0" applyNumberFormat="1" applyFont="1"/>
    <xf numFmtId="0" fontId="53" fillId="0" borderId="0" xfId="0" applyFont="1"/>
    <xf numFmtId="0" fontId="35" fillId="0" borderId="0" xfId="0" applyFont="1" applyAlignment="1">
      <alignment vertical="top" wrapText="1"/>
    </xf>
    <xf numFmtId="172" fontId="35" fillId="0" borderId="0" xfId="0" applyNumberFormat="1" applyFont="1"/>
    <xf numFmtId="172" fontId="53" fillId="0" borderId="0" xfId="0" applyNumberFormat="1" applyFont="1"/>
    <xf numFmtId="172" fontId="51" fillId="0" borderId="0" xfId="0" applyNumberFormat="1" applyFont="1" applyAlignment="1">
      <alignment horizontal="left" indent="1"/>
    </xf>
    <xf numFmtId="172" fontId="51" fillId="0" borderId="0" xfId="0" applyNumberFormat="1" applyFont="1"/>
    <xf numFmtId="0" fontId="35" fillId="26" borderId="0" xfId="0" applyFont="1" applyFill="1"/>
    <xf numFmtId="0" fontId="53" fillId="0" borderId="0" xfId="0" applyFont="1" applyAlignment="1">
      <alignment horizontal="right" vertical="top"/>
    </xf>
    <xf numFmtId="0" fontId="9" fillId="26" borderId="0" xfId="0" applyFont="1" applyFill="1"/>
    <xf numFmtId="0" fontId="7" fillId="26" borderId="0" xfId="0" applyFont="1" applyFill="1" applyAlignment="1">
      <alignment horizontal="right"/>
    </xf>
    <xf numFmtId="0" fontId="81" fillId="0" borderId="10" xfId="0" applyFont="1" applyBorder="1" applyAlignment="1">
      <alignment horizontal="left" vertical="center"/>
    </xf>
    <xf numFmtId="0" fontId="101" fillId="0" borderId="10" xfId="0" applyFont="1" applyBorder="1" applyAlignment="1">
      <alignment horizontal="center" vertical="center"/>
    </xf>
    <xf numFmtId="0" fontId="81" fillId="0" borderId="0" xfId="0" applyFont="1" applyAlignment="1">
      <alignment horizontal="left" vertical="center"/>
    </xf>
    <xf numFmtId="0" fontId="80" fillId="0" borderId="0" xfId="1" applyFont="1" applyFill="1" applyAlignment="1" applyProtection="1"/>
    <xf numFmtId="0" fontId="9" fillId="0" borderId="0" xfId="0" applyFont="1" applyAlignment="1">
      <alignment horizontal="left" vertical="center"/>
    </xf>
    <xf numFmtId="0" fontId="40" fillId="0" borderId="7" xfId="0" applyFont="1" applyBorder="1"/>
    <xf numFmtId="0" fontId="9" fillId="0" borderId="7" xfId="0" applyFont="1" applyBorder="1" applyAlignment="1">
      <alignment horizontal="right"/>
    </xf>
    <xf numFmtId="3" fontId="9" fillId="0" borderId="0" xfId="0" applyNumberFormat="1" applyFont="1"/>
    <xf numFmtId="0" fontId="9" fillId="0" borderId="149" xfId="0" applyFont="1" applyBorder="1" applyAlignment="1">
      <alignment horizontal="right"/>
    </xf>
    <xf numFmtId="0" fontId="9" fillId="0" borderId="38" xfId="0" applyFont="1" applyBorder="1"/>
    <xf numFmtId="0" fontId="82" fillId="0" borderId="0" xfId="0" applyFont="1" applyAlignment="1">
      <alignment vertical="center"/>
    </xf>
    <xf numFmtId="0" fontId="40" fillId="0" borderId="0" xfId="0" applyFont="1" applyAlignment="1">
      <alignment horizontal="centerContinuous"/>
    </xf>
    <xf numFmtId="0" fontId="40" fillId="0" borderId="0" xfId="0" applyFont="1" applyAlignment="1">
      <alignment horizontal="centerContinuous" vertical="top" wrapText="1"/>
    </xf>
    <xf numFmtId="0" fontId="23" fillId="0" borderId="0" xfId="0" applyFont="1" applyProtection="1">
      <protection hidden="1"/>
    </xf>
    <xf numFmtId="0" fontId="9" fillId="0" borderId="0" xfId="0" applyFont="1" applyAlignment="1" applyProtection="1">
      <alignment horizontal="right"/>
      <protection hidden="1"/>
    </xf>
    <xf numFmtId="0" fontId="53" fillId="0" borderId="24" xfId="0" applyFont="1" applyBorder="1" applyAlignment="1" applyProtection="1">
      <alignment horizontal="center" vertical="center"/>
      <protection hidden="1"/>
    </xf>
    <xf numFmtId="0" fontId="53" fillId="0" borderId="212" xfId="0" applyFont="1" applyBorder="1" applyAlignment="1" applyProtection="1">
      <alignment horizontal="centerContinuous" vertical="center"/>
      <protection hidden="1"/>
    </xf>
    <xf numFmtId="0" fontId="35" fillId="0" borderId="0" xfId="0" applyFont="1" applyAlignment="1">
      <alignment horizontal="center" vertical="center"/>
    </xf>
    <xf numFmtId="0" fontId="35" fillId="0" borderId="35" xfId="0" applyFont="1" applyBorder="1" applyAlignment="1">
      <alignment horizontal="center" vertical="center"/>
    </xf>
    <xf numFmtId="0" fontId="35" fillId="0" borderId="148" xfId="0" applyFont="1" applyBorder="1" applyAlignment="1">
      <alignment horizontal="center" vertical="center"/>
    </xf>
    <xf numFmtId="0" fontId="9" fillId="0" borderId="123" xfId="0" applyFont="1" applyBorder="1"/>
    <xf numFmtId="0" fontId="40" fillId="0" borderId="0" xfId="0" quotePrefix="1" applyFont="1" applyAlignment="1">
      <alignment horizontal="left"/>
    </xf>
    <xf numFmtId="0" fontId="39" fillId="0" borderId="0" xfId="0" applyFont="1" applyAlignment="1">
      <alignment vertical="center" wrapText="1"/>
    </xf>
    <xf numFmtId="0" fontId="9" fillId="0" borderId="136" xfId="0" applyFont="1" applyBorder="1"/>
    <xf numFmtId="3" fontId="99" fillId="0" borderId="0" xfId="0" applyNumberFormat="1" applyFont="1"/>
    <xf numFmtId="3" fontId="99" fillId="0" borderId="0" xfId="0" applyNumberFormat="1" applyFont="1" applyAlignment="1">
      <alignment horizontal="right"/>
    </xf>
    <xf numFmtId="170" fontId="102" fillId="0" borderId="0" xfId="2" applyNumberFormat="1" applyFont="1" applyFill="1" applyAlignment="1">
      <alignment horizontal="right"/>
    </xf>
    <xf numFmtId="1" fontId="99" fillId="0" borderId="0" xfId="0" applyNumberFormat="1" applyFont="1" applyAlignment="1">
      <alignment horizontal="right"/>
    </xf>
    <xf numFmtId="170" fontId="102" fillId="0" borderId="83" xfId="2" applyNumberFormat="1" applyFont="1" applyFill="1" applyBorder="1" applyAlignment="1">
      <alignment horizontal="right"/>
    </xf>
    <xf numFmtId="0" fontId="9" fillId="24" borderId="0" xfId="0" applyFont="1" applyFill="1"/>
    <xf numFmtId="3" fontId="105" fillId="24" borderId="129" xfId="0" applyNumberFormat="1" applyFont="1" applyFill="1" applyBorder="1" applyAlignment="1">
      <alignment vertical="top"/>
    </xf>
    <xf numFmtId="3" fontId="40" fillId="24" borderId="0" xfId="0" applyNumberFormat="1" applyFont="1" applyFill="1" applyAlignment="1">
      <alignment vertical="top"/>
    </xf>
    <xf numFmtId="9" fontId="100" fillId="0" borderId="31" xfId="2" applyFont="1" applyBorder="1"/>
    <xf numFmtId="0" fontId="100" fillId="0" borderId="31" xfId="0" applyFont="1" applyBorder="1"/>
    <xf numFmtId="0" fontId="0" fillId="26" borderId="0" xfId="0" applyFill="1"/>
    <xf numFmtId="1" fontId="100" fillId="0" borderId="10" xfId="0" applyNumberFormat="1" applyFont="1" applyBorder="1"/>
    <xf numFmtId="1" fontId="100" fillId="0" borderId="34" xfId="0" applyNumberFormat="1" applyFont="1" applyBorder="1"/>
    <xf numFmtId="1" fontId="100" fillId="0" borderId="34" xfId="0" applyNumberFormat="1" applyFont="1" applyBorder="1" applyAlignment="1">
      <alignment horizontal="right"/>
    </xf>
    <xf numFmtId="9" fontId="100" fillId="0" borderId="34" xfId="2" applyFont="1" applyBorder="1"/>
    <xf numFmtId="0" fontId="106" fillId="0" borderId="5" xfId="0" applyFont="1" applyBorder="1"/>
    <xf numFmtId="0" fontId="107" fillId="0" borderId="0" xfId="0" applyFont="1"/>
    <xf numFmtId="0" fontId="4" fillId="26" borderId="0" xfId="0" applyFont="1" applyFill="1"/>
    <xf numFmtId="0" fontId="9" fillId="24" borderId="34" xfId="0" applyFont="1" applyFill="1" applyBorder="1"/>
    <xf numFmtId="1" fontId="100" fillId="0" borderId="0" xfId="0" applyNumberFormat="1" applyFont="1" applyAlignment="1">
      <alignment horizontal="right"/>
    </xf>
    <xf numFmtId="9" fontId="100" fillId="0" borderId="0" xfId="2" applyFont="1" applyBorder="1"/>
    <xf numFmtId="1" fontId="100" fillId="24" borderId="0" xfId="0" applyNumberFormat="1" applyFont="1" applyFill="1"/>
    <xf numFmtId="1" fontId="99" fillId="0" borderId="0" xfId="0" applyNumberFormat="1" applyFont="1"/>
    <xf numFmtId="0" fontId="40" fillId="24" borderId="0" xfId="0" applyFont="1" applyFill="1"/>
    <xf numFmtId="1" fontId="100" fillId="0" borderId="5" xfId="0" applyNumberFormat="1" applyFont="1" applyBorder="1"/>
    <xf numFmtId="1" fontId="100" fillId="0" borderId="5" xfId="0" applyNumberFormat="1" applyFont="1" applyBorder="1" applyAlignment="1">
      <alignment horizontal="right"/>
    </xf>
    <xf numFmtId="9" fontId="100" fillId="0" borderId="5" xfId="2" applyFont="1" applyBorder="1"/>
    <xf numFmtId="9" fontId="9" fillId="0" borderId="0" xfId="2" applyFont="1" applyBorder="1"/>
    <xf numFmtId="0" fontId="9" fillId="0" borderId="0" xfId="0" applyFont="1" applyAlignment="1">
      <alignment horizontal="left" vertical="top" wrapText="1"/>
    </xf>
    <xf numFmtId="9" fontId="99" fillId="0" borderId="0" xfId="2" applyFont="1" applyBorder="1"/>
    <xf numFmtId="0" fontId="0" fillId="0" borderId="5" xfId="0" applyBorder="1"/>
    <xf numFmtId="3" fontId="9" fillId="0" borderId="0" xfId="0" applyNumberFormat="1" applyFont="1" applyAlignment="1">
      <alignment horizontal="left"/>
    </xf>
    <xf numFmtId="0" fontId="40" fillId="0" borderId="0" xfId="0" applyFont="1" applyAlignment="1">
      <alignment horizontal="left" indent="2"/>
    </xf>
    <xf numFmtId="0" fontId="40" fillId="0" borderId="0" xfId="0" applyFont="1" applyAlignment="1">
      <alignment horizontal="left" indent="7"/>
    </xf>
    <xf numFmtId="3" fontId="100" fillId="27" borderId="0" xfId="0" applyNumberFormat="1" applyFont="1" applyFill="1"/>
    <xf numFmtId="0" fontId="39" fillId="0" borderId="0" xfId="0" applyFont="1" applyAlignment="1">
      <alignment vertical="top" wrapText="1"/>
    </xf>
    <xf numFmtId="172" fontId="100" fillId="0" borderId="36" xfId="0" applyNumberFormat="1" applyFont="1" applyBorder="1"/>
    <xf numFmtId="172" fontId="100" fillId="0" borderId="31" xfId="0" applyNumberFormat="1" applyFont="1" applyBorder="1"/>
    <xf numFmtId="3" fontId="99" fillId="0" borderId="33" xfId="0" applyNumberFormat="1" applyFont="1" applyBorder="1" applyAlignment="1">
      <alignment vertical="top"/>
    </xf>
    <xf numFmtId="0" fontId="9" fillId="0" borderId="30" xfId="0" applyFont="1" applyBorder="1"/>
    <xf numFmtId="0" fontId="9" fillId="0" borderId="5" xfId="0" applyFont="1" applyBorder="1" applyAlignment="1">
      <alignment horizontal="right"/>
    </xf>
    <xf numFmtId="172" fontId="9" fillId="0" borderId="5" xfId="0" applyNumberFormat="1" applyFont="1" applyBorder="1"/>
    <xf numFmtId="3" fontId="102" fillId="0" borderId="5" xfId="0" applyNumberFormat="1" applyFont="1" applyBorder="1"/>
    <xf numFmtId="3" fontId="99" fillId="0" borderId="32" xfId="0" applyNumberFormat="1" applyFont="1" applyBorder="1"/>
    <xf numFmtId="172" fontId="100" fillId="0" borderId="38" xfId="0" applyNumberFormat="1" applyFont="1" applyBorder="1"/>
    <xf numFmtId="3" fontId="9" fillId="28" borderId="0" xfId="0" applyNumberFormat="1" applyFont="1" applyFill="1"/>
    <xf numFmtId="0" fontId="40" fillId="0" borderId="0" xfId="0" quotePrefix="1" applyFont="1" applyAlignment="1">
      <alignment horizontal="right" vertical="center"/>
    </xf>
    <xf numFmtId="0" fontId="40" fillId="0" borderId="0" xfId="0" quotePrefix="1" applyFont="1" applyAlignment="1">
      <alignment vertical="center"/>
    </xf>
    <xf numFmtId="0" fontId="81" fillId="0" borderId="0" xfId="0" applyFont="1" applyAlignment="1">
      <alignment vertical="center"/>
    </xf>
    <xf numFmtId="3" fontId="9" fillId="0" borderId="31" xfId="0" applyNumberFormat="1" applyFont="1" applyBorder="1"/>
    <xf numFmtId="0" fontId="9" fillId="27" borderId="7" xfId="0" applyFont="1" applyFill="1" applyBorder="1"/>
    <xf numFmtId="3" fontId="100" fillId="27" borderId="31" xfId="0" applyNumberFormat="1" applyFont="1" applyFill="1" applyBorder="1"/>
    <xf numFmtId="0" fontId="9" fillId="28" borderId="7" xfId="0" applyFont="1" applyFill="1" applyBorder="1"/>
    <xf numFmtId="3" fontId="9" fillId="28" borderId="31" xfId="0" applyNumberFormat="1" applyFont="1" applyFill="1" applyBorder="1"/>
    <xf numFmtId="9" fontId="40" fillId="27" borderId="0" xfId="0" applyNumberFormat="1" applyFont="1" applyFill="1" applyAlignment="1">
      <alignment horizontal="center"/>
    </xf>
    <xf numFmtId="0" fontId="81" fillId="0" borderId="10" xfId="0" applyFont="1" applyBorder="1" applyAlignment="1">
      <alignment vertical="center"/>
    </xf>
    <xf numFmtId="0" fontId="40" fillId="0" borderId="0" xfId="0" applyFont="1" applyAlignment="1">
      <alignment horizontal="right" vertical="center"/>
    </xf>
    <xf numFmtId="0" fontId="40" fillId="0" borderId="5" xfId="0" applyFont="1" applyBorder="1" applyAlignment="1">
      <alignment horizontal="right" vertical="center"/>
    </xf>
    <xf numFmtId="0" fontId="40" fillId="0" borderId="5" xfId="0" applyFont="1" applyBorder="1" applyAlignment="1">
      <alignment horizontal="center"/>
    </xf>
    <xf numFmtId="170" fontId="102" fillId="0" borderId="0" xfId="0" applyNumberFormat="1" applyFont="1"/>
    <xf numFmtId="0" fontId="9" fillId="0" borderId="149" xfId="0" applyFont="1" applyBorder="1"/>
    <xf numFmtId="3" fontId="100" fillId="0" borderId="0" xfId="0" applyNumberFormat="1" applyFont="1" applyAlignment="1">
      <alignment horizontal="center"/>
    </xf>
    <xf numFmtId="3" fontId="9" fillId="24" borderId="0" xfId="0" applyNumberFormat="1" applyFont="1" applyFill="1" applyAlignment="1">
      <alignment horizontal="center"/>
    </xf>
    <xf numFmtId="0" fontId="67" fillId="0" borderId="0" xfId="0" applyFont="1" applyAlignment="1">
      <alignment horizontal="right"/>
    </xf>
    <xf numFmtId="0" fontId="67" fillId="0" borderId="0" xfId="1" applyNumberFormat="1" applyFont="1" applyFill="1" applyBorder="1" applyAlignment="1" applyProtection="1">
      <alignment horizontal="right" vertical="center" wrapText="1"/>
    </xf>
    <xf numFmtId="0" fontId="67" fillId="0" borderId="0" xfId="0" applyFont="1" applyAlignment="1">
      <alignment horizontal="right" vertical="center" wrapText="1"/>
    </xf>
    <xf numFmtId="0" fontId="9" fillId="0" borderId="146" xfId="0" applyFont="1" applyBorder="1"/>
    <xf numFmtId="1" fontId="9" fillId="0" borderId="31" xfId="0" applyNumberFormat="1" applyFont="1" applyBorder="1"/>
    <xf numFmtId="1" fontId="9" fillId="0" borderId="5" xfId="0" applyNumberFormat="1" applyFont="1" applyBorder="1"/>
    <xf numFmtId="1" fontId="9" fillId="0" borderId="38" xfId="0" applyNumberFormat="1" applyFont="1" applyBorder="1"/>
    <xf numFmtId="0" fontId="9" fillId="0" borderId="5" xfId="0" applyFont="1" applyBorder="1" applyAlignment="1">
      <alignment horizontal="left"/>
    </xf>
    <xf numFmtId="173" fontId="9" fillId="0" borderId="0" xfId="0" applyNumberFormat="1" applyFont="1"/>
    <xf numFmtId="0" fontId="40" fillId="0" borderId="31" xfId="0" applyFont="1" applyBorder="1"/>
    <xf numFmtId="173" fontId="9" fillId="0" borderId="5" xfId="0" applyNumberFormat="1" applyFont="1" applyBorder="1"/>
    <xf numFmtId="1" fontId="9" fillId="0" borderId="7" xfId="0" applyNumberFormat="1" applyFont="1" applyBorder="1"/>
    <xf numFmtId="1" fontId="9" fillId="0" borderId="149" xfId="0" applyNumberFormat="1" applyFont="1" applyBorder="1"/>
    <xf numFmtId="0" fontId="40" fillId="24" borderId="9" xfId="0" applyFont="1" applyFill="1" applyBorder="1"/>
    <xf numFmtId="0" fontId="0" fillId="24" borderId="10" xfId="0" applyFill="1" applyBorder="1"/>
    <xf numFmtId="0" fontId="0" fillId="24" borderId="37" xfId="0" applyFill="1" applyBorder="1"/>
    <xf numFmtId="0" fontId="40" fillId="0" borderId="37" xfId="0" applyFont="1" applyBorder="1" applyAlignment="1">
      <alignment horizontal="center"/>
    </xf>
    <xf numFmtId="0" fontId="7" fillId="26" borderId="0" xfId="0" quotePrefix="1" applyFont="1" applyFill="1" applyAlignment="1">
      <alignment horizontal="right"/>
    </xf>
    <xf numFmtId="0" fontId="40" fillId="12" borderId="0" xfId="0" applyFont="1" applyFill="1"/>
    <xf numFmtId="3" fontId="100" fillId="0" borderId="31" xfId="0" applyNumberFormat="1" applyFont="1" applyBorder="1" applyAlignment="1">
      <alignment horizontal="center"/>
    </xf>
    <xf numFmtId="9" fontId="99" fillId="0" borderId="0" xfId="2" applyFont="1" applyBorder="1" applyAlignment="1">
      <alignment horizontal="center"/>
    </xf>
    <xf numFmtId="3" fontId="9" fillId="24" borderId="31" xfId="0" applyNumberFormat="1" applyFont="1" applyFill="1" applyBorder="1" applyAlignment="1">
      <alignment horizontal="center"/>
    </xf>
    <xf numFmtId="0" fontId="40" fillId="19" borderId="34" xfId="0" applyFont="1" applyFill="1" applyBorder="1" applyAlignment="1">
      <alignment horizontal="center"/>
    </xf>
    <xf numFmtId="0" fontId="39" fillId="19" borderId="34" xfId="0" applyFont="1" applyFill="1" applyBorder="1" applyAlignment="1">
      <alignment horizontal="center"/>
    </xf>
    <xf numFmtId="0" fontId="84" fillId="0" borderId="0" xfId="0" quotePrefix="1" applyFont="1" applyAlignment="1">
      <alignment horizontal="center" vertical="center"/>
    </xf>
    <xf numFmtId="0" fontId="9" fillId="0" borderId="213" xfId="0" applyFont="1" applyBorder="1"/>
    <xf numFmtId="0" fontId="9" fillId="0" borderId="213" xfId="0" applyFont="1" applyBorder="1" applyAlignment="1">
      <alignment horizontal="center"/>
    </xf>
    <xf numFmtId="0" fontId="40" fillId="0" borderId="0" xfId="0" applyFont="1" applyAlignment="1">
      <alignment horizontal="right" vertical="top" wrapText="1"/>
    </xf>
    <xf numFmtId="1" fontId="40" fillId="0" borderId="0" xfId="0" applyNumberFormat="1" applyFont="1" applyAlignment="1">
      <alignment horizontal="center" vertical="center"/>
    </xf>
    <xf numFmtId="0" fontId="40" fillId="0" borderId="0" xfId="0" applyFont="1" applyAlignment="1" applyProtection="1">
      <alignment horizontal="center" vertical="center"/>
      <protection locked="0"/>
    </xf>
    <xf numFmtId="173" fontId="9" fillId="0" borderId="0" xfId="0" applyNumberFormat="1" applyFont="1" applyAlignment="1" applyProtection="1">
      <alignment horizontal="center" vertical="center"/>
      <protection locked="0"/>
    </xf>
    <xf numFmtId="0" fontId="9" fillId="0" borderId="0" xfId="0" applyFont="1" applyAlignment="1" applyProtection="1">
      <alignment horizontal="center" vertical="center"/>
      <protection locked="0"/>
    </xf>
    <xf numFmtId="174" fontId="9" fillId="0" borderId="0" xfId="0" applyNumberFormat="1" applyFont="1" applyAlignment="1" applyProtection="1">
      <alignment horizontal="center" vertical="center"/>
      <protection locked="0"/>
    </xf>
    <xf numFmtId="9" fontId="39" fillId="0" borderId="172" xfId="2" applyFont="1" applyBorder="1" applyAlignment="1">
      <alignment horizontal="right"/>
    </xf>
    <xf numFmtId="9" fontId="39" fillId="0" borderId="122" xfId="2" applyFont="1" applyBorder="1" applyAlignment="1">
      <alignment horizontal="right"/>
    </xf>
    <xf numFmtId="9" fontId="39" fillId="0" borderId="31" xfId="2" applyFont="1" applyBorder="1" applyAlignment="1">
      <alignment horizontal="right"/>
    </xf>
    <xf numFmtId="9" fontId="39" fillId="0" borderId="38" xfId="2" applyFont="1" applyBorder="1" applyAlignment="1">
      <alignment horizontal="right"/>
    </xf>
    <xf numFmtId="0" fontId="40" fillId="0" borderId="34" xfId="0" applyFont="1" applyBorder="1" applyAlignment="1">
      <alignment wrapText="1"/>
    </xf>
    <xf numFmtId="0" fontId="4" fillId="26" borderId="0" xfId="0" applyFont="1" applyFill="1" applyAlignment="1">
      <alignment horizontal="center"/>
    </xf>
    <xf numFmtId="0" fontId="9" fillId="26" borderId="0" xfId="0" applyFont="1" applyFill="1" applyAlignment="1">
      <alignment vertical="top" wrapText="1"/>
    </xf>
    <xf numFmtId="0" fontId="40" fillId="0" borderId="248" xfId="0" applyFont="1" applyBorder="1" applyAlignment="1">
      <alignment horizontal="center"/>
    </xf>
    <xf numFmtId="0" fontId="40" fillId="0" borderId="249" xfId="0" applyFont="1" applyBorder="1" applyAlignment="1">
      <alignment horizontal="center"/>
    </xf>
    <xf numFmtId="0" fontId="40" fillId="30" borderId="250" xfId="0" applyFont="1" applyFill="1" applyBorder="1" applyAlignment="1">
      <alignment horizontal="center"/>
    </xf>
    <xf numFmtId="0" fontId="40" fillId="0" borderId="251" xfId="0" applyFont="1" applyBorder="1" applyAlignment="1">
      <alignment horizontal="center"/>
    </xf>
    <xf numFmtId="0" fontId="40" fillId="30" borderId="252" xfId="0" applyFont="1" applyFill="1" applyBorder="1" applyAlignment="1">
      <alignment horizontal="center"/>
    </xf>
    <xf numFmtId="0" fontId="40" fillId="0" borderId="253" xfId="0" applyFont="1" applyBorder="1" applyAlignment="1">
      <alignment horizontal="center"/>
    </xf>
    <xf numFmtId="0" fontId="40" fillId="29" borderId="250" xfId="0" applyFont="1" applyFill="1" applyBorder="1" applyAlignment="1">
      <alignment horizontal="center"/>
    </xf>
    <xf numFmtId="0" fontId="9" fillId="26" borderId="259" xfId="0" applyFont="1" applyFill="1" applyBorder="1" applyAlignment="1">
      <alignment horizontal="center"/>
    </xf>
    <xf numFmtId="0" fontId="9" fillId="26" borderId="261" xfId="0" applyFont="1" applyFill="1" applyBorder="1" applyAlignment="1">
      <alignment horizontal="center"/>
    </xf>
    <xf numFmtId="0" fontId="9" fillId="26" borderId="172" xfId="0" applyFont="1" applyFill="1" applyBorder="1" applyAlignment="1">
      <alignment horizontal="center"/>
    </xf>
    <xf numFmtId="0" fontId="9" fillId="26" borderId="262" xfId="0" applyFont="1" applyFill="1" applyBorder="1" applyAlignment="1">
      <alignment horizontal="center"/>
    </xf>
    <xf numFmtId="0" fontId="9" fillId="26" borderId="263" xfId="0" applyFont="1" applyFill="1" applyBorder="1" applyAlignment="1">
      <alignment horizontal="center"/>
    </xf>
    <xf numFmtId="0" fontId="9" fillId="26" borderId="31" xfId="0" applyFont="1" applyFill="1" applyBorder="1"/>
    <xf numFmtId="172" fontId="9" fillId="0" borderId="259" xfId="0" applyNumberFormat="1" applyFont="1" applyBorder="1"/>
    <xf numFmtId="172" fontId="9" fillId="0" borderId="261" xfId="0" applyNumberFormat="1" applyFont="1" applyBorder="1"/>
    <xf numFmtId="172" fontId="9" fillId="0" borderId="262" xfId="0" applyNumberFormat="1" applyFont="1" applyBorder="1"/>
    <xf numFmtId="172" fontId="9" fillId="0" borderId="263" xfId="0" applyNumberFormat="1" applyFont="1" applyBorder="1"/>
    <xf numFmtId="172" fontId="9" fillId="0" borderId="260" xfId="0" applyNumberFormat="1" applyFont="1" applyBorder="1"/>
    <xf numFmtId="172" fontId="9" fillId="0" borderId="264" xfId="0" applyNumberFormat="1" applyFont="1" applyBorder="1"/>
    <xf numFmtId="172" fontId="9" fillId="0" borderId="265" xfId="0" applyNumberFormat="1" applyFont="1" applyBorder="1"/>
    <xf numFmtId="172" fontId="9" fillId="0" borderId="266" xfId="0" applyNumberFormat="1" applyFont="1" applyBorder="1"/>
    <xf numFmtId="0" fontId="9" fillId="26" borderId="172" xfId="0" applyFont="1" applyFill="1" applyBorder="1" applyAlignment="1">
      <alignment vertical="top" wrapText="1"/>
    </xf>
    <xf numFmtId="0" fontId="39" fillId="0" borderId="248" xfId="0" applyFont="1" applyBorder="1" applyAlignment="1">
      <alignment horizontal="center"/>
    </xf>
    <xf numFmtId="0" fontId="39" fillId="0" borderId="251" xfId="0" applyFont="1" applyBorder="1" applyAlignment="1">
      <alignment horizontal="center"/>
    </xf>
    <xf numFmtId="0" fontId="40" fillId="29" borderId="267" xfId="0" applyFont="1" applyFill="1" applyBorder="1" applyAlignment="1">
      <alignment horizontal="center"/>
    </xf>
    <xf numFmtId="0" fontId="40" fillId="0" borderId="261" xfId="0" applyFont="1" applyBorder="1" applyAlignment="1">
      <alignment horizontal="center" wrapText="1"/>
    </xf>
    <xf numFmtId="0" fontId="40" fillId="0" borderId="261" xfId="0" applyFont="1" applyBorder="1" applyAlignment="1">
      <alignment horizontal="center"/>
    </xf>
    <xf numFmtId="0" fontId="40" fillId="0" borderId="259" xfId="0" applyFont="1" applyBorder="1" applyAlignment="1">
      <alignment horizontal="center" wrapText="1"/>
    </xf>
    <xf numFmtId="0" fontId="40" fillId="0" borderId="31" xfId="0" applyFont="1" applyBorder="1" applyAlignment="1">
      <alignment horizontal="center" wrapText="1"/>
    </xf>
    <xf numFmtId="0" fontId="40" fillId="0" borderId="259" xfId="0" applyFont="1" applyBorder="1" applyAlignment="1">
      <alignment horizontal="center"/>
    </xf>
    <xf numFmtId="0" fontId="40" fillId="0" borderId="31" xfId="0" applyFont="1" applyBorder="1" applyAlignment="1">
      <alignment horizontal="center"/>
    </xf>
    <xf numFmtId="0" fontId="105" fillId="0" borderId="0" xfId="0" applyFont="1"/>
    <xf numFmtId="0" fontId="87" fillId="0" borderId="0" xfId="0" applyFont="1"/>
    <xf numFmtId="0" fontId="89" fillId="0" borderId="0" xfId="0" applyFont="1"/>
    <xf numFmtId="0" fontId="69" fillId="0" borderId="0" xfId="0" applyFont="1"/>
    <xf numFmtId="0" fontId="88" fillId="0" borderId="0" xfId="1" applyFont="1" applyAlignment="1" applyProtection="1"/>
    <xf numFmtId="0" fontId="64" fillId="0" borderId="0" xfId="0" applyFont="1"/>
    <xf numFmtId="0" fontId="88" fillId="24" borderId="0" xfId="1" applyFont="1" applyFill="1" applyAlignment="1" applyProtection="1"/>
    <xf numFmtId="0" fontId="9" fillId="0" borderId="0" xfId="0" quotePrefix="1" applyFont="1" applyAlignment="1">
      <alignment vertical="top" wrapText="1"/>
    </xf>
    <xf numFmtId="0" fontId="9" fillId="0" borderId="136" xfId="0" applyFont="1" applyBorder="1" applyAlignment="1">
      <alignment horizontal="left"/>
    </xf>
    <xf numFmtId="0" fontId="109" fillId="0" borderId="0" xfId="0" applyFont="1" applyAlignment="1">
      <alignment horizontal="center" vertical="center"/>
    </xf>
    <xf numFmtId="0" fontId="110" fillId="0" borderId="0" xfId="0" applyFont="1"/>
    <xf numFmtId="0" fontId="9" fillId="0" borderId="272" xfId="0" applyFont="1" applyBorder="1" applyAlignment="1">
      <alignment horizontal="right"/>
    </xf>
    <xf numFmtId="0" fontId="9" fillId="0" borderId="271" xfId="0" applyFont="1" applyBorder="1"/>
    <xf numFmtId="0" fontId="9" fillId="0" borderId="273" xfId="0" applyFont="1" applyBorder="1" applyAlignment="1">
      <alignment horizontal="right" vertical="top" wrapText="1" indent="1"/>
    </xf>
    <xf numFmtId="0" fontId="9" fillId="0" borderId="252" xfId="0" applyFont="1" applyBorder="1" applyAlignment="1">
      <alignment horizontal="right" vertical="top" wrapText="1" indent="1"/>
    </xf>
    <xf numFmtId="0" fontId="9" fillId="0" borderId="273" xfId="0" applyFont="1" applyBorder="1" applyAlignment="1">
      <alignment horizontal="right" vertical="top"/>
    </xf>
    <xf numFmtId="0" fontId="9" fillId="0" borderId="274" xfId="0" applyFont="1" applyBorder="1" applyAlignment="1">
      <alignment vertical="top"/>
    </xf>
    <xf numFmtId="0" fontId="9" fillId="0" borderId="275" xfId="0" applyFont="1" applyBorder="1"/>
    <xf numFmtId="0" fontId="9" fillId="0" borderId="271" xfId="0" applyFont="1" applyBorder="1" applyAlignment="1">
      <alignment horizontal="left" indent="1"/>
    </xf>
    <xf numFmtId="0" fontId="0" fillId="0" borderId="271" xfId="0" applyBorder="1"/>
    <xf numFmtId="0" fontId="9" fillId="0" borderId="278" xfId="0" applyFont="1" applyBorder="1" applyAlignment="1">
      <alignment horizontal="right"/>
    </xf>
    <xf numFmtId="0" fontId="0" fillId="0" borderId="275" xfId="0" applyBorder="1"/>
    <xf numFmtId="0" fontId="9" fillId="0" borderId="276" xfId="0" applyFont="1" applyBorder="1" applyAlignment="1">
      <alignment horizontal="right"/>
    </xf>
    <xf numFmtId="0" fontId="9" fillId="0" borderId="277" xfId="0" applyFont="1" applyBorder="1" applyAlignment="1">
      <alignment horizontal="right"/>
    </xf>
    <xf numFmtId="0" fontId="111" fillId="0" borderId="0" xfId="0" applyFont="1" applyAlignment="1">
      <alignment wrapText="1"/>
    </xf>
    <xf numFmtId="0" fontId="53" fillId="0" borderId="0" xfId="0" applyFont="1" applyAlignment="1">
      <alignment vertical="center"/>
    </xf>
    <xf numFmtId="0" fontId="109" fillId="0" borderId="0" xfId="0" applyFont="1" applyAlignment="1">
      <alignment vertical="center"/>
    </xf>
    <xf numFmtId="0" fontId="35" fillId="0" borderId="0" xfId="0" applyFont="1" applyAlignment="1">
      <alignment horizontal="center" vertical="top" wrapText="1"/>
    </xf>
    <xf numFmtId="22" fontId="35" fillId="26" borderId="0" xfId="0" applyNumberFormat="1" applyFont="1" applyFill="1"/>
    <xf numFmtId="0" fontId="40" fillId="26" borderId="0" xfId="0" applyFont="1" applyFill="1" applyAlignment="1">
      <alignment horizontal="center"/>
    </xf>
    <xf numFmtId="0" fontId="4" fillId="26" borderId="0" xfId="0" quotePrefix="1" applyFont="1" applyFill="1"/>
    <xf numFmtId="0" fontId="4" fillId="26" borderId="0" xfId="0" applyFont="1" applyFill="1" applyAlignment="1">
      <alignment vertical="center"/>
    </xf>
    <xf numFmtId="14" fontId="9" fillId="0" borderId="274" xfId="0" applyNumberFormat="1" applyFont="1" applyBorder="1" applyAlignment="1">
      <alignment horizontal="center"/>
    </xf>
    <xf numFmtId="14" fontId="9" fillId="0" borderId="263" xfId="0" applyNumberFormat="1" applyFont="1" applyBorder="1" applyAlignment="1">
      <alignment horizontal="center"/>
    </xf>
    <xf numFmtId="14" fontId="9" fillId="0" borderId="252" xfId="0" applyNumberFormat="1" applyFont="1" applyBorder="1" applyAlignment="1">
      <alignment horizontal="center"/>
    </xf>
    <xf numFmtId="0" fontId="9" fillId="26" borderId="0" xfId="0" applyFont="1" applyFill="1" applyAlignment="1">
      <alignment vertical="top"/>
    </xf>
    <xf numFmtId="0" fontId="7" fillId="0" borderId="0" xfId="0" applyFont="1" applyAlignment="1">
      <alignment horizontal="left"/>
    </xf>
    <xf numFmtId="0" fontId="16" fillId="0" borderId="0" xfId="0" applyFont="1" applyAlignment="1">
      <alignment horizontal="center"/>
    </xf>
    <xf numFmtId="0" fontId="16" fillId="0" borderId="0" xfId="0" applyFont="1" applyAlignment="1">
      <alignment horizontal="left" vertical="center"/>
    </xf>
    <xf numFmtId="0" fontId="92" fillId="0" borderId="0" xfId="0" applyFont="1" applyAlignment="1">
      <alignment wrapText="1"/>
    </xf>
    <xf numFmtId="0" fontId="6" fillId="0" borderId="0" xfId="0" applyFont="1"/>
    <xf numFmtId="0" fontId="93" fillId="0" borderId="0" xfId="0" applyFont="1"/>
    <xf numFmtId="0" fontId="15" fillId="26" borderId="0" xfId="0" applyFont="1" applyFill="1"/>
    <xf numFmtId="0" fontId="108" fillId="0" borderId="0" xfId="0" applyFont="1"/>
    <xf numFmtId="0" fontId="31" fillId="0" borderId="0" xfId="0" applyFont="1" applyAlignment="1">
      <alignment horizontal="center"/>
    </xf>
    <xf numFmtId="0" fontId="7" fillId="0" borderId="0" xfId="0" quotePrefix="1" applyFont="1" applyAlignment="1">
      <alignment horizontal="right"/>
    </xf>
    <xf numFmtId="0" fontId="10" fillId="0" borderId="0" xfId="0" applyFont="1" applyAlignment="1">
      <alignment horizontal="right"/>
    </xf>
    <xf numFmtId="0" fontId="40" fillId="0" borderId="37" xfId="0" applyFont="1" applyBorder="1" applyAlignment="1">
      <alignment horizontal="center" vertical="center"/>
    </xf>
    <xf numFmtId="0" fontId="109" fillId="0" borderId="5" xfId="0" applyFont="1" applyBorder="1" applyAlignment="1">
      <alignment horizontal="left" vertical="center"/>
    </xf>
    <xf numFmtId="0" fontId="109" fillId="0" borderId="5" xfId="0" applyFont="1" applyBorder="1" applyAlignment="1">
      <alignment vertical="center"/>
    </xf>
    <xf numFmtId="0" fontId="35" fillId="0" borderId="5" xfId="0" applyFont="1" applyBorder="1" applyAlignment="1">
      <alignment horizontal="center" vertical="top" wrapText="1"/>
    </xf>
    <xf numFmtId="0" fontId="53" fillId="0" borderId="5" xfId="0" applyFont="1" applyBorder="1" applyAlignment="1">
      <alignment vertical="top" wrapText="1"/>
    </xf>
    <xf numFmtId="0" fontId="35" fillId="0" borderId="9" xfId="0" applyFont="1" applyBorder="1" applyAlignment="1">
      <alignment horizontal="center" vertical="top" wrapText="1"/>
    </xf>
    <xf numFmtId="172" fontId="35" fillId="0" borderId="5" xfId="0" applyNumberFormat="1" applyFont="1" applyBorder="1"/>
    <xf numFmtId="172" fontId="53" fillId="0" borderId="10" xfId="0" applyNumberFormat="1" applyFont="1" applyBorder="1"/>
    <xf numFmtId="1" fontId="104" fillId="21" borderId="10" xfId="0" applyNumberFormat="1" applyFont="1" applyFill="1" applyBorder="1" applyAlignment="1">
      <alignment horizontal="center" vertical="center"/>
    </xf>
    <xf numFmtId="0" fontId="40" fillId="0" borderId="214" xfId="0" applyFont="1" applyBorder="1" applyAlignment="1">
      <alignment horizontal="center"/>
    </xf>
    <xf numFmtId="0" fontId="40" fillId="0" borderId="215" xfId="0" applyFont="1" applyBorder="1" applyAlignment="1">
      <alignment vertical="center"/>
    </xf>
    <xf numFmtId="0" fontId="9" fillId="0" borderId="0" xfId="0" applyFont="1" applyAlignment="1">
      <alignment horizontal="left" vertical="top" indent="1"/>
    </xf>
    <xf numFmtId="0" fontId="94" fillId="0" borderId="0" xfId="0" applyFont="1" applyAlignment="1">
      <alignment horizontal="left" indent="2"/>
    </xf>
    <xf numFmtId="0" fontId="95" fillId="0" borderId="0" xfId="0" applyFont="1" applyAlignment="1">
      <alignment horizontal="left" indent="2"/>
    </xf>
    <xf numFmtId="0" fontId="16" fillId="0" borderId="267" xfId="0" applyFont="1" applyBorder="1" applyAlignment="1" applyProtection="1">
      <alignment horizontal="left" vertical="center"/>
      <protection locked="0"/>
    </xf>
    <xf numFmtId="0" fontId="4" fillId="5" borderId="230" xfId="0" applyFont="1" applyFill="1" applyBorder="1"/>
    <xf numFmtId="0" fontId="4" fillId="17" borderId="230" xfId="0" applyFont="1" applyFill="1" applyBorder="1"/>
    <xf numFmtId="0" fontId="4" fillId="16" borderId="230" xfId="0" applyFont="1" applyFill="1" applyBorder="1"/>
    <xf numFmtId="0" fontId="4" fillId="6" borderId="230" xfId="0" applyFont="1" applyFill="1" applyBorder="1"/>
    <xf numFmtId="0" fontId="4" fillId="13" borderId="230" xfId="0" applyFont="1" applyFill="1" applyBorder="1"/>
    <xf numFmtId="0" fontId="0" fillId="0" borderId="34" xfId="0" applyBorder="1"/>
    <xf numFmtId="0" fontId="0" fillId="24" borderId="10" xfId="0" applyFill="1" applyBorder="1" applyAlignment="1">
      <alignment horizontal="right"/>
    </xf>
    <xf numFmtId="0" fontId="4" fillId="24" borderId="10" xfId="0" applyFont="1" applyFill="1" applyBorder="1" applyAlignment="1">
      <alignment horizontal="right"/>
    </xf>
    <xf numFmtId="0" fontId="7" fillId="24" borderId="0" xfId="0" applyFont="1" applyFill="1" applyAlignment="1">
      <alignment horizontal="right"/>
    </xf>
    <xf numFmtId="0" fontId="7" fillId="24" borderId="0" xfId="0" applyFont="1" applyFill="1"/>
    <xf numFmtId="0" fontId="7" fillId="0" borderId="10" xfId="0" applyFont="1" applyBorder="1"/>
    <xf numFmtId="0" fontId="4" fillId="0" borderId="10" xfId="0" applyFont="1" applyBorder="1"/>
    <xf numFmtId="0" fontId="0" fillId="24" borderId="34" xfId="0" applyFill="1" applyBorder="1"/>
    <xf numFmtId="0" fontId="4" fillId="0" borderId="5" xfId="0" applyFont="1" applyBorder="1"/>
    <xf numFmtId="0" fontId="4" fillId="24" borderId="10" xfId="0" applyFont="1" applyFill="1" applyBorder="1"/>
    <xf numFmtId="0" fontId="62" fillId="7" borderId="230" xfId="0" applyFont="1" applyFill="1" applyBorder="1" applyAlignment="1">
      <alignment horizontal="right" vertical="top" wrapText="1"/>
    </xf>
    <xf numFmtId="0" fontId="62" fillId="5" borderId="230" xfId="0" applyFont="1" applyFill="1" applyBorder="1" applyAlignment="1">
      <alignment horizontal="right" vertical="top" wrapText="1"/>
    </xf>
    <xf numFmtId="0" fontId="62" fillId="17" borderId="230" xfId="0" applyFont="1" applyFill="1" applyBorder="1" applyAlignment="1">
      <alignment horizontal="right" vertical="top" wrapText="1"/>
    </xf>
    <xf numFmtId="0" fontId="62" fillId="16" borderId="230" xfId="0" applyFont="1" applyFill="1" applyBorder="1" applyAlignment="1">
      <alignment horizontal="right" vertical="top" wrapText="1"/>
    </xf>
    <xf numFmtId="0" fontId="62" fillId="6" borderId="230" xfId="0" applyFont="1" applyFill="1" applyBorder="1" applyAlignment="1">
      <alignment horizontal="right" vertical="top" wrapText="1"/>
    </xf>
    <xf numFmtId="0" fontId="62" fillId="13" borderId="230" xfId="0" applyFont="1" applyFill="1" applyBorder="1" applyAlignment="1">
      <alignment horizontal="right" vertical="top" wrapText="1"/>
    </xf>
    <xf numFmtId="0" fontId="0" fillId="24" borderId="0" xfId="0" applyFill="1"/>
    <xf numFmtId="0" fontId="4" fillId="24" borderId="0" xfId="0" applyFont="1" applyFill="1"/>
    <xf numFmtId="0" fontId="4" fillId="26" borderId="10" xfId="0" applyFont="1" applyFill="1" applyBorder="1"/>
    <xf numFmtId="0" fontId="26" fillId="7" borderId="0" xfId="0" applyFont="1" applyFill="1" applyAlignment="1">
      <alignment horizontal="center" vertical="center" wrapText="1"/>
    </xf>
    <xf numFmtId="0" fontId="26" fillId="5" borderId="0" xfId="0" applyFont="1" applyFill="1" applyAlignment="1">
      <alignment horizontal="center" vertical="center" wrapText="1"/>
    </xf>
    <xf numFmtId="0" fontId="26" fillId="6" borderId="0" xfId="0" applyFont="1" applyFill="1" applyAlignment="1">
      <alignment horizontal="center" vertical="center" wrapText="1"/>
    </xf>
    <xf numFmtId="0" fontId="67" fillId="0" borderId="0" xfId="0" applyFont="1"/>
    <xf numFmtId="0" fontId="77" fillId="2" borderId="0" xfId="1" applyNumberFormat="1" applyFont="1" applyFill="1" applyBorder="1" applyAlignment="1" applyProtection="1"/>
    <xf numFmtId="0" fontId="9" fillId="2" borderId="10" xfId="0" applyFont="1" applyFill="1" applyBorder="1" applyAlignment="1">
      <alignment horizontal="center"/>
    </xf>
    <xf numFmtId="0" fontId="9" fillId="2" borderId="5" xfId="0" applyFont="1" applyFill="1" applyBorder="1" applyAlignment="1">
      <alignment horizontal="center"/>
    </xf>
    <xf numFmtId="0" fontId="9" fillId="2" borderId="0" xfId="1" applyNumberFormat="1" applyFont="1" applyFill="1" applyBorder="1" applyAlignment="1" applyProtection="1"/>
    <xf numFmtId="0" fontId="9" fillId="2" borderId="5" xfId="1" applyNumberFormat="1" applyFont="1" applyFill="1" applyBorder="1" applyAlignment="1" applyProtection="1"/>
    <xf numFmtId="0" fontId="67" fillId="0" borderId="0" xfId="1" applyNumberFormat="1" applyFont="1" applyFill="1" applyBorder="1" applyAlignment="1" applyProtection="1">
      <alignment horizontal="right" wrapText="1"/>
    </xf>
    <xf numFmtId="0" fontId="67" fillId="0" borderId="0" xfId="0" applyFont="1" applyAlignment="1">
      <alignment horizontal="right" wrapText="1"/>
    </xf>
    <xf numFmtId="0" fontId="67" fillId="26" borderId="0" xfId="0" applyFont="1" applyFill="1"/>
    <xf numFmtId="0" fontId="67" fillId="26" borderId="0" xfId="0" applyFont="1" applyFill="1" applyAlignment="1">
      <alignment vertical="center"/>
    </xf>
    <xf numFmtId="0" fontId="78" fillId="24" borderId="12" xfId="1" applyNumberFormat="1" applyFont="1" applyFill="1" applyBorder="1" applyAlignment="1" applyProtection="1">
      <alignment horizontal="left" indent="1"/>
    </xf>
    <xf numFmtId="0" fontId="78" fillId="24" borderId="10" xfId="1" applyNumberFormat="1" applyFont="1" applyFill="1" applyBorder="1" applyAlignment="1" applyProtection="1"/>
    <xf numFmtId="0" fontId="40" fillId="24" borderId="10" xfId="0" applyFont="1" applyFill="1" applyBorder="1" applyAlignment="1">
      <alignment horizontal="center"/>
    </xf>
    <xf numFmtId="0" fontId="40" fillId="24" borderId="10" xfId="0" applyFont="1" applyFill="1" applyBorder="1"/>
    <xf numFmtId="0" fontId="26" fillId="16" borderId="0" xfId="0" applyFont="1" applyFill="1" applyAlignment="1">
      <alignment horizontal="center" vertical="center" wrapText="1"/>
    </xf>
    <xf numFmtId="0" fontId="26" fillId="5" borderId="293" xfId="0" applyFont="1" applyFill="1" applyBorder="1" applyAlignment="1">
      <alignment horizontal="center" vertical="center" wrapText="1"/>
    </xf>
    <xf numFmtId="0" fontId="67" fillId="0" borderId="234" xfId="0" applyFont="1" applyBorder="1" applyAlignment="1">
      <alignment horizontal="right"/>
    </xf>
    <xf numFmtId="0" fontId="26" fillId="17" borderId="294" xfId="0" applyFont="1" applyFill="1" applyBorder="1" applyAlignment="1">
      <alignment horizontal="center" vertical="center" wrapText="1"/>
    </xf>
    <xf numFmtId="0" fontId="67" fillId="0" borderId="233" xfId="0" applyFont="1" applyBorder="1" applyAlignment="1">
      <alignment horizontal="right"/>
    </xf>
    <xf numFmtId="0" fontId="26" fillId="16" borderId="293" xfId="0" applyFont="1" applyFill="1" applyBorder="1" applyAlignment="1">
      <alignment horizontal="center" vertical="center" wrapText="1"/>
    </xf>
    <xf numFmtId="0" fontId="26" fillId="7" borderId="293" xfId="0" applyFont="1" applyFill="1" applyBorder="1" applyAlignment="1">
      <alignment horizontal="center" vertical="center" wrapText="1"/>
    </xf>
    <xf numFmtId="0" fontId="26" fillId="7" borderId="294" xfId="0" applyFont="1" applyFill="1" applyBorder="1" applyAlignment="1">
      <alignment horizontal="center" vertical="center" wrapText="1"/>
    </xf>
    <xf numFmtId="0" fontId="78" fillId="24" borderId="12" xfId="1" applyNumberFormat="1" applyFont="1" applyFill="1" applyBorder="1" applyAlignment="1" applyProtection="1">
      <alignment horizontal="left"/>
    </xf>
    <xf numFmtId="3" fontId="9" fillId="23" borderId="0" xfId="0" applyNumberFormat="1" applyFont="1" applyFill="1" applyAlignment="1" applyProtection="1">
      <alignment horizontal="right" indent="2"/>
      <protection locked="0"/>
    </xf>
    <xf numFmtId="3" fontId="9" fillId="19" borderId="0" xfId="0" applyNumberFormat="1" applyFont="1" applyFill="1" applyAlignment="1" applyProtection="1">
      <alignment horizontal="center"/>
      <protection locked="0"/>
    </xf>
    <xf numFmtId="0" fontId="4" fillId="0" borderId="0" xfId="0" applyFont="1" applyAlignment="1">
      <alignment vertical="top"/>
    </xf>
    <xf numFmtId="0" fontId="9" fillId="0" borderId="28" xfId="0" applyFont="1" applyBorder="1"/>
    <xf numFmtId="0" fontId="9" fillId="0" borderId="9" xfId="0" applyFont="1" applyBorder="1"/>
    <xf numFmtId="0" fontId="83" fillId="0" borderId="7" xfId="0" applyFont="1" applyBorder="1" applyAlignment="1">
      <alignment horizontal="center" vertical="center"/>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37" xfId="0" applyFont="1" applyBorder="1" applyAlignment="1">
      <alignment horizontal="center" vertical="center" wrapText="1"/>
    </xf>
    <xf numFmtId="0" fontId="9" fillId="0" borderId="35" xfId="0" applyFont="1" applyBorder="1" applyAlignment="1">
      <alignment horizontal="center" vertical="center" wrapText="1"/>
    </xf>
    <xf numFmtId="0" fontId="7" fillId="0" borderId="0" xfId="0" applyFont="1" applyAlignment="1">
      <alignment horizontal="center" vertical="center" wrapText="1"/>
    </xf>
    <xf numFmtId="0" fontId="0" fillId="0" borderId="28" xfId="0" applyBorder="1"/>
    <xf numFmtId="0" fontId="0" fillId="0" borderId="30" xfId="0" applyBorder="1"/>
    <xf numFmtId="0" fontId="0" fillId="0" borderId="29" xfId="0" applyBorder="1"/>
    <xf numFmtId="0" fontId="108" fillId="0" borderId="0" xfId="0" applyFont="1" applyAlignment="1">
      <alignment horizontal="right"/>
    </xf>
    <xf numFmtId="0" fontId="77" fillId="0" borderId="3" xfId="1" applyNumberFormat="1" applyFont="1" applyFill="1" applyBorder="1" applyAlignment="1" applyProtection="1">
      <alignment horizontal="left" indent="2"/>
    </xf>
    <xf numFmtId="0" fontId="77" fillId="0" borderId="3" xfId="1" applyNumberFormat="1" applyFont="1" applyFill="1" applyBorder="1" applyAlignment="1" applyProtection="1"/>
    <xf numFmtId="0" fontId="77" fillId="0" borderId="12" xfId="1" applyNumberFormat="1" applyFont="1" applyFill="1" applyBorder="1" applyAlignment="1" applyProtection="1"/>
    <xf numFmtId="0" fontId="79" fillId="0" borderId="13" xfId="1" applyNumberFormat="1" applyFont="1" applyFill="1" applyBorder="1" applyAlignment="1" applyProtection="1">
      <alignment horizontal="left" indent="3"/>
    </xf>
    <xf numFmtId="0" fontId="39" fillId="0" borderId="3" xfId="0" applyFont="1" applyBorder="1"/>
    <xf numFmtId="0" fontId="6" fillId="0" borderId="0" xfId="0" applyFont="1" applyAlignment="1">
      <alignment horizontal="center"/>
    </xf>
    <xf numFmtId="165" fontId="9" fillId="24" borderId="0" xfId="0" applyNumberFormat="1" applyFont="1" applyFill="1"/>
    <xf numFmtId="0" fontId="39" fillId="24" borderId="0" xfId="0" applyFont="1" applyFill="1"/>
    <xf numFmtId="0" fontId="67" fillId="0" borderId="30" xfId="0" applyFont="1" applyBorder="1"/>
    <xf numFmtId="0" fontId="39" fillId="0" borderId="30" xfId="0" applyFont="1" applyBorder="1" applyAlignment="1">
      <alignment horizontal="center" vertical="center" wrapText="1"/>
    </xf>
    <xf numFmtId="165" fontId="9" fillId="24" borderId="30" xfId="0" applyNumberFormat="1" applyFont="1" applyFill="1" applyBorder="1"/>
    <xf numFmtId="0" fontId="9" fillId="24" borderId="30" xfId="0" applyFont="1" applyFill="1" applyBorder="1"/>
    <xf numFmtId="165" fontId="9" fillId="24" borderId="29" xfId="0" applyNumberFormat="1" applyFont="1" applyFill="1" applyBorder="1"/>
    <xf numFmtId="0" fontId="83" fillId="0" borderId="0" xfId="0" applyFont="1" applyAlignment="1">
      <alignment horizontal="center" vertical="top"/>
    </xf>
    <xf numFmtId="0" fontId="83" fillId="0" borderId="0" xfId="0" applyFont="1" applyAlignment="1" applyProtection="1">
      <alignment horizontal="centerContinuous"/>
      <protection hidden="1"/>
    </xf>
    <xf numFmtId="0" fontId="31" fillId="2" borderId="5" xfId="0" applyFont="1" applyFill="1" applyBorder="1"/>
    <xf numFmtId="0" fontId="31" fillId="0" borderId="5" xfId="0" applyFont="1" applyBorder="1"/>
    <xf numFmtId="0" fontId="4" fillId="0" borderId="135" xfId="0" applyFont="1" applyBorder="1" applyAlignment="1" applyProtection="1">
      <alignment horizontal="center" vertical="top"/>
      <protection hidden="1"/>
    </xf>
    <xf numFmtId="0" fontId="4" fillId="0" borderId="24" xfId="0" applyFont="1" applyBorder="1" applyAlignment="1" applyProtection="1">
      <alignment horizontal="center" vertical="top"/>
      <protection hidden="1"/>
    </xf>
    <xf numFmtId="0" fontId="113" fillId="0" borderId="24" xfId="0" applyFont="1" applyBorder="1" applyAlignment="1" applyProtection="1">
      <alignment horizontal="center" vertical="top"/>
      <protection hidden="1"/>
    </xf>
    <xf numFmtId="0" fontId="113" fillId="0" borderId="142" xfId="0" applyFont="1" applyBorder="1" applyAlignment="1" applyProtection="1">
      <alignment horizontal="center" vertical="top" wrapText="1"/>
      <protection hidden="1"/>
    </xf>
    <xf numFmtId="0" fontId="113" fillId="0" borderId="9" xfId="0" applyFont="1" applyBorder="1" applyAlignment="1" applyProtection="1">
      <alignment horizontal="center" vertical="top" wrapText="1"/>
      <protection hidden="1"/>
    </xf>
    <xf numFmtId="0" fontId="113" fillId="0" borderId="35" xfId="0" applyFont="1" applyBorder="1" applyAlignment="1" applyProtection="1">
      <alignment horizontal="center" vertical="top" wrapText="1"/>
      <protection hidden="1"/>
    </xf>
    <xf numFmtId="0" fontId="113" fillId="0" borderId="10" xfId="0" applyFont="1" applyBorder="1" applyAlignment="1" applyProtection="1">
      <alignment horizontal="center" vertical="top" wrapText="1"/>
      <protection hidden="1"/>
    </xf>
    <xf numFmtId="0" fontId="113" fillId="0" borderId="29" xfId="0" applyFont="1" applyBorder="1" applyAlignment="1" applyProtection="1">
      <alignment horizontal="center" vertical="top" wrapText="1"/>
      <protection hidden="1"/>
    </xf>
    <xf numFmtId="0" fontId="113" fillId="0" borderId="37" xfId="0" applyFont="1" applyBorder="1" applyAlignment="1" applyProtection="1">
      <alignment horizontal="center" vertical="top" wrapText="1"/>
      <protection hidden="1"/>
    </xf>
    <xf numFmtId="0" fontId="113" fillId="0" borderId="143" xfId="0" applyFont="1" applyBorder="1" applyAlignment="1" applyProtection="1">
      <alignment horizontal="center" vertical="top" wrapText="1"/>
      <protection hidden="1"/>
    </xf>
    <xf numFmtId="0" fontId="57" fillId="0" borderId="118" xfId="0" applyFont="1" applyBorder="1" applyAlignment="1" applyProtection="1">
      <alignment horizontal="center" vertical="top"/>
      <protection hidden="1"/>
    </xf>
    <xf numFmtId="0" fontId="57" fillId="0" borderId="33" xfId="0" applyFont="1" applyBorder="1" applyAlignment="1" applyProtection="1">
      <alignment horizontal="center" vertical="top"/>
      <protection hidden="1"/>
    </xf>
    <xf numFmtId="0" fontId="57" fillId="0" borderId="154" xfId="0" applyFont="1" applyBorder="1" applyAlignment="1" applyProtection="1">
      <alignment horizontal="center" vertical="top"/>
      <protection hidden="1"/>
    </xf>
    <xf numFmtId="0" fontId="57" fillId="0" borderId="26" xfId="0" applyFont="1" applyBorder="1" applyAlignment="1" applyProtection="1">
      <alignment horizontal="center" vertical="top"/>
      <protection hidden="1"/>
    </xf>
    <xf numFmtId="0" fontId="57" fillId="0" borderId="27" xfId="0" applyFont="1" applyBorder="1" applyAlignment="1" applyProtection="1">
      <alignment horizontal="center" vertical="top"/>
      <protection hidden="1"/>
    </xf>
    <xf numFmtId="0" fontId="57" fillId="0" borderId="27" xfId="0" applyFont="1" applyBorder="1" applyAlignment="1">
      <alignment horizontal="center" vertical="top"/>
    </xf>
    <xf numFmtId="0" fontId="4" fillId="0" borderId="128" xfId="0" applyFont="1" applyBorder="1" applyAlignment="1">
      <alignment horizontal="center"/>
    </xf>
    <xf numFmtId="0" fontId="57" fillId="0" borderId="144" xfId="0" applyFont="1" applyBorder="1" applyAlignment="1">
      <alignment horizontal="center" vertical="center" wrapText="1"/>
    </xf>
    <xf numFmtId="0" fontId="57" fillId="0" borderId="73" xfId="0" applyFont="1" applyBorder="1" applyAlignment="1">
      <alignment horizontal="center" vertical="center" wrapText="1"/>
    </xf>
    <xf numFmtId="0" fontId="57" fillId="0" borderId="129" xfId="0" applyFont="1" applyBorder="1" applyAlignment="1">
      <alignment horizontal="center" vertical="center" wrapText="1"/>
    </xf>
    <xf numFmtId="0" fontId="57" fillId="0" borderId="145" xfId="0" applyFont="1" applyBorder="1" applyAlignment="1">
      <alignment horizontal="center" vertical="center" wrapText="1"/>
    </xf>
    <xf numFmtId="0" fontId="57" fillId="0" borderId="132" xfId="0" applyFont="1" applyBorder="1" applyAlignment="1">
      <alignment horizontal="center" vertical="center" wrapText="1"/>
    </xf>
    <xf numFmtId="0" fontId="57" fillId="0" borderId="129" xfId="0" quotePrefix="1" applyFont="1" applyBorder="1" applyAlignment="1">
      <alignment horizontal="center" wrapText="1"/>
    </xf>
    <xf numFmtId="0" fontId="57" fillId="0" borderId="34" xfId="0" quotePrefix="1" applyFont="1" applyBorder="1" applyAlignment="1">
      <alignment horizontal="center" wrapText="1"/>
    </xf>
    <xf numFmtId="0" fontId="57" fillId="0" borderId="130" xfId="0" quotePrefix="1" applyFont="1" applyBorder="1" applyAlignment="1">
      <alignment horizontal="center" wrapText="1"/>
    </xf>
    <xf numFmtId="0" fontId="57" fillId="0" borderId="27" xfId="0" quotePrefix="1" applyFont="1" applyBorder="1" applyAlignment="1">
      <alignment horizontal="center" wrapText="1"/>
    </xf>
    <xf numFmtId="0" fontId="57" fillId="0" borderId="131" xfId="0" quotePrefix="1" applyFont="1" applyBorder="1" applyAlignment="1">
      <alignment horizontal="center" wrapText="1"/>
    </xf>
    <xf numFmtId="0" fontId="57" fillId="0" borderId="83" xfId="0" quotePrefix="1" applyFont="1" applyBorder="1" applyAlignment="1">
      <alignment horizontal="center" wrapText="1"/>
    </xf>
    <xf numFmtId="0" fontId="57" fillId="0" borderId="25" xfId="0" quotePrefix="1" applyFont="1" applyBorder="1" applyAlignment="1">
      <alignment horizontal="center" vertical="top" wrapText="1"/>
    </xf>
    <xf numFmtId="0" fontId="57" fillId="0" borderId="9" xfId="0" quotePrefix="1" applyFont="1" applyBorder="1" applyAlignment="1">
      <alignment horizontal="center" vertical="center" wrapText="1"/>
    </xf>
    <xf numFmtId="0" fontId="57" fillId="0" borderId="27" xfId="0" quotePrefix="1" applyFont="1" applyBorder="1" applyAlignment="1">
      <alignment horizontal="center" vertical="center" wrapText="1"/>
    </xf>
    <xf numFmtId="0" fontId="57" fillId="0" borderId="149" xfId="0" quotePrefix="1" applyFont="1" applyBorder="1" applyAlignment="1">
      <alignment horizontal="center" vertical="center" wrapText="1"/>
    </xf>
    <xf numFmtId="0" fontId="57" fillId="0" borderId="27" xfId="0" quotePrefix="1" applyFont="1" applyBorder="1" applyAlignment="1">
      <alignment horizontal="center" vertical="top" wrapText="1"/>
    </xf>
    <xf numFmtId="0" fontId="83" fillId="2" borderId="0" xfId="0" applyFont="1" applyFill="1" applyAlignment="1">
      <alignment horizontal="right"/>
    </xf>
    <xf numFmtId="0" fontId="113" fillId="2" borderId="98" xfId="0" applyFont="1" applyFill="1" applyBorder="1" applyAlignment="1" applyProtection="1">
      <alignment vertical="top" wrapText="1"/>
      <protection hidden="1"/>
    </xf>
    <xf numFmtId="0" fontId="31" fillId="2" borderId="0" xfId="0" applyFont="1" applyFill="1"/>
    <xf numFmtId="0" fontId="113" fillId="2" borderId="1" xfId="0" applyFont="1" applyFill="1" applyBorder="1" applyAlignment="1" applyProtection="1">
      <alignment horizontal="centerContinuous" wrapText="1"/>
      <protection hidden="1"/>
    </xf>
    <xf numFmtId="0" fontId="57" fillId="2" borderId="164" xfId="0" applyFont="1" applyFill="1" applyBorder="1" applyAlignment="1">
      <alignment horizontal="center" vertical="top" wrapText="1"/>
    </xf>
    <xf numFmtId="0" fontId="113" fillId="2" borderId="157" xfId="0" applyFont="1" applyFill="1" applyBorder="1" applyAlignment="1" applyProtection="1">
      <alignment horizontal="centerContinuous" vertical="center" wrapText="1"/>
      <protection hidden="1"/>
    </xf>
    <xf numFmtId="0" fontId="113" fillId="2" borderId="165" xfId="0" applyFont="1" applyFill="1" applyBorder="1" applyAlignment="1">
      <alignment horizontal="centerContinuous" vertical="center" wrapText="1"/>
    </xf>
    <xf numFmtId="0" fontId="57" fillId="2" borderId="166" xfId="0" quotePrefix="1" applyFont="1" applyFill="1" applyBorder="1" applyAlignment="1">
      <alignment horizontal="center" vertical="center" wrapText="1"/>
    </xf>
    <xf numFmtId="0" fontId="57" fillId="2" borderId="142" xfId="0" applyFont="1" applyFill="1" applyBorder="1" applyAlignment="1" applyProtection="1">
      <alignment vertical="center" wrapText="1"/>
      <protection hidden="1"/>
    </xf>
    <xf numFmtId="0" fontId="57" fillId="2" borderId="0" xfId="0" applyFont="1" applyFill="1" applyAlignment="1">
      <alignment horizontal="center" vertical="top" wrapText="1"/>
    </xf>
    <xf numFmtId="0" fontId="83" fillId="2" borderId="0" xfId="0" applyFont="1" applyFill="1" applyAlignment="1" applyProtection="1">
      <alignment horizontal="centerContinuous" wrapText="1"/>
      <protection hidden="1"/>
    </xf>
    <xf numFmtId="0" fontId="83" fillId="2" borderId="0" xfId="0" applyFont="1" applyFill="1" applyAlignment="1">
      <alignment horizontal="centerContinuous" wrapText="1"/>
    </xf>
    <xf numFmtId="0" fontId="57" fillId="2" borderId="0" xfId="0" applyFont="1" applyFill="1" applyAlignment="1">
      <alignment vertical="top" wrapText="1"/>
    </xf>
    <xf numFmtId="0" fontId="57" fillId="2" borderId="160" xfId="0" applyFont="1" applyFill="1" applyBorder="1" applyAlignment="1" applyProtection="1">
      <alignment vertical="center" wrapText="1"/>
      <protection hidden="1"/>
    </xf>
    <xf numFmtId="0" fontId="57" fillId="2" borderId="167" xfId="0" quotePrefix="1" applyFont="1" applyFill="1" applyBorder="1" applyAlignment="1">
      <alignment horizontal="center" vertical="center" wrapText="1"/>
    </xf>
    <xf numFmtId="0" fontId="57" fillId="2" borderId="161" xfId="0" applyFont="1" applyFill="1" applyBorder="1" applyAlignment="1" applyProtection="1">
      <alignment vertical="center" wrapText="1"/>
      <protection hidden="1"/>
    </xf>
    <xf numFmtId="0" fontId="57" fillId="2" borderId="168" xfId="0" quotePrefix="1" applyFont="1" applyFill="1" applyBorder="1" applyAlignment="1">
      <alignment horizontal="center" vertical="center" wrapText="1"/>
    </xf>
    <xf numFmtId="0" fontId="83" fillId="2" borderId="0" xfId="0" applyFont="1" applyFill="1" applyAlignment="1" applyProtection="1">
      <alignment horizontal="centerContinuous" vertical="top" wrapText="1"/>
      <protection hidden="1"/>
    </xf>
    <xf numFmtId="0" fontId="88" fillId="0" borderId="0" xfId="1" applyFont="1" applyFill="1" applyBorder="1" applyAlignment="1" applyProtection="1"/>
    <xf numFmtId="0" fontId="114" fillId="0" borderId="0" xfId="0" applyFont="1" applyAlignment="1">
      <alignment horizontal="center"/>
    </xf>
    <xf numFmtId="0" fontId="96" fillId="0" borderId="0" xfId="0" applyFont="1"/>
    <xf numFmtId="0" fontId="9" fillId="26" borderId="0" xfId="0" applyFont="1" applyFill="1" applyAlignment="1">
      <alignment horizontal="center" vertical="center"/>
    </xf>
    <xf numFmtId="0" fontId="9" fillId="0" borderId="261" xfId="0" applyFont="1" applyBorder="1"/>
    <xf numFmtId="3" fontId="39" fillId="0" borderId="261" xfId="0" applyNumberFormat="1" applyFont="1" applyBorder="1"/>
    <xf numFmtId="1" fontId="9" fillId="0" borderId="261" xfId="0" applyNumberFormat="1" applyFont="1" applyBorder="1"/>
    <xf numFmtId="1" fontId="39" fillId="0" borderId="261" xfId="0" applyNumberFormat="1" applyFont="1" applyBorder="1"/>
    <xf numFmtId="0" fontId="39" fillId="0" borderId="261" xfId="0" applyFont="1" applyBorder="1"/>
    <xf numFmtId="0" fontId="40" fillId="0" borderId="10" xfId="0" applyFont="1" applyBorder="1"/>
    <xf numFmtId="9" fontId="9" fillId="0" borderId="0" xfId="2" applyFont="1" applyAlignment="1">
      <alignment horizontal="center"/>
    </xf>
    <xf numFmtId="9" fontId="9" fillId="0" borderId="263" xfId="2" applyFont="1" applyBorder="1" applyAlignment="1">
      <alignment horizontal="center"/>
    </xf>
    <xf numFmtId="0" fontId="0" fillId="24" borderId="263" xfId="0" applyFill="1" applyBorder="1"/>
    <xf numFmtId="0" fontId="9" fillId="0" borderId="290" xfId="0" applyFont="1" applyBorder="1"/>
    <xf numFmtId="169" fontId="9" fillId="0" borderId="261" xfId="2" applyNumberFormat="1" applyFont="1" applyBorder="1" applyAlignment="1">
      <alignment horizontal="center"/>
    </xf>
    <xf numFmtId="169" fontId="9" fillId="24" borderId="261" xfId="2" applyNumberFormat="1" applyFont="1" applyFill="1" applyBorder="1" applyAlignment="1">
      <alignment horizontal="center"/>
    </xf>
    <xf numFmtId="0" fontId="40" fillId="0" borderId="252" xfId="0" applyFont="1" applyBorder="1" applyAlignment="1">
      <alignment horizontal="center" vertical="center"/>
    </xf>
    <xf numFmtId="0" fontId="0" fillId="0" borderId="290" xfId="0" applyBorder="1"/>
    <xf numFmtId="0" fontId="40" fillId="0" borderId="34" xfId="0" applyFont="1" applyBorder="1"/>
    <xf numFmtId="0" fontId="7" fillId="0" borderId="5" xfId="0" applyFont="1" applyBorder="1" applyAlignment="1">
      <alignment vertical="center"/>
    </xf>
    <xf numFmtId="0" fontId="81" fillId="0" borderId="34" xfId="0" applyFont="1" applyBorder="1" applyAlignment="1">
      <alignment horizontal="left" vertical="center"/>
    </xf>
    <xf numFmtId="0" fontId="40" fillId="0" borderId="34" xfId="0" applyFont="1" applyBorder="1" applyAlignment="1">
      <alignment horizontal="right"/>
    </xf>
    <xf numFmtId="0" fontId="9" fillId="0" borderId="34" xfId="0" applyFont="1" applyBorder="1" applyAlignment="1">
      <alignment horizontal="left" indent="1"/>
    </xf>
    <xf numFmtId="9" fontId="35" fillId="0" borderId="0" xfId="2" applyFont="1"/>
    <xf numFmtId="169" fontId="35" fillId="0" borderId="0" xfId="2" applyNumberFormat="1" applyFont="1"/>
    <xf numFmtId="0" fontId="101" fillId="0" borderId="34" xfId="0" applyFont="1" applyBorder="1" applyAlignment="1">
      <alignment horizontal="center" vertical="center"/>
    </xf>
    <xf numFmtId="0" fontId="67" fillId="0" borderId="0" xfId="0" applyFont="1" applyAlignment="1">
      <alignment horizontal="right" vertical="top"/>
    </xf>
    <xf numFmtId="0" fontId="7" fillId="0" borderId="36" xfId="0" applyFont="1" applyBorder="1" applyAlignment="1">
      <alignment horizontal="right" vertical="top"/>
    </xf>
    <xf numFmtId="0" fontId="35" fillId="0" borderId="36" xfId="0" applyFont="1" applyBorder="1" applyAlignment="1">
      <alignment horizontal="right" vertical="center"/>
    </xf>
    <xf numFmtId="0" fontId="35" fillId="0" borderId="31" xfId="0" applyFont="1" applyBorder="1" applyAlignment="1">
      <alignment horizontal="right" vertical="center"/>
    </xf>
    <xf numFmtId="0" fontId="35" fillId="0" borderId="31" xfId="0" applyFont="1" applyBorder="1" applyAlignment="1">
      <alignment horizontal="right"/>
    </xf>
    <xf numFmtId="0" fontId="9" fillId="26" borderId="0" xfId="0" applyFont="1" applyFill="1" applyAlignment="1">
      <alignment horizontal="left"/>
    </xf>
    <xf numFmtId="0" fontId="40" fillId="0" borderId="263" xfId="0" applyFont="1" applyBorder="1"/>
    <xf numFmtId="0" fontId="40" fillId="0" borderId="266" xfId="0" applyFont="1" applyBorder="1"/>
    <xf numFmtId="0" fontId="40" fillId="24" borderId="250" xfId="0" applyFont="1" applyFill="1" applyBorder="1" applyAlignment="1">
      <alignment horizontal="center" vertical="center" wrapText="1"/>
    </xf>
    <xf numFmtId="0" fontId="9" fillId="24" borderId="274" xfId="0" applyFont="1" applyFill="1" applyBorder="1"/>
    <xf numFmtId="0" fontId="9" fillId="24" borderId="263" xfId="0" applyFont="1" applyFill="1" applyBorder="1"/>
    <xf numFmtId="3" fontId="9" fillId="0" borderId="281" xfId="0" applyNumberFormat="1" applyFont="1" applyBorder="1"/>
    <xf numFmtId="3" fontId="9" fillId="0" borderId="261" xfId="0" applyNumberFormat="1" applyFont="1" applyBorder="1"/>
    <xf numFmtId="0" fontId="9" fillId="0" borderId="0" xfId="0" applyFont="1" applyProtection="1">
      <protection locked="0"/>
    </xf>
    <xf numFmtId="3" fontId="39" fillId="0" borderId="0" xfId="0" applyNumberFormat="1" applyFont="1" applyProtection="1">
      <protection locked="0"/>
    </xf>
    <xf numFmtId="0" fontId="81" fillId="0" borderId="34" xfId="0" applyFont="1" applyBorder="1" applyAlignment="1">
      <alignment vertical="center"/>
    </xf>
    <xf numFmtId="0" fontId="40" fillId="0" borderId="282" xfId="0" applyFont="1" applyBorder="1" applyAlignment="1">
      <alignment horizontal="center" vertical="center"/>
    </xf>
    <xf numFmtId="0" fontId="69" fillId="0" borderId="271" xfId="0" applyFont="1" applyBorder="1"/>
    <xf numFmtId="0" fontId="96" fillId="0" borderId="271" xfId="0" applyFont="1" applyBorder="1"/>
    <xf numFmtId="0" fontId="0" fillId="7" borderId="232" xfId="0" applyFill="1" applyBorder="1" applyAlignment="1">
      <alignment wrapText="1"/>
    </xf>
    <xf numFmtId="0" fontId="0" fillId="7" borderId="230" xfId="0" applyFill="1" applyBorder="1" applyAlignment="1">
      <alignment wrapText="1"/>
    </xf>
    <xf numFmtId="0" fontId="0" fillId="7" borderId="0" xfId="0" applyFill="1" applyAlignment="1">
      <alignment wrapText="1"/>
    </xf>
    <xf numFmtId="0" fontId="0" fillId="5" borderId="232" xfId="0" applyFill="1" applyBorder="1" applyAlignment="1">
      <alignment wrapText="1"/>
    </xf>
    <xf numFmtId="0" fontId="0" fillId="5" borderId="230" xfId="0" applyFill="1" applyBorder="1" applyAlignment="1">
      <alignment wrapText="1"/>
    </xf>
    <xf numFmtId="0" fontId="4" fillId="5" borderId="0" xfId="0" applyFont="1" applyFill="1" applyAlignment="1">
      <alignment wrapText="1"/>
    </xf>
    <xf numFmtId="0" fontId="4" fillId="5" borderId="232" xfId="0" applyFont="1" applyFill="1" applyBorder="1" applyAlignment="1">
      <alignment wrapText="1"/>
    </xf>
    <xf numFmtId="0" fontId="4" fillId="5" borderId="230" xfId="0" applyFont="1" applyFill="1" applyBorder="1" applyAlignment="1">
      <alignment wrapText="1"/>
    </xf>
    <xf numFmtId="0" fontId="4" fillId="17" borderId="232" xfId="0" applyFont="1" applyFill="1" applyBorder="1" applyAlignment="1">
      <alignment wrapText="1"/>
    </xf>
    <xf numFmtId="0" fontId="4" fillId="17" borderId="230" xfId="0" applyFont="1" applyFill="1" applyBorder="1" applyAlignment="1">
      <alignment wrapText="1"/>
    </xf>
    <xf numFmtId="0" fontId="26" fillId="17" borderId="216" xfId="1" applyNumberFormat="1" applyFont="1" applyFill="1" applyBorder="1" applyAlignment="1" applyProtection="1">
      <alignment vertical="center" wrapText="1"/>
    </xf>
    <xf numFmtId="0" fontId="4" fillId="16" borderId="232" xfId="0" applyFont="1" applyFill="1" applyBorder="1" applyAlignment="1">
      <alignment wrapText="1"/>
    </xf>
    <xf numFmtId="0" fontId="4" fillId="16" borderId="230" xfId="0" applyFont="1" applyFill="1" applyBorder="1" applyAlignment="1">
      <alignment wrapText="1"/>
    </xf>
    <xf numFmtId="0" fontId="4" fillId="16" borderId="0" xfId="0" applyFont="1" applyFill="1" applyAlignment="1">
      <alignment wrapText="1"/>
    </xf>
    <xf numFmtId="0" fontId="4" fillId="6" borderId="232" xfId="0" applyFont="1" applyFill="1" applyBorder="1" applyAlignment="1">
      <alignment wrapText="1"/>
    </xf>
    <xf numFmtId="0" fontId="4" fillId="6" borderId="230" xfId="0" applyFont="1" applyFill="1" applyBorder="1" applyAlignment="1">
      <alignment wrapText="1"/>
    </xf>
    <xf numFmtId="0" fontId="4" fillId="6" borderId="0" xfId="0" applyFont="1" applyFill="1" applyAlignment="1">
      <alignment wrapText="1"/>
    </xf>
    <xf numFmtId="0" fontId="4" fillId="13" borderId="232" xfId="0" applyFont="1" applyFill="1" applyBorder="1" applyAlignment="1">
      <alignment wrapText="1"/>
    </xf>
    <xf numFmtId="0" fontId="4" fillId="13" borderId="230" xfId="0" applyFont="1" applyFill="1" applyBorder="1" applyAlignment="1">
      <alignment wrapText="1"/>
    </xf>
    <xf numFmtId="0" fontId="4" fillId="4" borderId="0" xfId="0" applyFont="1" applyFill="1" applyAlignment="1">
      <alignment wrapText="1"/>
    </xf>
    <xf numFmtId="0" fontId="0" fillId="4" borderId="0" xfId="0" applyFill="1" applyAlignment="1">
      <alignment wrapText="1"/>
    </xf>
    <xf numFmtId="0" fontId="86" fillId="0" borderId="0" xfId="0" applyFont="1"/>
    <xf numFmtId="0" fontId="86" fillId="0" borderId="0" xfId="0" applyFont="1" applyAlignment="1">
      <alignment horizontal="left"/>
    </xf>
    <xf numFmtId="0" fontId="115" fillId="0" borderId="0" xfId="0" applyFont="1"/>
    <xf numFmtId="3" fontId="40" fillId="0" borderId="0" xfId="0" applyNumberFormat="1" applyFont="1"/>
    <xf numFmtId="0" fontId="9" fillId="0" borderId="0" xfId="0" applyFont="1" applyAlignment="1">
      <alignment wrapText="1"/>
    </xf>
    <xf numFmtId="0" fontId="7" fillId="26" borderId="0" xfId="0" applyFont="1" applyFill="1"/>
    <xf numFmtId="0" fontId="77" fillId="0" borderId="302" xfId="1" applyNumberFormat="1" applyFont="1" applyFill="1" applyBorder="1" applyAlignment="1" applyProtection="1">
      <alignment horizontal="left"/>
    </xf>
    <xf numFmtId="0" fontId="77" fillId="0" borderId="302" xfId="1" applyNumberFormat="1" applyFont="1" applyFill="1" applyBorder="1" applyAlignment="1" applyProtection="1">
      <alignment horizontal="left" indent="1"/>
    </xf>
    <xf numFmtId="0" fontId="9" fillId="0" borderId="302" xfId="0" applyFont="1" applyBorder="1" applyAlignment="1">
      <alignment horizontal="left" indent="1"/>
    </xf>
    <xf numFmtId="0" fontId="77" fillId="0" borderId="302" xfId="1" applyNumberFormat="1" applyFont="1" applyFill="1" applyBorder="1" applyAlignment="1" applyProtection="1">
      <alignment horizontal="left" indent="2"/>
    </xf>
    <xf numFmtId="0" fontId="79" fillId="0" borderId="302" xfId="1" applyNumberFormat="1" applyFont="1" applyFill="1" applyBorder="1" applyAlignment="1" applyProtection="1">
      <alignment horizontal="left" indent="3"/>
    </xf>
    <xf numFmtId="0" fontId="9" fillId="0" borderId="303" xfId="0" applyFont="1" applyBorder="1" applyAlignment="1">
      <alignment horizontal="left" indent="1"/>
    </xf>
    <xf numFmtId="0" fontId="9" fillId="0" borderId="238" xfId="0" applyFont="1" applyBorder="1" applyAlignment="1">
      <alignment horizontal="left" indent="1"/>
    </xf>
    <xf numFmtId="9" fontId="40" fillId="0" borderId="0" xfId="0" applyNumberFormat="1" applyFont="1" applyAlignment="1">
      <alignment horizontal="left"/>
    </xf>
    <xf numFmtId="0" fontId="30" fillId="26" borderId="0" xfId="0" applyFont="1" applyFill="1"/>
    <xf numFmtId="0" fontId="9" fillId="0" borderId="282" xfId="0" applyFont="1" applyBorder="1" applyAlignment="1">
      <alignment horizontal="right"/>
    </xf>
    <xf numFmtId="0" fontId="0" fillId="0" borderId="272" xfId="0" applyBorder="1"/>
    <xf numFmtId="0" fontId="9" fillId="0" borderId="273" xfId="0" quotePrefix="1" applyFont="1" applyBorder="1" applyAlignment="1">
      <alignment horizontal="center"/>
    </xf>
    <xf numFmtId="0" fontId="40" fillId="14" borderId="0" xfId="0" applyFont="1" applyFill="1" applyAlignment="1">
      <alignment horizontal="center" vertical="center" wrapText="1"/>
    </xf>
    <xf numFmtId="0" fontId="40" fillId="14" borderId="31" xfId="0" applyFont="1" applyFill="1" applyBorder="1" applyAlignment="1">
      <alignment horizontal="center" vertical="center" wrapText="1"/>
    </xf>
    <xf numFmtId="0" fontId="9" fillId="12" borderId="31" xfId="0" applyFont="1" applyFill="1" applyBorder="1"/>
    <xf numFmtId="0" fontId="40" fillId="0" borderId="38" xfId="0" applyFont="1" applyBorder="1" applyAlignment="1">
      <alignment horizontal="center"/>
    </xf>
    <xf numFmtId="0" fontId="40" fillId="30" borderId="31" xfId="0" applyFont="1" applyFill="1" applyBorder="1" applyAlignment="1">
      <alignment horizontal="center" vertical="center"/>
    </xf>
    <xf numFmtId="9" fontId="39" fillId="0" borderId="0" xfId="0" applyNumberFormat="1" applyFont="1" applyAlignment="1">
      <alignment horizontal="left" indent="1"/>
    </xf>
    <xf numFmtId="0" fontId="83" fillId="0" borderId="195" xfId="0" applyFont="1" applyBorder="1" applyAlignment="1">
      <alignment vertical="center"/>
    </xf>
    <xf numFmtId="1" fontId="104" fillId="29" borderId="37" xfId="0" applyNumberFormat="1" applyFont="1" applyFill="1" applyBorder="1" applyAlignment="1">
      <alignment horizontal="center" vertical="center"/>
    </xf>
    <xf numFmtId="1" fontId="104" fillId="30" borderId="37" xfId="0" applyNumberFormat="1" applyFont="1" applyFill="1" applyBorder="1" applyAlignment="1">
      <alignment horizontal="center" vertical="center"/>
    </xf>
    <xf numFmtId="0" fontId="9" fillId="0" borderId="0" xfId="0" quotePrefix="1" applyFont="1" applyAlignment="1">
      <alignment horizontal="left" indent="1"/>
    </xf>
    <xf numFmtId="170" fontId="40" fillId="0" borderId="0" xfId="0" applyNumberFormat="1" applyFont="1" applyAlignment="1" applyProtection="1">
      <alignment horizontal="center" vertical="center"/>
      <protection locked="0"/>
    </xf>
    <xf numFmtId="9" fontId="0" fillId="0" borderId="0" xfId="2" applyFont="1"/>
    <xf numFmtId="9" fontId="39" fillId="0" borderId="0" xfId="0" applyNumberFormat="1" applyFont="1" applyAlignment="1">
      <alignment horizontal="left" wrapText="1" indent="1"/>
    </xf>
    <xf numFmtId="9" fontId="9" fillId="24" borderId="263" xfId="2" applyFont="1" applyFill="1" applyBorder="1" applyAlignment="1">
      <alignment horizontal="center"/>
    </xf>
    <xf numFmtId="9" fontId="9" fillId="24" borderId="0" xfId="2" applyFont="1" applyFill="1" applyAlignment="1">
      <alignment horizontal="center"/>
    </xf>
    <xf numFmtId="0" fontId="80" fillId="0" borderId="0" xfId="1" applyFont="1" applyBorder="1" applyAlignment="1" applyProtection="1"/>
    <xf numFmtId="0" fontId="40" fillId="14" borderId="0" xfId="0" applyFont="1" applyFill="1"/>
    <xf numFmtId="0" fontId="9" fillId="11" borderId="0" xfId="0" applyFont="1" applyFill="1"/>
    <xf numFmtId="0" fontId="116" fillId="11" borderId="0" xfId="0" applyFont="1" applyFill="1" applyAlignment="1">
      <alignment horizontal="left" vertical="center"/>
    </xf>
    <xf numFmtId="0" fontId="7" fillId="0" borderId="0" xfId="0" applyFont="1" applyAlignment="1">
      <alignment vertical="center"/>
    </xf>
    <xf numFmtId="0" fontId="39" fillId="0" borderId="0" xfId="0" applyFont="1" applyAlignment="1">
      <alignment vertical="center"/>
    </xf>
    <xf numFmtId="0" fontId="9" fillId="26" borderId="0" xfId="0" applyFont="1" applyFill="1" applyAlignment="1">
      <alignment wrapText="1"/>
    </xf>
    <xf numFmtId="0" fontId="9" fillId="0" borderId="29" xfId="0" applyFont="1" applyBorder="1"/>
    <xf numFmtId="0" fontId="40" fillId="0" borderId="0" xfId="0" applyFont="1" applyAlignment="1">
      <alignment vertical="top"/>
    </xf>
    <xf numFmtId="0" fontId="40" fillId="0" borderId="0" xfId="0" applyFont="1" applyAlignment="1">
      <alignment vertical="top" wrapText="1"/>
    </xf>
    <xf numFmtId="0" fontId="39" fillId="0" borderId="0" xfId="0" applyFont="1" applyAlignment="1">
      <alignment horizontal="right" vertical="top"/>
    </xf>
    <xf numFmtId="0" fontId="39" fillId="0" borderId="0" xfId="0" applyFont="1" applyAlignment="1">
      <alignment vertical="top"/>
    </xf>
    <xf numFmtId="0" fontId="9" fillId="0" borderId="0" xfId="0" applyFont="1" applyAlignment="1">
      <alignment horizontal="left" vertical="top" wrapText="1" indent="1"/>
    </xf>
    <xf numFmtId="0" fontId="62" fillId="11" borderId="0" xfId="0" applyFont="1" applyFill="1" applyAlignment="1">
      <alignment horizontal="left" vertical="center"/>
    </xf>
    <xf numFmtId="0" fontId="39" fillId="0" borderId="0" xfId="0" applyFont="1" applyAlignment="1">
      <alignment horizontal="left" vertical="top" wrapText="1"/>
    </xf>
    <xf numFmtId="9" fontId="39" fillId="0" borderId="0" xfId="2" applyFont="1" applyAlignment="1">
      <alignment horizontal="left" vertical="top" wrapText="1"/>
    </xf>
    <xf numFmtId="0" fontId="88" fillId="0" borderId="0" xfId="1" applyFont="1" applyFill="1" applyAlignment="1" applyProtection="1"/>
    <xf numFmtId="0" fontId="4" fillId="0" borderId="0" xfId="0" applyFont="1" applyAlignment="1">
      <alignment horizontal="left" wrapText="1"/>
    </xf>
    <xf numFmtId="0" fontId="74" fillId="0" borderId="0" xfId="0" applyFont="1"/>
    <xf numFmtId="0" fontId="65" fillId="0" borderId="0" xfId="1" applyFont="1" applyFill="1" applyAlignment="1" applyProtection="1">
      <alignment vertical="center"/>
    </xf>
    <xf numFmtId="0" fontId="10" fillId="0" borderId="0" xfId="0" applyFont="1" applyAlignment="1">
      <alignment vertical="top" wrapText="1"/>
    </xf>
    <xf numFmtId="0" fontId="7" fillId="0" borderId="0" xfId="0" applyFont="1" applyAlignment="1">
      <alignment horizontal="right" vertical="top" wrapText="1"/>
    </xf>
    <xf numFmtId="0" fontId="7" fillId="0" borderId="0" xfId="0" applyFont="1" applyAlignment="1">
      <alignment vertical="top" wrapText="1"/>
    </xf>
    <xf numFmtId="0" fontId="4" fillId="0" borderId="0" xfId="0" applyFont="1" applyAlignment="1">
      <alignment horizontal="left" vertical="top" wrapText="1"/>
    </xf>
    <xf numFmtId="0" fontId="0" fillId="0" borderId="0" xfId="0" applyAlignment="1">
      <alignment wrapText="1"/>
    </xf>
    <xf numFmtId="0" fontId="10" fillId="0" borderId="0" xfId="0" applyFont="1" applyAlignment="1">
      <alignment horizontal="right" vertical="top" wrapText="1"/>
    </xf>
    <xf numFmtId="0" fontId="0" fillId="0" borderId="0" xfId="0" applyAlignment="1">
      <alignment vertical="top" wrapText="1"/>
    </xf>
    <xf numFmtId="0" fontId="35" fillId="0" borderId="10" xfId="0" applyFont="1" applyBorder="1" applyAlignment="1">
      <alignment horizontal="center" vertical="top" wrapText="1"/>
    </xf>
    <xf numFmtId="0" fontId="53" fillId="0" borderId="0" xfId="0" applyFont="1" applyAlignment="1">
      <alignment horizontal="left" vertical="center"/>
    </xf>
    <xf numFmtId="0" fontId="35" fillId="0" borderId="8" xfId="0" applyFont="1" applyBorder="1"/>
    <xf numFmtId="0" fontId="35" fillId="0" borderId="8" xfId="0" applyFont="1" applyBorder="1" applyAlignment="1">
      <alignment horizontal="center" vertical="top" wrapText="1"/>
    </xf>
    <xf numFmtId="172" fontId="118" fillId="0" borderId="8" xfId="0" applyNumberFormat="1" applyFont="1" applyBorder="1" applyAlignment="1">
      <alignment horizontal="right"/>
    </xf>
    <xf numFmtId="172" fontId="118" fillId="0" borderId="8" xfId="0" applyNumberFormat="1" applyFont="1" applyBorder="1"/>
    <xf numFmtId="172" fontId="119" fillId="0" borderId="8" xfId="0" applyNumberFormat="1" applyFont="1" applyBorder="1"/>
    <xf numFmtId="172" fontId="51" fillId="24" borderId="0" xfId="0" applyNumberFormat="1" applyFont="1" applyFill="1"/>
    <xf numFmtId="0" fontId="35" fillId="24" borderId="0" xfId="0" applyFont="1" applyFill="1"/>
    <xf numFmtId="172" fontId="118" fillId="24" borderId="8" xfId="0" applyNumberFormat="1" applyFont="1" applyFill="1" applyBorder="1"/>
    <xf numFmtId="172" fontId="117" fillId="0" borderId="10" xfId="0" applyNumberFormat="1" applyFont="1" applyBorder="1"/>
    <xf numFmtId="172" fontId="117" fillId="0" borderId="11" xfId="0" applyNumberFormat="1" applyFont="1" applyBorder="1"/>
    <xf numFmtId="172" fontId="118" fillId="0" borderId="52" xfId="0" applyNumberFormat="1" applyFont="1" applyBorder="1"/>
    <xf numFmtId="0" fontId="53" fillId="26" borderId="0" xfId="0" applyFont="1" applyFill="1" applyAlignment="1">
      <alignment vertical="center"/>
    </xf>
    <xf numFmtId="0" fontId="53" fillId="0" borderId="0" xfId="0" applyFont="1" applyAlignment="1">
      <alignment vertical="top"/>
    </xf>
    <xf numFmtId="172" fontId="119" fillId="24" borderId="0" xfId="0" applyNumberFormat="1" applyFont="1" applyFill="1"/>
    <xf numFmtId="172" fontId="119" fillId="24" borderId="8" xfId="0" applyNumberFormat="1" applyFont="1" applyFill="1" applyBorder="1" applyAlignment="1">
      <alignment horizontal="right"/>
    </xf>
    <xf numFmtId="172" fontId="35" fillId="26" borderId="35" xfId="0" applyNumberFormat="1" applyFont="1" applyFill="1" applyBorder="1"/>
    <xf numFmtId="173" fontId="35" fillId="0" borderId="0" xfId="0" applyNumberFormat="1" applyFont="1"/>
    <xf numFmtId="172" fontId="120" fillId="0" borderId="0" xfId="0" applyNumberFormat="1" applyFont="1"/>
    <xf numFmtId="0" fontId="53" fillId="0" borderId="35" xfId="0" applyFont="1" applyBorder="1" applyAlignment="1">
      <alignment horizontal="center" vertical="center"/>
    </xf>
    <xf numFmtId="0" fontId="53" fillId="26" borderId="0" xfId="0" applyFont="1" applyFill="1" applyAlignment="1">
      <alignment horizontal="center" vertical="center"/>
    </xf>
    <xf numFmtId="172" fontId="53" fillId="26" borderId="0" xfId="0" applyNumberFormat="1" applyFont="1" applyFill="1" applyAlignment="1">
      <alignment horizontal="center" vertical="center"/>
    </xf>
    <xf numFmtId="0" fontId="53" fillId="26" borderId="0" xfId="0" applyFont="1" applyFill="1" applyAlignment="1">
      <alignment horizontal="center" vertical="top" wrapText="1"/>
    </xf>
    <xf numFmtId="0" fontId="35" fillId="0" borderId="3" xfId="0" applyFont="1" applyBorder="1"/>
    <xf numFmtId="172" fontId="35" fillId="26" borderId="29" xfId="0" applyNumberFormat="1" applyFont="1" applyFill="1" applyBorder="1"/>
    <xf numFmtId="172" fontId="53" fillId="26" borderId="35" xfId="0" applyNumberFormat="1" applyFont="1" applyFill="1" applyBorder="1"/>
    <xf numFmtId="172" fontId="53" fillId="26" borderId="0" xfId="0" applyNumberFormat="1" applyFont="1" applyFill="1"/>
    <xf numFmtId="172" fontId="118" fillId="0" borderId="0" xfId="0" applyNumberFormat="1" applyFont="1"/>
    <xf numFmtId="172" fontId="118" fillId="0" borderId="0" xfId="0" applyNumberFormat="1" applyFont="1" applyAlignment="1">
      <alignment horizontal="right"/>
    </xf>
    <xf numFmtId="172" fontId="53" fillId="28" borderId="0" xfId="0" applyNumberFormat="1" applyFont="1" applyFill="1"/>
    <xf numFmtId="0" fontId="53" fillId="28" borderId="0" xfId="0" applyFont="1" applyFill="1"/>
    <xf numFmtId="0" fontId="53" fillId="26" borderId="0" xfId="0" applyFont="1" applyFill="1"/>
    <xf numFmtId="172" fontId="53" fillId="28" borderId="5" xfId="0" applyNumberFormat="1" applyFont="1" applyFill="1" applyBorder="1"/>
    <xf numFmtId="14" fontId="9" fillId="0" borderId="281" xfId="0" applyNumberFormat="1" applyFont="1" applyBorder="1" applyAlignment="1" applyProtection="1">
      <alignment horizontal="center" vertical="center"/>
      <protection locked="0"/>
    </xf>
    <xf numFmtId="9" fontId="9" fillId="0" borderId="0" xfId="2" applyFont="1" applyAlignment="1">
      <alignment horizontal="left" vertical="top"/>
    </xf>
    <xf numFmtId="0" fontId="9" fillId="0" borderId="0" xfId="0" applyFont="1" applyAlignment="1">
      <alignment horizontal="left" vertical="top"/>
    </xf>
    <xf numFmtId="0" fontId="121" fillId="11" borderId="0" xfId="0" applyFont="1" applyFill="1" applyAlignment="1">
      <alignment horizontal="left" vertical="center"/>
    </xf>
    <xf numFmtId="0" fontId="110" fillId="11" borderId="0" xfId="0" applyFont="1" applyFill="1" applyAlignment="1" applyProtection="1">
      <alignment horizontal="center" vertical="center" wrapText="1"/>
      <protection locked="0"/>
    </xf>
    <xf numFmtId="172" fontId="51" fillId="0" borderId="0" xfId="0" applyNumberFormat="1" applyFont="1" applyAlignment="1">
      <alignment horizontal="left" indent="2"/>
    </xf>
    <xf numFmtId="172" fontId="120" fillId="0" borderId="0" xfId="0" applyNumberFormat="1" applyFont="1" applyAlignment="1">
      <alignment horizontal="left" indent="1"/>
    </xf>
    <xf numFmtId="172" fontId="35" fillId="0" borderId="0" xfId="0" applyNumberFormat="1" applyFont="1" applyAlignment="1">
      <alignment horizontal="left"/>
    </xf>
    <xf numFmtId="0" fontId="35" fillId="0" borderId="30" xfId="0" applyFont="1" applyBorder="1" applyProtection="1">
      <protection locked="0"/>
    </xf>
    <xf numFmtId="0" fontId="35" fillId="0" borderId="29" xfId="0" applyFont="1" applyBorder="1" applyProtection="1">
      <protection locked="0"/>
    </xf>
    <xf numFmtId="172" fontId="51" fillId="0" borderId="30" xfId="0" applyNumberFormat="1" applyFont="1" applyBorder="1" applyProtection="1">
      <protection locked="0"/>
    </xf>
    <xf numFmtId="0" fontId="123" fillId="11" borderId="306" xfId="0" applyFont="1" applyFill="1" applyBorder="1" applyAlignment="1" applyProtection="1">
      <alignment horizontal="left" vertical="center" wrapText="1"/>
      <protection locked="0"/>
    </xf>
    <xf numFmtId="10" fontId="9" fillId="0" borderId="29" xfId="2" applyNumberFormat="1" applyFont="1" applyFill="1" applyBorder="1" applyAlignment="1">
      <alignment horizontal="center"/>
    </xf>
    <xf numFmtId="9" fontId="9" fillId="0" borderId="278" xfId="2" applyFont="1" applyBorder="1" applyAlignment="1">
      <alignment horizontal="center"/>
    </xf>
    <xf numFmtId="9" fontId="9" fillId="0" borderId="276" xfId="2" applyFont="1" applyBorder="1" applyAlignment="1">
      <alignment horizontal="center"/>
    </xf>
    <xf numFmtId="9" fontId="9" fillId="0" borderId="261" xfId="2" applyFont="1" applyBorder="1" applyAlignment="1">
      <alignment horizontal="center"/>
    </xf>
    <xf numFmtId="0" fontId="125" fillId="11" borderId="0" xfId="1" applyFont="1" applyFill="1" applyAlignment="1" applyProtection="1">
      <alignment horizontal="center" vertical="center"/>
    </xf>
    <xf numFmtId="0" fontId="26" fillId="6" borderId="308" xfId="0" applyFont="1" applyFill="1" applyBorder="1" applyAlignment="1">
      <alignment horizontal="center" vertical="center" wrapText="1"/>
    </xf>
    <xf numFmtId="0" fontId="26" fillId="32" borderId="309" xfId="0" applyFont="1" applyFill="1" applyBorder="1" applyAlignment="1">
      <alignment horizontal="center" vertical="center" wrapText="1"/>
    </xf>
    <xf numFmtId="0" fontId="96" fillId="0" borderId="30" xfId="0" applyFont="1" applyBorder="1" applyAlignment="1">
      <alignment horizontal="right" wrapText="1"/>
    </xf>
    <xf numFmtId="0" fontId="96" fillId="0" borderId="30" xfId="0" applyFont="1" applyBorder="1" applyAlignment="1">
      <alignment horizontal="right" vertical="center" wrapText="1"/>
    </xf>
    <xf numFmtId="0" fontId="35" fillId="0" borderId="5" xfId="0" applyFont="1" applyBorder="1"/>
    <xf numFmtId="0" fontId="53" fillId="0" borderId="10" xfId="0" applyFont="1" applyBorder="1"/>
    <xf numFmtId="0" fontId="51" fillId="0" borderId="0" xfId="0" applyFont="1" applyAlignment="1">
      <alignment horizontal="left" indent="1"/>
    </xf>
    <xf numFmtId="9" fontId="9" fillId="0" borderId="276" xfId="0" applyNumberFormat="1" applyFont="1" applyBorder="1"/>
    <xf numFmtId="0" fontId="40" fillId="0" borderId="35" xfId="0" applyFont="1" applyBorder="1" applyAlignment="1">
      <alignment horizontal="center"/>
    </xf>
    <xf numFmtId="10" fontId="40" fillId="0" borderId="35" xfId="0" applyNumberFormat="1" applyFont="1" applyBorder="1" applyAlignment="1">
      <alignment horizontal="center"/>
    </xf>
    <xf numFmtId="0" fontId="9" fillId="0" borderId="275" xfId="0" applyFont="1" applyBorder="1" applyAlignment="1">
      <alignment horizontal="right"/>
    </xf>
    <xf numFmtId="0" fontId="39" fillId="0" borderId="268" xfId="0" applyFont="1" applyBorder="1" applyAlignment="1">
      <alignment horizontal="center"/>
    </xf>
    <xf numFmtId="0" fontId="39" fillId="0" borderId="267" xfId="0" applyFont="1" applyBorder="1" applyAlignment="1">
      <alignment horizontal="center"/>
    </xf>
    <xf numFmtId="0" fontId="39" fillId="0" borderId="269" xfId="0" applyFont="1" applyBorder="1" applyAlignment="1">
      <alignment horizontal="center"/>
    </xf>
    <xf numFmtId="0" fontId="40" fillId="24" borderId="37" xfId="0" applyFont="1" applyFill="1" applyBorder="1" applyAlignment="1">
      <alignment horizontal="center"/>
    </xf>
    <xf numFmtId="0" fontId="7" fillId="26" borderId="214" xfId="0" applyFont="1" applyFill="1" applyBorder="1" applyAlignment="1" applyProtection="1">
      <alignment horizontal="center" vertical="center"/>
      <protection locked="0"/>
    </xf>
    <xf numFmtId="0" fontId="31" fillId="26" borderId="9" xfId="0" applyFont="1" applyFill="1" applyBorder="1" applyAlignment="1" applyProtection="1">
      <alignment horizontal="center" vertical="center"/>
      <protection locked="0"/>
    </xf>
    <xf numFmtId="0" fontId="9" fillId="0" borderId="0" xfId="0" quotePrefix="1" applyFont="1" applyAlignment="1">
      <alignment vertical="top"/>
    </xf>
    <xf numFmtId="0" fontId="64" fillId="0" borderId="0" xfId="0" applyFont="1" applyAlignment="1">
      <alignment wrapText="1"/>
    </xf>
    <xf numFmtId="0" fontId="7" fillId="24" borderId="9" xfId="0" applyFont="1" applyFill="1" applyBorder="1"/>
    <xf numFmtId="0" fontId="0" fillId="0" borderId="31" xfId="0" applyBorder="1"/>
    <xf numFmtId="0" fontId="40" fillId="0" borderId="7" xfId="0" applyFont="1" applyBorder="1" applyAlignment="1">
      <alignment horizontal="center"/>
    </xf>
    <xf numFmtId="0" fontId="0" fillId="0" borderId="31" xfId="0" applyBorder="1" applyAlignment="1">
      <alignment horizontal="right"/>
    </xf>
    <xf numFmtId="9" fontId="9" fillId="0" borderId="5" xfId="2" applyFont="1" applyBorder="1"/>
    <xf numFmtId="0" fontId="0" fillId="0" borderId="38" xfId="0" applyBorder="1" applyAlignment="1">
      <alignment horizontal="right"/>
    </xf>
    <xf numFmtId="0" fontId="35" fillId="0" borderId="0" xfId="0" applyFont="1" applyAlignment="1">
      <alignment horizontal="left" vertical="top" wrapText="1"/>
    </xf>
    <xf numFmtId="0" fontId="35" fillId="24" borderId="10" xfId="0" applyFont="1" applyFill="1" applyBorder="1"/>
    <xf numFmtId="0" fontId="35" fillId="24" borderId="37" xfId="0" applyFont="1" applyFill="1" applyBorder="1"/>
    <xf numFmtId="0" fontId="53" fillId="24" borderId="9" xfId="0" applyFont="1" applyFill="1" applyBorder="1" applyAlignment="1">
      <alignment vertical="center" wrapText="1"/>
    </xf>
    <xf numFmtId="0" fontId="53" fillId="0" borderId="5" xfId="0" applyFont="1" applyBorder="1" applyAlignment="1">
      <alignment horizontal="right" vertical="top"/>
    </xf>
    <xf numFmtId="0" fontId="35" fillId="0" borderId="34" xfId="0" applyFont="1" applyBorder="1"/>
    <xf numFmtId="0" fontId="53" fillId="26" borderId="0" xfId="0" quotePrefix="1" applyFont="1" applyFill="1" applyAlignment="1">
      <alignment horizontal="right" vertical="center"/>
    </xf>
    <xf numFmtId="0" fontId="7" fillId="26" borderId="0" xfId="0" quotePrefix="1" applyFont="1" applyFill="1" applyAlignment="1">
      <alignment horizontal="right" vertical="center"/>
    </xf>
    <xf numFmtId="0" fontId="7" fillId="26" borderId="0" xfId="0" applyFont="1" applyFill="1" applyAlignment="1">
      <alignment horizontal="right" vertical="center"/>
    </xf>
    <xf numFmtId="0" fontId="7" fillId="26" borderId="0" xfId="0" applyFont="1" applyFill="1" applyAlignment="1">
      <alignment horizontal="left" vertical="center"/>
    </xf>
    <xf numFmtId="169" fontId="100" fillId="0" borderId="0" xfId="2" applyNumberFormat="1" applyFont="1" applyBorder="1"/>
    <xf numFmtId="0" fontId="40" fillId="24" borderId="9" xfId="0" applyFont="1" applyFill="1" applyBorder="1" applyAlignment="1">
      <alignment vertical="center"/>
    </xf>
    <xf numFmtId="0" fontId="9" fillId="24" borderId="10" xfId="0" applyFont="1" applyFill="1" applyBorder="1" applyAlignment="1">
      <alignment vertical="center"/>
    </xf>
    <xf numFmtId="0" fontId="40" fillId="24" borderId="10" xfId="0" applyFont="1" applyFill="1" applyBorder="1" applyAlignment="1">
      <alignment vertical="center"/>
    </xf>
    <xf numFmtId="0" fontId="9" fillId="24" borderId="37" xfId="0" applyFont="1" applyFill="1" applyBorder="1" applyAlignment="1">
      <alignment vertical="center"/>
    </xf>
    <xf numFmtId="0" fontId="40" fillId="0" borderId="10" xfId="0" applyFont="1" applyBorder="1" applyAlignment="1">
      <alignment horizontal="right"/>
    </xf>
    <xf numFmtId="0" fontId="9" fillId="0" borderId="14" xfId="0" applyFont="1" applyBorder="1"/>
    <xf numFmtId="1" fontId="100" fillId="0" borderId="4" xfId="0" applyNumberFormat="1" applyFont="1" applyBorder="1"/>
    <xf numFmtId="0" fontId="40" fillId="0" borderId="4" xfId="0" applyFont="1" applyBorder="1" applyAlignment="1">
      <alignment horizontal="right"/>
    </xf>
    <xf numFmtId="0" fontId="100" fillId="0" borderId="38" xfId="0" applyFont="1" applyBorder="1"/>
    <xf numFmtId="0" fontId="9" fillId="24" borderId="37" xfId="0" applyFont="1" applyFill="1" applyBorder="1"/>
    <xf numFmtId="0" fontId="40" fillId="24" borderId="7" xfId="0" applyFont="1" applyFill="1" applyBorder="1" applyAlignment="1">
      <alignment horizontal="right"/>
    </xf>
    <xf numFmtId="0" fontId="100" fillId="0" borderId="7" xfId="0" applyFont="1" applyBorder="1"/>
    <xf numFmtId="0" fontId="99" fillId="24" borderId="31" xfId="0" applyFont="1" applyFill="1" applyBorder="1"/>
    <xf numFmtId="1" fontId="100" fillId="0" borderId="9" xfId="0" applyNumberFormat="1" applyFont="1" applyBorder="1"/>
    <xf numFmtId="0" fontId="99" fillId="0" borderId="7" xfId="0" applyFont="1" applyBorder="1" applyAlignment="1">
      <alignment horizontal="right"/>
    </xf>
    <xf numFmtId="0" fontId="40" fillId="0" borderId="7" xfId="0" applyFont="1" applyBorder="1" applyAlignment="1">
      <alignment horizontal="right"/>
    </xf>
    <xf numFmtId="0" fontId="9" fillId="26" borderId="9" xfId="0" applyFont="1" applyFill="1" applyBorder="1"/>
    <xf numFmtId="9" fontId="100" fillId="0" borderId="37" xfId="2" applyFont="1" applyBorder="1"/>
    <xf numFmtId="0" fontId="9" fillId="24" borderId="31" xfId="0" applyFont="1" applyFill="1" applyBorder="1"/>
    <xf numFmtId="0" fontId="9" fillId="26" borderId="7" xfId="0" applyFont="1" applyFill="1" applyBorder="1"/>
    <xf numFmtId="0" fontId="100" fillId="24" borderId="0" xfId="0" applyFont="1" applyFill="1"/>
    <xf numFmtId="0" fontId="102" fillId="0" borderId="146" xfId="0" applyFont="1" applyBorder="1" applyAlignment="1">
      <alignment horizontal="right"/>
    </xf>
    <xf numFmtId="0" fontId="102" fillId="0" borderId="7" xfId="0" applyFont="1" applyBorder="1" applyAlignment="1">
      <alignment horizontal="right"/>
    </xf>
    <xf numFmtId="0" fontId="102" fillId="0" borderId="149" xfId="0" applyFont="1" applyBorder="1" applyAlignment="1">
      <alignment horizontal="right"/>
    </xf>
    <xf numFmtId="0" fontId="9" fillId="24" borderId="5" xfId="0" applyFont="1" applyFill="1" applyBorder="1"/>
    <xf numFmtId="0" fontId="7" fillId="24" borderId="146" xfId="0" applyFont="1" applyFill="1" applyBorder="1"/>
    <xf numFmtId="0" fontId="0" fillId="24" borderId="36" xfId="0" applyFill="1" applyBorder="1"/>
    <xf numFmtId="0" fontId="40" fillId="0" borderId="0" xfId="0" applyFont="1" applyAlignment="1">
      <alignment horizontal="center" vertical="top"/>
    </xf>
    <xf numFmtId="0" fontId="9" fillId="0" borderId="146" xfId="0" applyFont="1" applyBorder="1" applyAlignment="1">
      <alignment vertical="top"/>
    </xf>
    <xf numFmtId="0" fontId="9" fillId="0" borderId="34" xfId="0" applyFont="1" applyBorder="1" applyAlignment="1">
      <alignment vertical="top"/>
    </xf>
    <xf numFmtId="0" fontId="9" fillId="0" borderId="7" xfId="0" applyFont="1" applyBorder="1" applyAlignment="1">
      <alignment vertical="top"/>
    </xf>
    <xf numFmtId="0" fontId="9" fillId="0" borderId="149" xfId="0" applyFont="1" applyBorder="1" applyAlignment="1">
      <alignment vertical="top"/>
    </xf>
    <xf numFmtId="0" fontId="9" fillId="0" borderId="5" xfId="0" applyFont="1" applyBorder="1" applyAlignment="1">
      <alignment vertical="top"/>
    </xf>
    <xf numFmtId="0" fontId="40" fillId="24" borderId="146" xfId="0" applyFont="1" applyFill="1" applyBorder="1"/>
    <xf numFmtId="0" fontId="9" fillId="24" borderId="36" xfId="0" applyFont="1" applyFill="1" applyBorder="1"/>
    <xf numFmtId="0" fontId="0" fillId="0" borderId="0" xfId="0" applyAlignment="1">
      <alignment vertical="top"/>
    </xf>
    <xf numFmtId="0" fontId="40" fillId="24" borderId="37" xfId="0" applyFont="1" applyFill="1" applyBorder="1"/>
    <xf numFmtId="0" fontId="40" fillId="0" borderId="149" xfId="0" applyFont="1" applyBorder="1"/>
    <xf numFmtId="0" fontId="40" fillId="0" borderId="149" xfId="0" applyFont="1" applyBorder="1" applyAlignment="1">
      <alignment horizontal="center"/>
    </xf>
    <xf numFmtId="17" fontId="9" fillId="0" borderId="7" xfId="0" applyNumberFormat="1" applyFont="1" applyBorder="1"/>
    <xf numFmtId="9" fontId="9" fillId="0" borderId="38" xfId="2" applyFont="1" applyBorder="1"/>
    <xf numFmtId="0" fontId="40" fillId="29" borderId="0" xfId="0" applyFont="1" applyFill="1" applyAlignment="1">
      <alignment horizontal="center" vertical="center" wrapText="1"/>
    </xf>
    <xf numFmtId="0" fontId="129" fillId="0" borderId="5" xfId="0" applyFont="1" applyBorder="1" applyAlignment="1">
      <alignment horizontal="right" vertical="center"/>
    </xf>
    <xf numFmtId="0" fontId="4" fillId="26" borderId="34" xfId="0" applyFont="1" applyFill="1" applyBorder="1"/>
    <xf numFmtId="0" fontId="0" fillId="26" borderId="10" xfId="0" applyFill="1" applyBorder="1"/>
    <xf numFmtId="0" fontId="118" fillId="0" borderId="0" xfId="0" applyFont="1"/>
    <xf numFmtId="0" fontId="35" fillId="0" borderId="0" xfId="0" applyFont="1" applyAlignment="1">
      <alignment vertical="top"/>
    </xf>
    <xf numFmtId="0" fontId="4" fillId="24" borderId="34" xfId="0" applyFont="1" applyFill="1" applyBorder="1"/>
    <xf numFmtId="0" fontId="9" fillId="26" borderId="0" xfId="0" quotePrefix="1" applyFont="1" applyFill="1"/>
    <xf numFmtId="0" fontId="0" fillId="0" borderId="0" xfId="0" applyAlignment="1">
      <alignment horizontal="left" vertical="top"/>
    </xf>
    <xf numFmtId="0" fontId="40" fillId="24" borderId="9" xfId="0" applyFont="1" applyFill="1" applyBorder="1" applyAlignment="1">
      <alignment horizontal="left"/>
    </xf>
    <xf numFmtId="9" fontId="9" fillId="0" borderId="7" xfId="0" applyNumberFormat="1" applyFont="1" applyBorder="1"/>
    <xf numFmtId="0" fontId="99" fillId="0" borderId="38" xfId="0" applyFont="1" applyBorder="1" applyAlignment="1">
      <alignment horizontal="center"/>
    </xf>
    <xf numFmtId="9" fontId="9" fillId="0" borderId="29" xfId="2" applyFont="1" applyBorder="1" applyAlignment="1">
      <alignment vertical="top"/>
    </xf>
    <xf numFmtId="0" fontId="7" fillId="26" borderId="0" xfId="0" applyFont="1" applyFill="1" applyAlignment="1">
      <alignment horizontal="left"/>
    </xf>
    <xf numFmtId="0" fontId="40" fillId="24" borderId="35" xfId="0" applyFont="1" applyFill="1" applyBorder="1" applyAlignment="1">
      <alignment vertical="top" wrapText="1"/>
    </xf>
    <xf numFmtId="9" fontId="9" fillId="0" borderId="149" xfId="0" applyNumberFormat="1" applyFont="1" applyBorder="1"/>
    <xf numFmtId="9" fontId="9" fillId="0" borderId="5" xfId="0" applyNumberFormat="1" applyFont="1" applyBorder="1"/>
    <xf numFmtId="9" fontId="100" fillId="0" borderId="38" xfId="2" applyFont="1" applyBorder="1"/>
    <xf numFmtId="9" fontId="9" fillId="0" borderId="0" xfId="0" applyNumberFormat="1" applyFont="1"/>
    <xf numFmtId="9" fontId="9" fillId="0" borderId="31" xfId="0" applyNumberFormat="1" applyFont="1" applyBorder="1"/>
    <xf numFmtId="9" fontId="9" fillId="0" borderId="38" xfId="0" applyNumberFormat="1" applyFont="1" applyBorder="1"/>
    <xf numFmtId="0" fontId="9" fillId="0" borderId="31" xfId="0" applyFont="1" applyBorder="1" applyAlignment="1">
      <alignment horizontal="left" vertical="top" wrapText="1"/>
    </xf>
    <xf numFmtId="0" fontId="9" fillId="0" borderId="31" xfId="0" applyFont="1" applyBorder="1" applyAlignment="1">
      <alignment horizontal="left" vertical="top"/>
    </xf>
    <xf numFmtId="0" fontId="9" fillId="0" borderId="38" xfId="0" applyFont="1" applyBorder="1" applyAlignment="1">
      <alignment horizontal="left" vertical="top"/>
    </xf>
    <xf numFmtId="0" fontId="9" fillId="0" borderId="5" xfId="0" applyFont="1" applyBorder="1" applyAlignment="1">
      <alignment horizontal="left" vertical="top"/>
    </xf>
    <xf numFmtId="0" fontId="40" fillId="24" borderId="34" xfId="0" applyFont="1" applyFill="1" applyBorder="1" applyAlignment="1">
      <alignment horizontal="left" vertical="top"/>
    </xf>
    <xf numFmtId="0" fontId="40" fillId="24" borderId="0" xfId="0" applyFont="1" applyFill="1" applyAlignment="1">
      <alignment horizontal="left" vertical="top"/>
    </xf>
    <xf numFmtId="0" fontId="40" fillId="24" borderId="36" xfId="0" applyFont="1" applyFill="1" applyBorder="1" applyAlignment="1">
      <alignment horizontal="left" vertical="top"/>
    </xf>
    <xf numFmtId="0" fontId="40" fillId="24" borderId="31" xfId="0" applyFont="1" applyFill="1" applyBorder="1" applyAlignment="1">
      <alignment horizontal="left" vertical="top"/>
    </xf>
    <xf numFmtId="0" fontId="4" fillId="14" borderId="0" xfId="0" applyFont="1" applyFill="1"/>
    <xf numFmtId="0" fontId="7" fillId="24" borderId="35" xfId="0" applyFont="1" applyFill="1" applyBorder="1"/>
    <xf numFmtId="14" fontId="9" fillId="0" borderId="267" xfId="0" applyNumberFormat="1" applyFont="1" applyBorder="1" applyAlignment="1" applyProtection="1">
      <alignment horizontal="center" vertical="center"/>
      <protection locked="0"/>
    </xf>
    <xf numFmtId="0" fontId="9" fillId="26" borderId="271" xfId="0" applyFont="1" applyFill="1" applyBorder="1" applyAlignment="1">
      <alignment horizontal="center" vertical="center"/>
    </xf>
    <xf numFmtId="0" fontId="9" fillId="26" borderId="272" xfId="0" applyFont="1" applyFill="1" applyBorder="1" applyAlignment="1">
      <alignment horizontal="center" vertical="center"/>
    </xf>
    <xf numFmtId="0" fontId="40" fillId="0" borderId="271" xfId="0" applyFont="1" applyBorder="1" applyAlignment="1">
      <alignment wrapText="1"/>
    </xf>
    <xf numFmtId="0" fontId="120" fillId="0" borderId="0" xfId="0" applyFont="1" applyAlignment="1">
      <alignment horizontal="left"/>
    </xf>
    <xf numFmtId="0" fontId="51" fillId="0" borderId="0" xfId="0" applyFont="1" applyAlignment="1">
      <alignment horizontal="left"/>
    </xf>
    <xf numFmtId="0" fontId="51" fillId="0" borderId="0" xfId="0" applyFont="1"/>
    <xf numFmtId="0" fontId="51" fillId="0" borderId="34" xfId="0" applyFont="1" applyBorder="1"/>
    <xf numFmtId="0" fontId="130" fillId="12" borderId="10" xfId="0" applyFont="1" applyFill="1" applyBorder="1" applyAlignment="1">
      <alignment horizontal="center" vertical="center"/>
    </xf>
    <xf numFmtId="0" fontId="81" fillId="12" borderId="10" xfId="0" applyFont="1" applyFill="1" applyBorder="1" applyAlignment="1">
      <alignment vertical="center"/>
    </xf>
    <xf numFmtId="0" fontId="131" fillId="12" borderId="10" xfId="0" applyFont="1" applyFill="1" applyBorder="1" applyAlignment="1">
      <alignment vertical="center"/>
    </xf>
    <xf numFmtId="9" fontId="31" fillId="0" borderId="10" xfId="0" applyNumberFormat="1" applyFont="1" applyBorder="1" applyAlignment="1">
      <alignment vertical="center"/>
    </xf>
    <xf numFmtId="0" fontId="35" fillId="0" borderId="0" xfId="0" applyFont="1" applyAlignment="1">
      <alignment horizontal="right"/>
    </xf>
    <xf numFmtId="0" fontId="51" fillId="24" borderId="0" xfId="0" applyFont="1" applyFill="1" applyAlignment="1">
      <alignment horizontal="right"/>
    </xf>
    <xf numFmtId="0" fontId="35" fillId="0" borderId="34" xfId="0" applyFont="1" applyBorder="1" applyAlignment="1">
      <alignment horizontal="right"/>
    </xf>
    <xf numFmtId="0" fontId="130" fillId="0" borderId="10" xfId="0" applyFont="1" applyBorder="1" applyAlignment="1">
      <alignment horizontal="center" vertical="center"/>
    </xf>
    <xf numFmtId="0" fontId="131" fillId="0" borderId="10" xfId="0" applyFont="1" applyBorder="1" applyAlignment="1">
      <alignment horizontal="left" vertical="center"/>
    </xf>
    <xf numFmtId="0" fontId="131" fillId="0" borderId="10" xfId="0" applyFont="1" applyBorder="1" applyAlignment="1">
      <alignment vertical="center"/>
    </xf>
    <xf numFmtId="0" fontId="51" fillId="25" borderId="0" xfId="0" applyFont="1" applyFill="1" applyAlignment="1">
      <alignment horizontal="right"/>
    </xf>
    <xf numFmtId="0" fontId="40" fillId="0" borderId="37" xfId="0" applyFont="1" applyBorder="1" applyAlignment="1">
      <alignment horizontal="right" vertical="center"/>
    </xf>
    <xf numFmtId="0" fontId="7" fillId="0" borderId="10" xfId="0" applyFont="1" applyBorder="1" applyAlignment="1">
      <alignment horizontal="left" vertical="center"/>
    </xf>
    <xf numFmtId="0" fontId="4" fillId="0" borderId="10" xfId="0" applyFont="1" applyBorder="1" applyAlignment="1">
      <alignment vertical="center"/>
    </xf>
    <xf numFmtId="0" fontId="108" fillId="0" borderId="10" xfId="0" applyFont="1" applyBorder="1" applyAlignment="1">
      <alignment vertical="center"/>
    </xf>
    <xf numFmtId="0" fontId="53" fillId="0" borderId="0" xfId="0" applyFont="1" applyAlignment="1">
      <alignment horizontal="right"/>
    </xf>
    <xf numFmtId="0" fontId="35" fillId="0" borderId="0" xfId="0" applyFont="1" applyAlignment="1">
      <alignment horizontal="left" vertical="center"/>
    </xf>
    <xf numFmtId="0" fontId="130" fillId="0" borderId="0" xfId="0" applyFont="1" applyAlignment="1">
      <alignment horizontal="center" vertical="center"/>
    </xf>
    <xf numFmtId="0" fontId="53" fillId="0" borderId="5" xfId="0" applyFont="1" applyBorder="1" applyAlignment="1">
      <alignment horizontal="center" vertical="top" wrapText="1"/>
    </xf>
    <xf numFmtId="0" fontId="40" fillId="0" borderId="38" xfId="0" applyFont="1" applyBorder="1" applyAlignment="1">
      <alignment horizontal="right" wrapText="1"/>
    </xf>
    <xf numFmtId="0" fontId="35" fillId="0" borderId="7" xfId="0" applyFont="1" applyBorder="1" applyAlignment="1">
      <alignment horizontal="right"/>
    </xf>
    <xf numFmtId="0" fontId="35" fillId="0" borderId="5" xfId="0" applyFont="1" applyBorder="1" applyAlignment="1">
      <alignment horizontal="right"/>
    </xf>
    <xf numFmtId="0" fontId="40" fillId="0" borderId="73" xfId="0" applyFont="1" applyBorder="1" applyAlignment="1">
      <alignment horizontal="right"/>
    </xf>
    <xf numFmtId="0" fontId="53" fillId="0" borderId="154" xfId="0" applyFont="1" applyBorder="1" applyAlignment="1">
      <alignment horizontal="right" vertical="top"/>
    </xf>
    <xf numFmtId="0" fontId="53" fillId="0" borderId="25" xfId="0" applyFont="1" applyBorder="1" applyAlignment="1">
      <alignment horizontal="right"/>
    </xf>
    <xf numFmtId="0" fontId="35" fillId="0" borderId="0" xfId="0" applyFont="1" applyAlignment="1">
      <alignment horizontal="right" vertical="center"/>
    </xf>
    <xf numFmtId="0" fontId="51" fillId="24" borderId="240" xfId="0" applyFont="1" applyFill="1" applyBorder="1" applyAlignment="1">
      <alignment vertical="center"/>
    </xf>
    <xf numFmtId="0" fontId="35" fillId="24" borderId="234" xfId="0" applyFont="1" applyFill="1" applyBorder="1"/>
    <xf numFmtId="0" fontId="51" fillId="24" borderId="234" xfId="0" applyFont="1" applyFill="1" applyBorder="1" applyAlignment="1">
      <alignment vertical="center"/>
    </xf>
    <xf numFmtId="0" fontId="51" fillId="24" borderId="279" xfId="0" applyFont="1" applyFill="1" applyBorder="1" applyAlignment="1">
      <alignment vertical="center"/>
    </xf>
    <xf numFmtId="0" fontId="51" fillId="24" borderId="280" xfId="0" applyFont="1" applyFill="1" applyBorder="1" applyAlignment="1">
      <alignment vertical="center"/>
    </xf>
    <xf numFmtId="0" fontId="40" fillId="0" borderId="0" xfId="0" applyFont="1" applyAlignment="1">
      <alignment horizontal="center" vertical="center" wrapText="1"/>
    </xf>
    <xf numFmtId="0" fontId="53" fillId="0" borderId="0" xfId="0" applyFont="1" applyAlignment="1">
      <alignment horizontal="right" vertical="center" wrapText="1"/>
    </xf>
    <xf numFmtId="0" fontId="53" fillId="0" borderId="259" xfId="0" applyFont="1" applyBorder="1" applyAlignment="1">
      <alignment horizontal="center"/>
    </xf>
    <xf numFmtId="0" fontId="53" fillId="0" borderId="261" xfId="0" applyFont="1" applyBorder="1" applyAlignment="1">
      <alignment horizontal="center"/>
    </xf>
    <xf numFmtId="0" fontId="53" fillId="0" borderId="31" xfId="0" applyFont="1" applyBorder="1" applyAlignment="1">
      <alignment horizontal="center"/>
    </xf>
    <xf numFmtId="0" fontId="53" fillId="0" borderId="260" xfId="0" applyFont="1" applyBorder="1" applyAlignment="1">
      <alignment horizontal="center"/>
    </xf>
    <xf numFmtId="0" fontId="53" fillId="0" borderId="264" xfId="0" applyFont="1" applyBorder="1" applyAlignment="1">
      <alignment horizontal="center"/>
    </xf>
    <xf numFmtId="0" fontId="53" fillId="0" borderId="270" xfId="0" applyFont="1" applyBorder="1" applyAlignment="1">
      <alignment horizontal="center"/>
    </xf>
    <xf numFmtId="0" fontId="51" fillId="0" borderId="254" xfId="0" applyFont="1" applyBorder="1" applyAlignment="1">
      <alignment horizontal="center" wrapText="1"/>
    </xf>
    <xf numFmtId="0" fontId="51" fillId="0" borderId="257" xfId="0" applyFont="1" applyBorder="1" applyAlignment="1">
      <alignment horizontal="center"/>
    </xf>
    <xf numFmtId="0" fontId="51" fillId="0" borderId="254" xfId="0" applyFont="1" applyBorder="1" applyAlignment="1">
      <alignment horizontal="center"/>
    </xf>
    <xf numFmtId="0" fontId="35" fillId="21" borderId="258" xfId="0" applyFont="1" applyFill="1" applyBorder="1" applyAlignment="1">
      <alignment horizontal="left"/>
    </xf>
    <xf numFmtId="0" fontId="35" fillId="0" borderId="256" xfId="0" applyFont="1" applyBorder="1" applyAlignment="1">
      <alignment horizontal="left"/>
    </xf>
    <xf numFmtId="0" fontId="35" fillId="21" borderId="255" xfId="0" applyFont="1" applyFill="1" applyBorder="1" applyAlignment="1">
      <alignment horizontal="left"/>
    </xf>
    <xf numFmtId="0" fontId="35" fillId="0" borderId="172" xfId="0" applyFont="1" applyBorder="1" applyAlignment="1">
      <alignment horizontal="left"/>
    </xf>
    <xf numFmtId="0" fontId="35" fillId="0" borderId="122" xfId="0" applyFont="1" applyBorder="1" applyAlignment="1">
      <alignment horizontal="left"/>
    </xf>
    <xf numFmtId="0" fontId="53" fillId="0" borderId="252" xfId="0" applyFont="1" applyBorder="1" applyAlignment="1">
      <alignment horizontal="center" vertical="center" wrapText="1"/>
    </xf>
    <xf numFmtId="0" fontId="53" fillId="34" borderId="250" xfId="0" applyFont="1" applyFill="1" applyBorder="1" applyAlignment="1">
      <alignment horizontal="center" vertical="center" wrapText="1"/>
    </xf>
    <xf numFmtId="0" fontId="53" fillId="35" borderId="250" xfId="0" applyFont="1" applyFill="1" applyBorder="1" applyAlignment="1">
      <alignment horizontal="center" vertical="center" wrapText="1"/>
    </xf>
    <xf numFmtId="0" fontId="53" fillId="0" borderId="250" xfId="0" applyFont="1" applyBorder="1" applyAlignment="1">
      <alignment horizontal="center" vertical="center" wrapText="1"/>
    </xf>
    <xf numFmtId="0" fontId="35" fillId="0" borderId="263" xfId="0" applyFont="1" applyBorder="1" applyAlignment="1">
      <alignment horizontal="right"/>
    </xf>
    <xf numFmtId="0" fontId="51" fillId="0" borderId="263" xfId="0" applyFont="1" applyBorder="1" applyAlignment="1">
      <alignment horizontal="right"/>
    </xf>
    <xf numFmtId="0" fontId="53" fillId="0" borderId="282" xfId="0" applyFont="1" applyBorder="1" applyAlignment="1">
      <alignment horizontal="center" vertical="center" wrapText="1"/>
    </xf>
    <xf numFmtId="0" fontId="53" fillId="0" borderId="273" xfId="0" applyFont="1" applyBorder="1" applyAlignment="1">
      <alignment horizontal="center" vertical="center"/>
    </xf>
    <xf numFmtId="0" fontId="53" fillId="24" borderId="267" xfId="0" applyFont="1" applyFill="1" applyBorder="1" applyAlignment="1">
      <alignment horizontal="center" vertical="center"/>
    </xf>
    <xf numFmtId="0" fontId="53" fillId="0" borderId="267" xfId="0" applyFont="1" applyBorder="1" applyAlignment="1">
      <alignment horizontal="center" vertical="center"/>
    </xf>
    <xf numFmtId="0" fontId="120" fillId="0" borderId="0" xfId="0" applyFont="1"/>
    <xf numFmtId="0" fontId="18" fillId="0" borderId="0" xfId="0" applyFont="1" applyAlignment="1">
      <alignment vertical="center" wrapText="1"/>
    </xf>
    <xf numFmtId="0" fontId="53" fillId="0" borderId="252" xfId="0" applyFont="1" applyBorder="1" applyAlignment="1">
      <alignment horizontal="center"/>
    </xf>
    <xf numFmtId="0" fontId="53" fillId="0" borderId="271" xfId="0" applyFont="1" applyBorder="1" applyAlignment="1">
      <alignment horizontal="center"/>
    </xf>
    <xf numFmtId="0" fontId="80" fillId="0" borderId="0" xfId="1" applyFont="1" applyFill="1" applyAlignment="1" applyProtection="1">
      <alignment vertical="center"/>
      <protection locked="0"/>
    </xf>
    <xf numFmtId="0" fontId="35" fillId="0" borderId="5" xfId="0" applyFont="1" applyBorder="1" applyAlignment="1">
      <alignment vertical="top" wrapText="1"/>
    </xf>
    <xf numFmtId="0" fontId="118" fillId="0" borderId="5" xfId="0" applyFont="1" applyBorder="1" applyAlignment="1">
      <alignment vertical="top" wrapText="1"/>
    </xf>
    <xf numFmtId="0" fontId="9" fillId="0" borderId="5" xfId="0" applyFont="1" applyBorder="1" applyAlignment="1">
      <alignment vertical="center"/>
    </xf>
    <xf numFmtId="0" fontId="132" fillId="0" borderId="0" xfId="0" applyFont="1" applyAlignment="1">
      <alignment horizontal="left"/>
    </xf>
    <xf numFmtId="9" fontId="9" fillId="0" borderId="278" xfId="0" applyNumberFormat="1" applyFont="1" applyBorder="1"/>
    <xf numFmtId="0" fontId="105" fillId="0" borderId="0" xfId="0" applyFont="1" applyAlignment="1">
      <alignment vertical="top"/>
    </xf>
    <xf numFmtId="0" fontId="35" fillId="0" borderId="10" xfId="0" applyFont="1" applyBorder="1" applyAlignment="1">
      <alignment vertical="center"/>
    </xf>
    <xf numFmtId="0" fontId="51" fillId="0" borderId="5" xfId="0" applyFont="1" applyBorder="1" applyAlignment="1">
      <alignment vertical="top" wrapText="1"/>
    </xf>
    <xf numFmtId="0" fontId="51" fillId="0" borderId="5" xfId="0" applyFont="1" applyBorder="1" applyAlignment="1">
      <alignment vertical="top"/>
    </xf>
    <xf numFmtId="0" fontId="35" fillId="0" borderId="37" xfId="0" applyFont="1" applyBorder="1" applyAlignment="1">
      <alignment horizontal="center" vertical="top" wrapText="1"/>
    </xf>
    <xf numFmtId="0" fontId="35" fillId="0" borderId="149" xfId="0" applyFont="1" applyBorder="1" applyAlignment="1">
      <alignment horizontal="center" vertical="top" wrapText="1"/>
    </xf>
    <xf numFmtId="0" fontId="35" fillId="0" borderId="38" xfId="0" applyFont="1" applyBorder="1" applyAlignment="1">
      <alignment horizontal="center" vertical="top" wrapText="1"/>
    </xf>
    <xf numFmtId="172" fontId="53" fillId="24" borderId="34" xfId="0" applyNumberFormat="1" applyFont="1" applyFill="1" applyBorder="1"/>
    <xf numFmtId="0" fontId="53" fillId="0" borderId="9" xfId="0" applyFont="1" applyBorder="1" applyAlignment="1">
      <alignment horizontal="center" vertical="center"/>
    </xf>
    <xf numFmtId="0" fontId="53" fillId="0" borderId="37" xfId="0" applyFont="1" applyBorder="1" applyAlignment="1">
      <alignment horizontal="center" vertical="center"/>
    </xf>
    <xf numFmtId="0" fontId="53" fillId="0" borderId="10" xfId="0" applyFont="1" applyBorder="1" applyAlignment="1">
      <alignment horizontal="center" vertical="center"/>
    </xf>
    <xf numFmtId="0" fontId="35" fillId="25" borderId="35" xfId="0" applyFont="1" applyFill="1" applyBorder="1" applyAlignment="1">
      <alignment horizontal="center" vertical="top" wrapText="1"/>
    </xf>
    <xf numFmtId="0" fontId="109" fillId="36" borderId="35" xfId="0" applyFont="1" applyFill="1" applyBorder="1" applyAlignment="1">
      <alignment vertical="center"/>
    </xf>
    <xf numFmtId="9" fontId="118" fillId="25" borderId="30" xfId="2" applyFont="1" applyFill="1" applyBorder="1" applyAlignment="1">
      <alignment horizontal="right"/>
    </xf>
    <xf numFmtId="9" fontId="118" fillId="25" borderId="29" xfId="2" applyFont="1" applyFill="1" applyBorder="1" applyAlignment="1">
      <alignment horizontal="right"/>
    </xf>
    <xf numFmtId="9" fontId="117" fillId="25" borderId="35" xfId="2" applyFont="1" applyFill="1" applyBorder="1" applyAlignment="1">
      <alignment horizontal="right"/>
    </xf>
    <xf numFmtId="9" fontId="117" fillId="25" borderId="30" xfId="2" applyFont="1" applyFill="1" applyBorder="1" applyAlignment="1">
      <alignment horizontal="right"/>
    </xf>
    <xf numFmtId="9" fontId="117" fillId="25" borderId="28" xfId="2" applyFont="1" applyFill="1" applyBorder="1" applyAlignment="1">
      <alignment horizontal="right"/>
    </xf>
    <xf numFmtId="9" fontId="119" fillId="25" borderId="30" xfId="2" applyFont="1" applyFill="1" applyBorder="1" applyAlignment="1">
      <alignment horizontal="right"/>
    </xf>
    <xf numFmtId="9" fontId="118" fillId="36" borderId="30" xfId="2" applyFont="1" applyFill="1" applyBorder="1" applyAlignment="1">
      <alignment horizontal="right"/>
    </xf>
    <xf numFmtId="9" fontId="117" fillId="36" borderId="35" xfId="2" applyFont="1" applyFill="1" applyBorder="1" applyAlignment="1">
      <alignment horizontal="right"/>
    </xf>
    <xf numFmtId="9" fontId="117" fillId="36" borderId="30" xfId="2" applyFont="1" applyFill="1" applyBorder="1" applyAlignment="1">
      <alignment horizontal="right"/>
    </xf>
    <xf numFmtId="0" fontId="0" fillId="0" borderId="9" xfId="0" applyBorder="1"/>
    <xf numFmtId="0" fontId="4" fillId="24" borderId="37" xfId="0" quotePrefix="1" applyFont="1" applyFill="1" applyBorder="1"/>
    <xf numFmtId="3" fontId="9" fillId="0" borderId="0" xfId="0" applyNumberFormat="1" applyFont="1" applyAlignment="1" applyProtection="1">
      <alignment horizontal="right" indent="2"/>
      <protection locked="0"/>
    </xf>
    <xf numFmtId="3" fontId="9" fillId="23" borderId="240" xfId="0" applyNumberFormat="1" applyFont="1" applyFill="1" applyBorder="1" applyAlignment="1">
      <alignment horizontal="right" indent="2"/>
    </xf>
    <xf numFmtId="3" fontId="9" fillId="19" borderId="240" xfId="0" applyNumberFormat="1" applyFont="1" applyFill="1" applyBorder="1" applyAlignment="1">
      <alignment horizontal="right" indent="2"/>
    </xf>
    <xf numFmtId="3" fontId="9" fillId="33" borderId="240" xfId="0" applyNumberFormat="1" applyFont="1" applyFill="1" applyBorder="1" applyAlignment="1">
      <alignment horizontal="right" indent="2"/>
    </xf>
    <xf numFmtId="0" fontId="27" fillId="7" borderId="0" xfId="0" applyFont="1" applyFill="1"/>
    <xf numFmtId="0" fontId="27" fillId="5" borderId="0" xfId="0" applyFont="1" applyFill="1"/>
    <xf numFmtId="0" fontId="27" fillId="16" borderId="0" xfId="0" applyFont="1" applyFill="1"/>
    <xf numFmtId="0" fontId="9" fillId="0" borderId="240" xfId="0" applyFont="1" applyBorder="1"/>
    <xf numFmtId="0" fontId="7" fillId="0" borderId="296" xfId="0" applyFont="1" applyBorder="1" applyAlignment="1">
      <alignment vertical="center" wrapText="1"/>
    </xf>
    <xf numFmtId="0" fontId="9" fillId="0" borderId="305" xfId="0" applyFont="1" applyBorder="1"/>
    <xf numFmtId="0" fontId="9" fillId="0" borderId="10" xfId="0" applyFont="1" applyBorder="1" applyAlignment="1">
      <alignment vertical="top" wrapText="1"/>
    </xf>
    <xf numFmtId="0" fontId="27" fillId="7" borderId="0" xfId="0" applyFont="1" applyFill="1" applyAlignment="1">
      <alignment horizontal="left" indent="1"/>
    </xf>
    <xf numFmtId="0" fontId="9" fillId="23" borderId="240" xfId="0" applyFont="1" applyFill="1" applyBorder="1" applyAlignment="1">
      <alignment horizontal="center"/>
    </xf>
    <xf numFmtId="170" fontId="9" fillId="23" borderId="240" xfId="0" applyNumberFormat="1" applyFont="1" applyFill="1" applyBorder="1" applyAlignment="1">
      <alignment horizontal="center"/>
    </xf>
    <xf numFmtId="0" fontId="27" fillId="17" borderId="0" xfId="0" applyFont="1" applyFill="1" applyAlignment="1">
      <alignment horizontal="left" indent="1"/>
    </xf>
    <xf numFmtId="0" fontId="9" fillId="20" borderId="304" xfId="0" applyFont="1" applyFill="1" applyBorder="1" applyAlignment="1">
      <alignment horizontal="center"/>
    </xf>
    <xf numFmtId="11" fontId="9" fillId="0" borderId="0" xfId="0" applyNumberFormat="1" applyFont="1"/>
    <xf numFmtId="0" fontId="6" fillId="24" borderId="272" xfId="0" applyFont="1" applyFill="1" applyBorder="1" applyAlignment="1">
      <alignment horizontal="left"/>
    </xf>
    <xf numFmtId="0" fontId="0" fillId="24" borderId="272" xfId="0" applyFill="1" applyBorder="1"/>
    <xf numFmtId="0" fontId="6" fillId="24" borderId="0" xfId="0" applyFont="1" applyFill="1" applyAlignment="1">
      <alignment horizontal="left"/>
    </xf>
    <xf numFmtId="0" fontId="4" fillId="24" borderId="0" xfId="0" quotePrefix="1" applyFont="1" applyFill="1"/>
    <xf numFmtId="0" fontId="0" fillId="24" borderId="0" xfId="0" applyFill="1" applyAlignment="1">
      <alignment horizontal="left"/>
    </xf>
    <xf numFmtId="0" fontId="4" fillId="24" borderId="0" xfId="0" quotePrefix="1" applyFont="1" applyFill="1" applyAlignment="1">
      <alignment horizontal="left" indent="1"/>
    </xf>
    <xf numFmtId="0" fontId="0" fillId="24" borderId="271" xfId="0" applyFill="1" applyBorder="1" applyAlignment="1">
      <alignment horizontal="left"/>
    </xf>
    <xf numFmtId="0" fontId="0" fillId="24" borderId="271" xfId="0" applyFill="1" applyBorder="1"/>
    <xf numFmtId="173" fontId="9" fillId="0" borderId="32" xfId="0" applyNumberFormat="1" applyFont="1" applyBorder="1" applyProtection="1">
      <protection locked="0"/>
    </xf>
    <xf numFmtId="173" fontId="9" fillId="8" borderId="24" xfId="0" applyNumberFormat="1" applyFont="1" applyFill="1" applyBorder="1"/>
    <xf numFmtId="173" fontId="9" fillId="0" borderId="24" xfId="0" applyNumberFormat="1" applyFont="1" applyBorder="1" applyProtection="1">
      <protection locked="0"/>
    </xf>
    <xf numFmtId="173" fontId="40" fillId="0" borderId="151" xfId="0" applyNumberFormat="1" applyFont="1" applyBorder="1"/>
    <xf numFmtId="173" fontId="9" fillId="8" borderId="37" xfId="0" applyNumberFormat="1" applyFont="1" applyFill="1" applyBorder="1"/>
    <xf numFmtId="173" fontId="9" fillId="8" borderId="35" xfId="0" applyNumberFormat="1" applyFont="1" applyFill="1" applyBorder="1"/>
    <xf numFmtId="173" fontId="9" fillId="0" borderId="35" xfId="0" applyNumberFormat="1" applyFont="1" applyBorder="1" applyProtection="1">
      <protection locked="0"/>
    </xf>
    <xf numFmtId="173" fontId="40" fillId="0" borderId="148" xfId="0" applyNumberFormat="1" applyFont="1" applyBorder="1"/>
    <xf numFmtId="173" fontId="41" fillId="8" borderId="37" xfId="0" applyNumberFormat="1" applyFont="1" applyFill="1" applyBorder="1"/>
    <xf numFmtId="173" fontId="41" fillId="8" borderId="35" xfId="0" applyNumberFormat="1" applyFont="1" applyFill="1" applyBorder="1"/>
    <xf numFmtId="173" fontId="9" fillId="0" borderId="38" xfId="0" applyNumberFormat="1" applyFont="1" applyBorder="1" applyProtection="1">
      <protection locked="0"/>
    </xf>
    <xf numFmtId="173" fontId="40" fillId="0" borderId="37" xfId="0" applyNumberFormat="1" applyFont="1" applyBorder="1"/>
    <xf numFmtId="173" fontId="40" fillId="0" borderId="35" xfId="0" applyNumberFormat="1" applyFont="1" applyBorder="1"/>
    <xf numFmtId="173" fontId="9" fillId="0" borderId="37" xfId="0" applyNumberFormat="1" applyFont="1" applyBorder="1"/>
    <xf numFmtId="173" fontId="40" fillId="0" borderId="26" xfId="0" applyNumberFormat="1" applyFont="1" applyBorder="1" applyProtection="1">
      <protection locked="0"/>
    </xf>
    <xf numFmtId="173" fontId="40" fillId="0" borderId="110" xfId="0" applyNumberFormat="1" applyFont="1" applyBorder="1"/>
    <xf numFmtId="173" fontId="9" fillId="0" borderId="128" xfId="0" applyNumberFormat="1" applyFont="1" applyBorder="1"/>
    <xf numFmtId="173" fontId="42" fillId="0" borderId="128" xfId="0" applyNumberFormat="1" applyFont="1" applyBorder="1" applyAlignment="1">
      <alignment vertical="center"/>
    </xf>
    <xf numFmtId="173" fontId="9" fillId="0" borderId="156" xfId="0" applyNumberFormat="1" applyFont="1" applyBorder="1" applyProtection="1">
      <protection locked="0"/>
    </xf>
    <xf numFmtId="173" fontId="40" fillId="0" borderId="174" xfId="0" applyNumberFormat="1" applyFont="1" applyBorder="1"/>
    <xf numFmtId="173" fontId="4" fillId="0" borderId="0" xfId="0" applyNumberFormat="1" applyFont="1"/>
    <xf numFmtId="173" fontId="9" fillId="0" borderId="118" xfId="0" applyNumberFormat="1" applyFont="1" applyBorder="1" applyProtection="1">
      <protection locked="0"/>
    </xf>
    <xf numFmtId="173" fontId="9" fillId="0" borderId="33" xfId="0" applyNumberFormat="1" applyFont="1" applyBorder="1" applyProtection="1">
      <protection locked="0"/>
    </xf>
    <xf numFmtId="173" fontId="9" fillId="0" borderId="26" xfId="0" applyNumberFormat="1" applyFont="1" applyBorder="1" applyProtection="1">
      <protection locked="0"/>
    </xf>
    <xf numFmtId="173" fontId="39" fillId="0" borderId="0" xfId="0" applyNumberFormat="1" applyFont="1" applyAlignment="1" applyProtection="1">
      <alignment horizontal="right"/>
      <protection hidden="1"/>
    </xf>
    <xf numFmtId="173" fontId="9" fillId="8" borderId="25" xfId="0" applyNumberFormat="1" applyFont="1" applyFill="1" applyBorder="1"/>
    <xf numFmtId="173" fontId="9" fillId="0" borderId="151" xfId="0" applyNumberFormat="1" applyFont="1" applyBorder="1" applyProtection="1">
      <protection locked="0"/>
    </xf>
    <xf numFmtId="173" fontId="9" fillId="8" borderId="9" xfId="0" applyNumberFormat="1" applyFont="1" applyFill="1" applyBorder="1"/>
    <xf numFmtId="173" fontId="9" fillId="0" borderId="148" xfId="0" applyNumberFormat="1" applyFont="1" applyBorder="1" applyProtection="1">
      <protection locked="0"/>
    </xf>
    <xf numFmtId="173" fontId="9" fillId="0" borderId="27" xfId="0" applyNumberFormat="1" applyFont="1" applyBorder="1" applyProtection="1">
      <protection locked="0"/>
    </xf>
    <xf numFmtId="173" fontId="9" fillId="0" borderId="110" xfId="0" applyNumberFormat="1" applyFont="1" applyBorder="1" applyProtection="1">
      <protection locked="0"/>
    </xf>
    <xf numFmtId="173" fontId="42" fillId="0" borderId="0" xfId="0" applyNumberFormat="1" applyFont="1"/>
    <xf numFmtId="173" fontId="42" fillId="0" borderId="0" xfId="0" applyNumberFormat="1" applyFont="1" applyAlignment="1" applyProtection="1">
      <alignment vertical="center"/>
      <protection hidden="1"/>
    </xf>
    <xf numFmtId="173" fontId="9" fillId="8" borderId="32" xfId="0" applyNumberFormat="1" applyFont="1" applyFill="1" applyBorder="1"/>
    <xf numFmtId="173" fontId="40" fillId="0" borderId="143" xfId="0" applyNumberFormat="1" applyFont="1" applyBorder="1"/>
    <xf numFmtId="173" fontId="9" fillId="8" borderId="33" xfId="0" applyNumberFormat="1" applyFont="1" applyFill="1" applyBorder="1"/>
    <xf numFmtId="173" fontId="9" fillId="8" borderId="26" xfId="0" applyNumberFormat="1" applyFont="1" applyFill="1" applyBorder="1"/>
    <xf numFmtId="0" fontId="40" fillId="2" borderId="197" xfId="0" applyFont="1" applyFill="1" applyBorder="1" applyProtection="1">
      <protection hidden="1"/>
    </xf>
    <xf numFmtId="0" fontId="40" fillId="2" borderId="142" xfId="0" applyFont="1" applyFill="1" applyBorder="1" applyProtection="1">
      <protection hidden="1"/>
    </xf>
    <xf numFmtId="0" fontId="9" fillId="2" borderId="140" xfId="0" applyFont="1" applyFill="1" applyBorder="1" applyProtection="1">
      <protection hidden="1"/>
    </xf>
    <xf numFmtId="0" fontId="9" fillId="2" borderId="198" xfId="0" applyFont="1" applyFill="1" applyBorder="1" applyProtection="1">
      <protection hidden="1"/>
    </xf>
    <xf numFmtId="0" fontId="40" fillId="2" borderId="138" xfId="0" applyFont="1" applyFill="1" applyBorder="1" applyProtection="1">
      <protection hidden="1"/>
    </xf>
    <xf numFmtId="173" fontId="40" fillId="0" borderId="193" xfId="0" applyNumberFormat="1" applyFont="1" applyBorder="1"/>
    <xf numFmtId="173" fontId="40" fillId="0" borderId="42" xfId="0" applyNumberFormat="1" applyFont="1" applyBorder="1"/>
    <xf numFmtId="173" fontId="40" fillId="4" borderId="200" xfId="0" applyNumberFormat="1" applyFont="1" applyFill="1" applyBorder="1"/>
    <xf numFmtId="173" fontId="40" fillId="0" borderId="201" xfId="0" applyNumberFormat="1" applyFont="1" applyBorder="1"/>
    <xf numFmtId="173" fontId="40" fillId="0" borderId="41" xfId="0" applyNumberFormat="1" applyFont="1" applyBorder="1"/>
    <xf numFmtId="173" fontId="40" fillId="0" borderId="4" xfId="0" applyNumberFormat="1" applyFont="1" applyBorder="1"/>
    <xf numFmtId="173" fontId="40" fillId="0" borderId="200" xfId="0" applyNumberFormat="1" applyFont="1" applyBorder="1"/>
    <xf numFmtId="173" fontId="40" fillId="4" borderId="193" xfId="0" applyNumberFormat="1" applyFont="1" applyFill="1" applyBorder="1"/>
    <xf numFmtId="173" fontId="40" fillId="0" borderId="194" xfId="0" applyNumberFormat="1" applyFont="1" applyBorder="1"/>
    <xf numFmtId="173" fontId="0" fillId="0" borderId="0" xfId="0" applyNumberFormat="1"/>
    <xf numFmtId="173" fontId="40" fillId="0" borderId="38" xfId="0" applyNumberFormat="1" applyFont="1" applyBorder="1"/>
    <xf numFmtId="173" fontId="40" fillId="0" borderId="29" xfId="0" applyNumberFormat="1" applyFont="1" applyBorder="1"/>
    <xf numFmtId="173" fontId="40" fillId="0" borderId="149" xfId="0" applyNumberFormat="1" applyFont="1" applyBorder="1"/>
    <xf numFmtId="173" fontId="40" fillId="4" borderId="177" xfId="0" applyNumberFormat="1" applyFont="1" applyFill="1" applyBorder="1"/>
    <xf numFmtId="173" fontId="40" fillId="0" borderId="65" xfId="0" applyNumberFormat="1" applyFont="1" applyBorder="1"/>
    <xf numFmtId="173" fontId="40" fillId="0" borderId="5" xfId="0" applyNumberFormat="1" applyFont="1" applyBorder="1"/>
    <xf numFmtId="173" fontId="40" fillId="0" borderId="177" xfId="0" applyNumberFormat="1" applyFont="1" applyBorder="1"/>
    <xf numFmtId="173" fontId="40" fillId="4" borderId="29" xfId="0" applyNumberFormat="1" applyFont="1" applyFill="1" applyBorder="1"/>
    <xf numFmtId="173" fontId="9" fillId="0" borderId="37" xfId="0" applyNumberFormat="1" applyFont="1" applyBorder="1" applyProtection="1">
      <protection locked="0"/>
    </xf>
    <xf numFmtId="173" fontId="9" fillId="0" borderId="10" xfId="0" applyNumberFormat="1" applyFont="1" applyBorder="1" applyProtection="1">
      <protection locked="0"/>
    </xf>
    <xf numFmtId="173" fontId="40" fillId="4" borderId="45" xfId="0" applyNumberFormat="1" applyFont="1" applyFill="1" applyBorder="1" applyProtection="1">
      <protection locked="0"/>
    </xf>
    <xf numFmtId="173" fontId="9" fillId="0" borderId="11" xfId="0" applyNumberFormat="1" applyFont="1" applyBorder="1" applyProtection="1">
      <protection locked="0"/>
    </xf>
    <xf numFmtId="173" fontId="9" fillId="0" borderId="45" xfId="0" applyNumberFormat="1" applyFont="1" applyBorder="1" applyProtection="1">
      <protection locked="0"/>
    </xf>
    <xf numFmtId="173" fontId="40" fillId="4" borderId="37" xfId="0" applyNumberFormat="1" applyFont="1" applyFill="1" applyBorder="1" applyProtection="1">
      <protection locked="0"/>
    </xf>
    <xf numFmtId="173" fontId="9" fillId="0" borderId="58" xfId="0" applyNumberFormat="1" applyFont="1" applyBorder="1" applyProtection="1">
      <protection locked="0"/>
    </xf>
    <xf numFmtId="173" fontId="9" fillId="0" borderId="34" xfId="0" applyNumberFormat="1" applyFont="1" applyBorder="1" applyProtection="1">
      <protection locked="0"/>
    </xf>
    <xf numFmtId="173" fontId="9" fillId="0" borderId="71" xfId="0" applyNumberFormat="1" applyFont="1" applyBorder="1" applyProtection="1">
      <protection locked="0"/>
    </xf>
    <xf numFmtId="173" fontId="9" fillId="0" borderId="28" xfId="0" applyNumberFormat="1" applyFont="1" applyBorder="1" applyProtection="1">
      <protection locked="0"/>
    </xf>
    <xf numFmtId="173" fontId="9" fillId="0" borderId="196" xfId="0" applyNumberFormat="1" applyFont="1" applyBorder="1" applyProtection="1">
      <protection locked="0"/>
    </xf>
    <xf numFmtId="173" fontId="9" fillId="0" borderId="61" xfId="0" applyNumberFormat="1" applyFont="1" applyBorder="1" applyProtection="1">
      <protection locked="0"/>
    </xf>
    <xf numFmtId="173" fontId="9" fillId="0" borderId="195" xfId="0" applyNumberFormat="1" applyFont="1" applyBorder="1" applyProtection="1">
      <protection locked="0"/>
    </xf>
    <xf numFmtId="173" fontId="40" fillId="4" borderId="46" xfId="0" applyNumberFormat="1" applyFont="1" applyFill="1" applyBorder="1" applyProtection="1">
      <protection locked="0"/>
    </xf>
    <xf numFmtId="173" fontId="9" fillId="0" borderId="62" xfId="0" applyNumberFormat="1" applyFont="1" applyBorder="1" applyProtection="1">
      <protection locked="0"/>
    </xf>
    <xf numFmtId="173" fontId="9" fillId="0" borderId="46" xfId="0" applyNumberFormat="1" applyFont="1" applyBorder="1" applyProtection="1">
      <protection locked="0"/>
    </xf>
    <xf numFmtId="173" fontId="9" fillId="0" borderId="47" xfId="0" applyNumberFormat="1" applyFont="1" applyBorder="1" applyProtection="1">
      <protection locked="0"/>
    </xf>
    <xf numFmtId="173" fontId="40" fillId="4" borderId="61" xfId="0" applyNumberFormat="1" applyFont="1" applyFill="1" applyBorder="1" applyProtection="1">
      <protection locked="0"/>
    </xf>
    <xf numFmtId="173" fontId="9" fillId="0" borderId="53" xfId="0" applyNumberFormat="1" applyFont="1" applyBorder="1" applyProtection="1">
      <protection locked="0"/>
    </xf>
    <xf numFmtId="173" fontId="40" fillId="0" borderId="192" xfId="0" applyNumberFormat="1" applyFont="1" applyBorder="1"/>
    <xf numFmtId="173" fontId="9" fillId="0" borderId="9" xfId="0" applyNumberFormat="1" applyFont="1" applyBorder="1" applyProtection="1">
      <protection locked="0"/>
    </xf>
    <xf numFmtId="173" fontId="40" fillId="4" borderId="35" xfId="0" applyNumberFormat="1" applyFont="1" applyFill="1" applyBorder="1" applyProtection="1">
      <protection locked="0"/>
    </xf>
    <xf numFmtId="173" fontId="9" fillId="0" borderId="199" xfId="0" applyNumberFormat="1" applyFont="1" applyBorder="1" applyProtection="1">
      <protection locked="0"/>
    </xf>
    <xf numFmtId="173" fontId="40" fillId="4" borderId="47" xfId="0" applyNumberFormat="1" applyFont="1" applyFill="1" applyBorder="1" applyProtection="1">
      <protection locked="0"/>
    </xf>
    <xf numFmtId="173" fontId="9" fillId="0" borderId="178" xfId="0" applyNumberFormat="1" applyFont="1" applyBorder="1" applyProtection="1">
      <protection locked="0"/>
    </xf>
    <xf numFmtId="173" fontId="9" fillId="0" borderId="152" xfId="0" applyNumberFormat="1" applyFont="1" applyBorder="1" applyProtection="1">
      <protection locked="0"/>
    </xf>
    <xf numFmtId="173" fontId="40" fillId="4" borderId="189" xfId="0" applyNumberFormat="1" applyFont="1" applyFill="1" applyBorder="1" applyProtection="1">
      <protection locked="0"/>
    </xf>
    <xf numFmtId="173" fontId="9" fillId="0" borderId="184" xfId="0" applyNumberFormat="1" applyFont="1" applyBorder="1" applyProtection="1">
      <protection locked="0"/>
    </xf>
    <xf numFmtId="173" fontId="9" fillId="0" borderId="83" xfId="0" applyNumberFormat="1" applyFont="1" applyBorder="1" applyProtection="1">
      <protection locked="0"/>
    </xf>
    <xf numFmtId="173" fontId="9" fillId="0" borderId="189" xfId="0" applyNumberFormat="1" applyFont="1" applyBorder="1" applyProtection="1">
      <protection locked="0"/>
    </xf>
    <xf numFmtId="173" fontId="40" fillId="4" borderId="156" xfId="0" applyNumberFormat="1" applyFont="1" applyFill="1" applyBorder="1" applyProtection="1">
      <protection locked="0"/>
    </xf>
    <xf numFmtId="173" fontId="40" fillId="0" borderId="135" xfId="0" applyNumberFormat="1" applyFont="1" applyBorder="1"/>
    <xf numFmtId="173" fontId="40" fillId="0" borderId="24" xfId="0" applyNumberFormat="1" applyFont="1" applyBorder="1"/>
    <xf numFmtId="173" fontId="40" fillId="0" borderId="25" xfId="0" applyNumberFormat="1" applyFont="1" applyBorder="1"/>
    <xf numFmtId="173" fontId="40" fillId="4" borderId="187" xfId="0" applyNumberFormat="1" applyFont="1" applyFill="1" applyBorder="1"/>
    <xf numFmtId="173" fontId="40" fillId="0" borderId="183" xfId="0" applyNumberFormat="1" applyFont="1" applyBorder="1"/>
    <xf numFmtId="173" fontId="40" fillId="0" borderId="32" xfId="0" applyNumberFormat="1" applyFont="1" applyBorder="1"/>
    <xf numFmtId="173" fontId="40" fillId="0" borderId="130" xfId="0" applyNumberFormat="1" applyFont="1" applyBorder="1"/>
    <xf numFmtId="173" fontId="40" fillId="0" borderId="187" xfId="0" applyNumberFormat="1" applyFont="1" applyBorder="1"/>
    <xf numFmtId="173" fontId="40" fillId="4" borderId="24" xfId="0" applyNumberFormat="1" applyFont="1" applyFill="1" applyBorder="1"/>
    <xf numFmtId="173" fontId="9" fillId="0" borderId="111" xfId="0" applyNumberFormat="1" applyFont="1" applyBorder="1" applyProtection="1">
      <protection locked="0"/>
    </xf>
    <xf numFmtId="173" fontId="40" fillId="4" borderId="177" xfId="0" applyNumberFormat="1" applyFont="1" applyFill="1" applyBorder="1" applyProtection="1">
      <protection locked="0"/>
    </xf>
    <xf numFmtId="173" fontId="40" fillId="4" borderId="29" xfId="0" applyNumberFormat="1" applyFont="1" applyFill="1" applyBorder="1" applyProtection="1">
      <protection locked="0"/>
    </xf>
    <xf numFmtId="173" fontId="40" fillId="0" borderId="136" xfId="0" applyNumberFormat="1" applyFont="1" applyBorder="1"/>
    <xf numFmtId="173" fontId="9" fillId="0" borderId="36" xfId="0" applyNumberFormat="1" applyFont="1" applyBorder="1" applyProtection="1">
      <protection locked="0"/>
    </xf>
    <xf numFmtId="173" fontId="9" fillId="0" borderId="146" xfId="0" applyNumberFormat="1" applyFont="1" applyBorder="1" applyProtection="1">
      <protection locked="0"/>
    </xf>
    <xf numFmtId="173" fontId="40" fillId="4" borderId="71" xfId="0" applyNumberFormat="1" applyFont="1" applyFill="1" applyBorder="1" applyProtection="1">
      <protection locked="0"/>
    </xf>
    <xf numFmtId="173" fontId="9" fillId="0" borderId="59" xfId="0" applyNumberFormat="1" applyFont="1" applyBorder="1" applyProtection="1">
      <protection locked="0"/>
    </xf>
    <xf numFmtId="173" fontId="40" fillId="4" borderId="28" xfId="0" applyNumberFormat="1" applyFont="1" applyFill="1" applyBorder="1" applyProtection="1">
      <protection locked="0"/>
    </xf>
    <xf numFmtId="173" fontId="40" fillId="4" borderId="182" xfId="0" applyNumberFormat="1" applyFont="1" applyFill="1" applyBorder="1" applyProtection="1">
      <protection locked="0"/>
    </xf>
    <xf numFmtId="173" fontId="9" fillId="0" borderId="181" xfId="0" applyNumberFormat="1" applyFont="1" applyBorder="1" applyProtection="1">
      <protection locked="0"/>
    </xf>
    <xf numFmtId="173" fontId="9" fillId="0" borderId="154" xfId="0" applyNumberFormat="1" applyFont="1" applyBorder="1" applyProtection="1">
      <protection locked="0"/>
    </xf>
    <xf numFmtId="173" fontId="9" fillId="0" borderId="182" xfId="0" applyNumberFormat="1" applyFont="1" applyBorder="1" applyProtection="1">
      <protection locked="0"/>
    </xf>
    <xf numFmtId="173" fontId="40" fillId="4" borderId="26" xfId="0" applyNumberFormat="1" applyFont="1" applyFill="1" applyBorder="1" applyProtection="1">
      <protection locked="0"/>
    </xf>
    <xf numFmtId="175" fontId="40" fillId="0" borderId="41" xfId="0" applyNumberFormat="1" applyFont="1" applyBorder="1"/>
    <xf numFmtId="175" fontId="40" fillId="0" borderId="42" xfId="0" applyNumberFormat="1" applyFont="1" applyBorder="1"/>
    <xf numFmtId="175" fontId="40" fillId="4" borderId="200" xfId="0" applyNumberFormat="1" applyFont="1" applyFill="1" applyBorder="1"/>
    <xf numFmtId="175" fontId="40" fillId="0" borderId="193" xfId="0" applyNumberFormat="1" applyFont="1" applyBorder="1"/>
    <xf numFmtId="175" fontId="40" fillId="0" borderId="201" xfId="0" applyNumberFormat="1" applyFont="1" applyBorder="1"/>
    <xf numFmtId="175" fontId="40" fillId="0" borderId="4" xfId="0" applyNumberFormat="1" applyFont="1" applyBorder="1"/>
    <xf numFmtId="175" fontId="40" fillId="0" borderId="200" xfId="0" applyNumberFormat="1" applyFont="1" applyBorder="1"/>
    <xf numFmtId="175" fontId="40" fillId="4" borderId="193" xfId="0" applyNumberFormat="1" applyFont="1" applyFill="1" applyBorder="1"/>
    <xf numFmtId="175" fontId="40" fillId="0" borderId="194" xfId="0" applyNumberFormat="1" applyFont="1" applyBorder="1"/>
    <xf numFmtId="175" fontId="40" fillId="0" borderId="38" xfId="0" applyNumberFormat="1" applyFont="1" applyBorder="1"/>
    <xf numFmtId="175" fontId="40" fillId="0" borderId="149" xfId="0" applyNumberFormat="1" applyFont="1" applyBorder="1"/>
    <xf numFmtId="175" fontId="40" fillId="4" borderId="177" xfId="0" applyNumberFormat="1" applyFont="1" applyFill="1" applyBorder="1"/>
    <xf numFmtId="175" fontId="40" fillId="0" borderId="29" xfId="0" applyNumberFormat="1" applyFont="1" applyBorder="1"/>
    <xf numFmtId="175" fontId="40" fillId="0" borderId="65" xfId="0" applyNumberFormat="1" applyFont="1" applyBorder="1"/>
    <xf numFmtId="175" fontId="40" fillId="0" borderId="5" xfId="0" applyNumberFormat="1" applyFont="1" applyBorder="1"/>
    <xf numFmtId="175" fontId="40" fillId="0" borderId="177" xfId="0" applyNumberFormat="1" applyFont="1" applyBorder="1"/>
    <xf numFmtId="175" fontId="40" fillId="4" borderId="29" xfId="0" applyNumberFormat="1" applyFont="1" applyFill="1" applyBorder="1"/>
    <xf numFmtId="175" fontId="40" fillId="0" borderId="143" xfId="0" applyNumberFormat="1" applyFont="1" applyBorder="1"/>
    <xf numFmtId="175" fontId="9" fillId="0" borderId="37" xfId="0" applyNumberFormat="1" applyFont="1" applyBorder="1" applyProtection="1">
      <protection locked="0"/>
    </xf>
    <xf numFmtId="175" fontId="9" fillId="0" borderId="10" xfId="0" applyNumberFormat="1" applyFont="1" applyBorder="1" applyProtection="1">
      <protection locked="0"/>
    </xf>
    <xf numFmtId="175" fontId="40" fillId="4" borderId="45" xfId="0" applyNumberFormat="1" applyFont="1" applyFill="1" applyBorder="1" applyProtection="1">
      <protection locked="0"/>
    </xf>
    <xf numFmtId="175" fontId="9" fillId="0" borderId="11" xfId="0" applyNumberFormat="1" applyFont="1" applyBorder="1" applyProtection="1">
      <protection locked="0"/>
    </xf>
    <xf numFmtId="175" fontId="9" fillId="0" borderId="45" xfId="0" applyNumberFormat="1" applyFont="1" applyBorder="1" applyProtection="1">
      <protection locked="0"/>
    </xf>
    <xf numFmtId="175" fontId="9" fillId="0" borderId="35" xfId="0" applyNumberFormat="1" applyFont="1" applyBorder="1" applyProtection="1">
      <protection locked="0"/>
    </xf>
    <xf numFmtId="175" fontId="40" fillId="4" borderId="37" xfId="0" applyNumberFormat="1" applyFont="1" applyFill="1" applyBorder="1" applyProtection="1">
      <protection locked="0"/>
    </xf>
    <xf numFmtId="175" fontId="9" fillId="0" borderId="58" xfId="0" applyNumberFormat="1" applyFont="1" applyBorder="1" applyProtection="1">
      <protection locked="0"/>
    </xf>
    <xf numFmtId="175" fontId="40" fillId="0" borderId="148" xfId="0" applyNumberFormat="1" applyFont="1" applyBorder="1"/>
    <xf numFmtId="175" fontId="9" fillId="0" borderId="34" xfId="0" applyNumberFormat="1" applyFont="1" applyBorder="1" applyProtection="1">
      <protection locked="0"/>
    </xf>
    <xf numFmtId="175" fontId="9" fillId="0" borderId="71" xfId="0" applyNumberFormat="1" applyFont="1" applyBorder="1" applyProtection="1">
      <protection locked="0"/>
    </xf>
    <xf numFmtId="175" fontId="9" fillId="0" borderId="28" xfId="0" applyNumberFormat="1" applyFont="1" applyBorder="1" applyProtection="1">
      <protection locked="0"/>
    </xf>
    <xf numFmtId="175" fontId="9" fillId="0" borderId="61" xfId="0" applyNumberFormat="1" applyFont="1" applyBorder="1" applyProtection="1">
      <protection locked="0"/>
    </xf>
    <xf numFmtId="175" fontId="9" fillId="0" borderId="195" xfId="0" applyNumberFormat="1" applyFont="1" applyBorder="1" applyProtection="1">
      <protection locked="0"/>
    </xf>
    <xf numFmtId="175" fontId="40" fillId="4" borderId="46" xfId="0" applyNumberFormat="1" applyFont="1" applyFill="1" applyBorder="1" applyProtection="1">
      <protection locked="0"/>
    </xf>
    <xf numFmtId="175" fontId="9" fillId="0" borderId="62" xfId="0" applyNumberFormat="1" applyFont="1" applyBorder="1" applyProtection="1">
      <protection locked="0"/>
    </xf>
    <xf numFmtId="175" fontId="9" fillId="0" borderId="46" xfId="0" applyNumberFormat="1" applyFont="1" applyBorder="1" applyProtection="1">
      <protection locked="0"/>
    </xf>
    <xf numFmtId="175" fontId="9" fillId="0" borderId="47" xfId="0" applyNumberFormat="1" applyFont="1" applyBorder="1" applyProtection="1">
      <protection locked="0"/>
    </xf>
    <xf numFmtId="175" fontId="40" fillId="4" borderId="61" xfId="0" applyNumberFormat="1" applyFont="1" applyFill="1" applyBorder="1" applyProtection="1">
      <protection locked="0"/>
    </xf>
    <xf numFmtId="175" fontId="9" fillId="0" borderId="53" xfId="0" applyNumberFormat="1" applyFont="1" applyBorder="1" applyProtection="1">
      <protection locked="0"/>
    </xf>
    <xf numFmtId="175" fontId="40" fillId="0" borderId="192" xfId="0" applyNumberFormat="1" applyFont="1" applyBorder="1"/>
    <xf numFmtId="175" fontId="9" fillId="0" borderId="9" xfId="0" applyNumberFormat="1" applyFont="1" applyBorder="1" applyProtection="1">
      <protection locked="0"/>
    </xf>
    <xf numFmtId="175" fontId="40" fillId="4" borderId="35" xfId="0" applyNumberFormat="1" applyFont="1" applyFill="1" applyBorder="1" applyProtection="1">
      <protection locked="0"/>
    </xf>
    <xf numFmtId="175" fontId="9" fillId="0" borderId="199" xfId="0" applyNumberFormat="1" applyFont="1" applyBorder="1" applyProtection="1">
      <protection locked="0"/>
    </xf>
    <xf numFmtId="175" fontId="40" fillId="4" borderId="47" xfId="0" applyNumberFormat="1" applyFont="1" applyFill="1" applyBorder="1" applyProtection="1">
      <protection locked="0"/>
    </xf>
    <xf numFmtId="175" fontId="9" fillId="0" borderId="178" xfId="0" applyNumberFormat="1" applyFont="1" applyBorder="1" applyProtection="1">
      <protection locked="0"/>
    </xf>
    <xf numFmtId="175" fontId="9" fillId="0" borderId="152" xfId="0" applyNumberFormat="1" applyFont="1" applyBorder="1" applyProtection="1">
      <protection locked="0"/>
    </xf>
    <xf numFmtId="175" fontId="40" fillId="4" borderId="189" xfId="0" applyNumberFormat="1" applyFont="1" applyFill="1" applyBorder="1" applyProtection="1">
      <protection locked="0"/>
    </xf>
    <xf numFmtId="175" fontId="9" fillId="0" borderId="156" xfId="0" applyNumberFormat="1" applyFont="1" applyBorder="1" applyProtection="1">
      <protection locked="0"/>
    </xf>
    <xf numFmtId="175" fontId="9" fillId="0" borderId="184" xfId="0" applyNumberFormat="1" applyFont="1" applyBorder="1" applyProtection="1">
      <protection locked="0"/>
    </xf>
    <xf numFmtId="175" fontId="9" fillId="0" borderId="83" xfId="0" applyNumberFormat="1" applyFont="1" applyBorder="1" applyProtection="1">
      <protection locked="0"/>
    </xf>
    <xf numFmtId="175" fontId="9" fillId="0" borderId="189" xfId="0" applyNumberFormat="1" applyFont="1" applyBorder="1" applyProtection="1">
      <protection locked="0"/>
    </xf>
    <xf numFmtId="175" fontId="40" fillId="4" borderId="156" xfId="0" applyNumberFormat="1" applyFont="1" applyFill="1" applyBorder="1" applyProtection="1">
      <protection locked="0"/>
    </xf>
    <xf numFmtId="175" fontId="40" fillId="0" borderId="174" xfId="0" applyNumberFormat="1" applyFont="1" applyBorder="1"/>
    <xf numFmtId="175" fontId="40" fillId="0" borderId="32" xfId="0" applyNumberFormat="1" applyFont="1" applyBorder="1"/>
    <xf numFmtId="175" fontId="40" fillId="0" borderId="25" xfId="0" applyNumberFormat="1" applyFont="1" applyBorder="1"/>
    <xf numFmtId="175" fontId="40" fillId="4" borderId="187" xfId="0" applyNumberFormat="1" applyFont="1" applyFill="1" applyBorder="1"/>
    <xf numFmtId="175" fontId="40" fillId="0" borderId="24" xfId="0" applyNumberFormat="1" applyFont="1" applyBorder="1"/>
    <xf numFmtId="175" fontId="40" fillId="0" borderId="183" xfId="0" applyNumberFormat="1" applyFont="1" applyBorder="1"/>
    <xf numFmtId="175" fontId="40" fillId="0" borderId="130" xfId="0" applyNumberFormat="1" applyFont="1" applyBorder="1"/>
    <xf numFmtId="175" fontId="40" fillId="0" borderId="187" xfId="0" applyNumberFormat="1" applyFont="1" applyBorder="1"/>
    <xf numFmtId="175" fontId="40" fillId="4" borderId="24" xfId="0" applyNumberFormat="1" applyFont="1" applyFill="1" applyBorder="1"/>
    <xf numFmtId="175" fontId="40" fillId="0" borderId="151" xfId="0" applyNumberFormat="1" applyFont="1" applyBorder="1"/>
    <xf numFmtId="175" fontId="40" fillId="4" borderId="177" xfId="0" applyNumberFormat="1" applyFont="1" applyFill="1" applyBorder="1" applyProtection="1">
      <protection locked="0"/>
    </xf>
    <xf numFmtId="175" fontId="40" fillId="4" borderId="29" xfId="0" applyNumberFormat="1" applyFont="1" applyFill="1" applyBorder="1" applyProtection="1">
      <protection locked="0"/>
    </xf>
    <xf numFmtId="175" fontId="9" fillId="0" borderId="36" xfId="0" applyNumberFormat="1" applyFont="1" applyBorder="1" applyProtection="1">
      <protection locked="0"/>
    </xf>
    <xf numFmtId="175" fontId="9" fillId="0" borderId="146" xfId="0" applyNumberFormat="1" applyFont="1" applyBorder="1" applyProtection="1">
      <protection locked="0"/>
    </xf>
    <xf numFmtId="175" fontId="40" fillId="4" borderId="71" xfId="0" applyNumberFormat="1" applyFont="1" applyFill="1" applyBorder="1" applyProtection="1">
      <protection locked="0"/>
    </xf>
    <xf numFmtId="175" fontId="9" fillId="0" borderId="59" xfId="0" applyNumberFormat="1" applyFont="1" applyBorder="1" applyProtection="1">
      <protection locked="0"/>
    </xf>
    <xf numFmtId="175" fontId="40" fillId="4" borderId="28" xfId="0" applyNumberFormat="1" applyFont="1" applyFill="1" applyBorder="1" applyProtection="1">
      <protection locked="0"/>
    </xf>
    <xf numFmtId="175" fontId="9" fillId="0" borderId="33" xfId="0" applyNumberFormat="1" applyFont="1" applyBorder="1" applyProtection="1">
      <protection locked="0"/>
    </xf>
    <xf numFmtId="175" fontId="9" fillId="0" borderId="27" xfId="0" applyNumberFormat="1" applyFont="1" applyBorder="1" applyProtection="1">
      <protection locked="0"/>
    </xf>
    <xf numFmtId="175" fontId="40" fillId="4" borderId="182" xfId="0" applyNumberFormat="1" applyFont="1" applyFill="1" applyBorder="1" applyProtection="1">
      <protection locked="0"/>
    </xf>
    <xf numFmtId="175" fontId="9" fillId="0" borderId="26" xfId="0" applyNumberFormat="1" applyFont="1" applyBorder="1" applyProtection="1">
      <protection locked="0"/>
    </xf>
    <xf numFmtId="175" fontId="9" fillId="0" borderId="181" xfId="0" applyNumberFormat="1" applyFont="1" applyBorder="1" applyProtection="1">
      <protection locked="0"/>
    </xf>
    <xf numFmtId="175" fontId="9" fillId="0" borderId="154" xfId="0" applyNumberFormat="1" applyFont="1" applyBorder="1" applyProtection="1">
      <protection locked="0"/>
    </xf>
    <xf numFmtId="175" fontId="9" fillId="0" borderId="182" xfId="0" applyNumberFormat="1" applyFont="1" applyBorder="1" applyProtection="1">
      <protection locked="0"/>
    </xf>
    <xf numFmtId="175" fontId="40" fillId="4" borderId="26" xfId="0" applyNumberFormat="1" applyFont="1" applyFill="1" applyBorder="1" applyProtection="1">
      <protection locked="0"/>
    </xf>
    <xf numFmtId="175" fontId="40" fillId="0" borderId="110" xfId="0" applyNumberFormat="1" applyFont="1" applyBorder="1"/>
    <xf numFmtId="173" fontId="13" fillId="0" borderId="52" xfId="0" applyNumberFormat="1" applyFont="1" applyBorder="1" applyAlignment="1">
      <alignment vertical="center"/>
    </xf>
    <xf numFmtId="173" fontId="12" fillId="0" borderId="53" xfId="0" applyNumberFormat="1" applyFont="1" applyBorder="1" applyAlignment="1">
      <alignment vertical="center"/>
    </xf>
    <xf numFmtId="173" fontId="12" fillId="0" borderId="64" xfId="0" applyNumberFormat="1" applyFont="1" applyBorder="1" applyAlignment="1">
      <alignment vertical="center"/>
    </xf>
    <xf numFmtId="173" fontId="13" fillId="0" borderId="61" xfId="0" applyNumberFormat="1" applyFont="1" applyBorder="1" applyAlignment="1" applyProtection="1">
      <alignment vertical="center"/>
      <protection locked="0"/>
    </xf>
    <xf numFmtId="173" fontId="13" fillId="0" borderId="38" xfId="0" applyNumberFormat="1" applyFont="1" applyBorder="1" applyAlignment="1">
      <alignment vertical="center"/>
    </xf>
    <xf numFmtId="173" fontId="12" fillId="0" borderId="52" xfId="0" applyNumberFormat="1" applyFont="1" applyBorder="1" applyAlignment="1">
      <alignment vertical="center"/>
    </xf>
    <xf numFmtId="173" fontId="12" fillId="0" borderId="38" xfId="0" applyNumberFormat="1" applyFont="1" applyBorder="1" applyAlignment="1" applyProtection="1">
      <alignment vertical="center"/>
      <protection locked="0"/>
    </xf>
    <xf numFmtId="175" fontId="12" fillId="0" borderId="23" xfId="0" applyNumberFormat="1" applyFont="1" applyBorder="1" applyProtection="1">
      <protection locked="0"/>
    </xf>
    <xf numFmtId="175" fontId="12" fillId="0" borderId="70" xfId="0" applyNumberFormat="1" applyFont="1" applyBorder="1" applyProtection="1">
      <protection locked="0"/>
    </xf>
    <xf numFmtId="175" fontId="12" fillId="0" borderId="11" xfId="0" applyNumberFormat="1" applyFont="1" applyBorder="1" applyProtection="1">
      <protection locked="0"/>
    </xf>
    <xf numFmtId="175" fontId="12" fillId="0" borderId="68" xfId="0" applyNumberFormat="1" applyFont="1" applyBorder="1" applyProtection="1">
      <protection locked="0"/>
    </xf>
    <xf numFmtId="175" fontId="12" fillId="0" borderId="52" xfId="0" applyNumberFormat="1" applyFont="1" applyBorder="1" applyProtection="1">
      <protection locked="0"/>
    </xf>
    <xf numFmtId="175" fontId="12" fillId="0" borderId="69" xfId="0" applyNumberFormat="1" applyFont="1" applyBorder="1" applyProtection="1">
      <protection locked="0"/>
    </xf>
    <xf numFmtId="175" fontId="13" fillId="0" borderId="52" xfId="0" applyNumberFormat="1" applyFont="1" applyBorder="1"/>
    <xf numFmtId="175" fontId="13" fillId="0" borderId="69" xfId="0" applyNumberFormat="1" applyFont="1" applyBorder="1"/>
    <xf numFmtId="173" fontId="12" fillId="0" borderId="28" xfId="0" applyNumberFormat="1" applyFont="1" applyBorder="1" applyAlignment="1" applyProtection="1">
      <alignment vertical="center"/>
      <protection locked="0"/>
    </xf>
    <xf numFmtId="173" fontId="12" fillId="0" borderId="58" xfId="0" applyNumberFormat="1" applyFont="1" applyBorder="1" applyAlignment="1">
      <alignment vertical="center"/>
    </xf>
    <xf numFmtId="173" fontId="12" fillId="0" borderId="35" xfId="0" applyNumberFormat="1" applyFont="1" applyBorder="1" applyAlignment="1" applyProtection="1">
      <alignment vertical="center"/>
      <protection locked="0"/>
    </xf>
    <xf numFmtId="173" fontId="12" fillId="0" borderId="44" xfId="0" applyNumberFormat="1" applyFont="1" applyBorder="1" applyAlignment="1">
      <alignment vertical="center"/>
    </xf>
    <xf numFmtId="173" fontId="12" fillId="0" borderId="59" xfId="0" applyNumberFormat="1" applyFont="1" applyBorder="1" applyAlignment="1">
      <alignment vertical="center"/>
    </xf>
    <xf numFmtId="173" fontId="12" fillId="4" borderId="50" xfId="0" applyNumberFormat="1" applyFont="1" applyFill="1" applyBorder="1" applyAlignment="1">
      <alignment vertical="center"/>
    </xf>
    <xf numFmtId="173" fontId="12" fillId="4" borderId="38" xfId="0" applyNumberFormat="1" applyFont="1" applyFill="1" applyBorder="1" applyAlignment="1">
      <alignment vertical="center"/>
    </xf>
    <xf numFmtId="173" fontId="12" fillId="0" borderId="50" xfId="0" applyNumberFormat="1" applyFont="1" applyBorder="1" applyAlignment="1" applyProtection="1">
      <alignment vertical="center"/>
      <protection locked="0"/>
    </xf>
    <xf numFmtId="173" fontId="13" fillId="0" borderId="62" xfId="0" applyNumberFormat="1" applyFont="1" applyBorder="1" applyAlignment="1">
      <alignment vertical="center"/>
    </xf>
    <xf numFmtId="173" fontId="12" fillId="0" borderId="0" xfId="0" applyNumberFormat="1" applyFont="1" applyAlignment="1">
      <alignment vertical="center"/>
    </xf>
    <xf numFmtId="175" fontId="13" fillId="0" borderId="68" xfId="0" applyNumberFormat="1" applyFont="1" applyBorder="1"/>
    <xf numFmtId="173" fontId="12" fillId="0" borderId="47" xfId="0" applyNumberFormat="1" applyFont="1" applyBorder="1" applyAlignment="1" applyProtection="1">
      <alignment vertical="center"/>
      <protection locked="0"/>
    </xf>
    <xf numFmtId="175" fontId="13" fillId="0" borderId="11" xfId="0" applyNumberFormat="1" applyFont="1" applyBorder="1"/>
    <xf numFmtId="173" fontId="12" fillId="0" borderId="51" xfId="0" applyNumberFormat="1" applyFont="1" applyBorder="1" applyAlignment="1" applyProtection="1">
      <alignment vertical="center"/>
      <protection locked="0"/>
    </xf>
    <xf numFmtId="173" fontId="4" fillId="0" borderId="0" xfId="0" applyNumberFormat="1" applyFont="1" applyAlignment="1">
      <alignment horizontal="center"/>
    </xf>
    <xf numFmtId="173" fontId="0" fillId="0" borderId="0" xfId="0" applyNumberFormat="1" applyProtection="1">
      <protection locked="0"/>
    </xf>
    <xf numFmtId="173" fontId="34" fillId="0" borderId="0" xfId="0" applyNumberFormat="1" applyFont="1" applyAlignment="1">
      <alignment horizontal="center"/>
    </xf>
    <xf numFmtId="173" fontId="4" fillId="0" borderId="35" xfId="0" applyNumberFormat="1" applyFont="1" applyBorder="1" applyProtection="1">
      <protection locked="0"/>
    </xf>
    <xf numFmtId="173" fontId="12" fillId="0" borderId="57" xfId="0" applyNumberFormat="1" applyFont="1" applyBorder="1" applyAlignment="1">
      <alignment vertical="center"/>
    </xf>
    <xf numFmtId="173" fontId="12" fillId="4" borderId="53" xfId="0" applyNumberFormat="1" applyFont="1" applyFill="1" applyBorder="1" applyAlignment="1">
      <alignment vertical="center"/>
    </xf>
    <xf numFmtId="173" fontId="34" fillId="0" borderId="0" xfId="0" applyNumberFormat="1" applyFont="1"/>
    <xf numFmtId="173" fontId="12" fillId="0" borderId="56" xfId="0" applyNumberFormat="1" applyFont="1" applyBorder="1" applyAlignment="1" applyProtection="1">
      <alignment vertical="center"/>
      <protection locked="0"/>
    </xf>
    <xf numFmtId="173" fontId="12" fillId="4" borderId="47" xfId="0" applyNumberFormat="1" applyFont="1" applyFill="1" applyBorder="1" applyAlignment="1">
      <alignment vertical="center"/>
    </xf>
    <xf numFmtId="173" fontId="45" fillId="0" borderId="0" xfId="0" applyNumberFormat="1" applyFont="1" applyAlignment="1">
      <alignment vertical="center"/>
    </xf>
    <xf numFmtId="173" fontId="33" fillId="4" borderId="35" xfId="0" applyNumberFormat="1" applyFont="1" applyFill="1" applyBorder="1"/>
    <xf numFmtId="173" fontId="12" fillId="4" borderId="55" xfId="0" applyNumberFormat="1" applyFont="1" applyFill="1" applyBorder="1" applyAlignment="1">
      <alignment vertical="center"/>
    </xf>
    <xf numFmtId="173" fontId="12" fillId="4" borderId="54" xfId="0" applyNumberFormat="1" applyFont="1" applyFill="1" applyBorder="1" applyAlignment="1">
      <alignment vertical="center"/>
    </xf>
    <xf numFmtId="173" fontId="12" fillId="4" borderId="51" xfId="0" applyNumberFormat="1" applyFont="1" applyFill="1" applyBorder="1" applyAlignment="1">
      <alignment vertical="center"/>
    </xf>
    <xf numFmtId="173" fontId="12" fillId="4" borderId="52" xfId="0" applyNumberFormat="1" applyFont="1" applyFill="1" applyBorder="1" applyAlignment="1">
      <alignment vertical="center"/>
    </xf>
    <xf numFmtId="0" fontId="43" fillId="0" borderId="31" xfId="0" applyFont="1" applyBorder="1" applyAlignment="1">
      <alignment horizontal="center"/>
    </xf>
    <xf numFmtId="0" fontId="43" fillId="0" borderId="40" xfId="0" applyFont="1" applyBorder="1" applyAlignment="1">
      <alignment horizontal="center"/>
    </xf>
    <xf numFmtId="0" fontId="43" fillId="0" borderId="58" xfId="0" applyFont="1" applyBorder="1" applyAlignment="1">
      <alignment horizontal="centerContinuous"/>
    </xf>
    <xf numFmtId="0" fontId="45" fillId="0" borderId="44" xfId="0" applyFont="1" applyBorder="1" applyAlignment="1" applyProtection="1">
      <alignment horizontal="centerContinuous" vertical="center" wrapText="1"/>
      <protection hidden="1"/>
    </xf>
    <xf numFmtId="0" fontId="46" fillId="0" borderId="52" xfId="0" applyFont="1" applyBorder="1" applyAlignment="1" applyProtection="1">
      <alignment horizontal="center" vertical="center"/>
      <protection hidden="1"/>
    </xf>
    <xf numFmtId="0" fontId="46" fillId="0" borderId="45" xfId="0" applyFont="1" applyBorder="1" applyAlignment="1" applyProtection="1">
      <alignment horizontal="left" vertical="center"/>
      <protection hidden="1"/>
    </xf>
    <xf numFmtId="0" fontId="13" fillId="0" borderId="12" xfId="0" applyFont="1" applyBorder="1" applyAlignment="1" applyProtection="1">
      <alignment horizontal="left" vertical="center" indent="1"/>
      <protection hidden="1"/>
    </xf>
    <xf numFmtId="0" fontId="13" fillId="0" borderId="46" xfId="0" applyFont="1" applyBorder="1" applyAlignment="1" applyProtection="1">
      <alignment horizontal="left" vertical="center" indent="1"/>
      <protection hidden="1"/>
    </xf>
    <xf numFmtId="175" fontId="13" fillId="0" borderId="58" xfId="0" applyNumberFormat="1" applyFont="1" applyBorder="1" applyAlignment="1" applyProtection="1">
      <alignment vertical="center"/>
      <protection locked="0"/>
    </xf>
    <xf numFmtId="0" fontId="12" fillId="0" borderId="45" xfId="0" applyFont="1" applyBorder="1" applyAlignment="1" applyProtection="1">
      <alignment horizontal="left" vertical="center" wrapText="1" indent="4"/>
      <protection hidden="1"/>
    </xf>
    <xf numFmtId="175" fontId="12" fillId="0" borderId="58" xfId="0" applyNumberFormat="1" applyFont="1" applyBorder="1" applyAlignment="1" applyProtection="1">
      <alignment vertical="center"/>
      <protection locked="0"/>
    </xf>
    <xf numFmtId="0" fontId="12" fillId="0" borderId="45" xfId="0" applyFont="1" applyBorder="1" applyAlignment="1" applyProtection="1">
      <alignment horizontal="left" vertical="center" indent="4"/>
      <protection hidden="1"/>
    </xf>
    <xf numFmtId="175" fontId="13" fillId="0" borderId="65" xfId="0" applyNumberFormat="1" applyFont="1" applyBorder="1" applyAlignment="1">
      <alignment vertical="center"/>
    </xf>
    <xf numFmtId="175" fontId="13" fillId="0" borderId="58" xfId="0" applyNumberFormat="1" applyFont="1" applyBorder="1" applyAlignment="1">
      <alignment vertical="center"/>
    </xf>
    <xf numFmtId="175" fontId="13" fillId="0" borderId="53" xfId="0" applyNumberFormat="1" applyFont="1" applyBorder="1" applyAlignment="1">
      <alignment vertical="center"/>
    </xf>
    <xf numFmtId="173" fontId="34" fillId="0" borderId="34" xfId="0" applyNumberFormat="1" applyFont="1" applyBorder="1" applyAlignment="1">
      <alignment horizontal="center"/>
    </xf>
    <xf numFmtId="173" fontId="4" fillId="0" borderId="5" xfId="0" applyNumberFormat="1" applyFont="1" applyBorder="1"/>
    <xf numFmtId="173" fontId="4" fillId="0" borderId="34" xfId="0" applyNumberFormat="1" applyFont="1" applyBorder="1"/>
    <xf numFmtId="175" fontId="4" fillId="0" borderId="24" xfId="0" applyNumberFormat="1" applyFont="1" applyBorder="1" applyProtection="1">
      <protection locked="0"/>
    </xf>
    <xf numFmtId="175" fontId="4" fillId="0" borderId="25" xfId="0" applyNumberFormat="1" applyFont="1" applyBorder="1" applyProtection="1">
      <protection locked="0"/>
    </xf>
    <xf numFmtId="175" fontId="4" fillId="0" borderId="32" xfId="0" applyNumberFormat="1" applyFont="1" applyBorder="1" applyProtection="1">
      <protection locked="0"/>
    </xf>
    <xf numFmtId="175" fontId="4" fillId="0" borderId="26" xfId="0" applyNumberFormat="1" applyFont="1" applyBorder="1" applyProtection="1">
      <protection locked="0"/>
    </xf>
    <xf numFmtId="175" fontId="4" fillId="0" borderId="27" xfId="0" applyNumberFormat="1" applyFont="1" applyBorder="1" applyProtection="1">
      <protection locked="0"/>
    </xf>
    <xf numFmtId="175" fontId="4" fillId="0" borderId="33" xfId="0" applyNumberFormat="1" applyFont="1" applyBorder="1" applyProtection="1">
      <protection locked="0"/>
    </xf>
    <xf numFmtId="0" fontId="7" fillId="0" borderId="35" xfId="0" applyFont="1" applyBorder="1" applyAlignment="1" applyProtection="1">
      <alignment horizontal="left"/>
      <protection hidden="1"/>
    </xf>
    <xf numFmtId="0" fontId="4" fillId="0" borderId="35" xfId="0" quotePrefix="1" applyFont="1" applyBorder="1" applyAlignment="1" applyProtection="1">
      <alignment horizontal="left"/>
      <protection hidden="1"/>
    </xf>
    <xf numFmtId="173" fontId="40" fillId="0" borderId="80" xfId="0" applyNumberFormat="1" applyFont="1" applyBorder="1" applyAlignment="1">
      <alignment vertical="center" wrapText="1"/>
    </xf>
    <xf numFmtId="173" fontId="40" fillId="0" borderId="79" xfId="0" applyNumberFormat="1" applyFont="1" applyBorder="1" applyAlignment="1" applyProtection="1">
      <alignment vertical="center" wrapText="1"/>
      <protection locked="0"/>
    </xf>
    <xf numFmtId="173" fontId="9" fillId="68" borderId="102" xfId="0" applyNumberFormat="1" applyFont="1" applyFill="1" applyBorder="1" applyAlignment="1">
      <alignment vertical="center" wrapText="1"/>
    </xf>
    <xf numFmtId="173" fontId="9" fillId="0" borderId="109" xfId="0" applyNumberFormat="1" applyFont="1" applyBorder="1" applyAlignment="1" applyProtection="1">
      <alignment vertical="center" wrapText="1"/>
      <protection locked="0"/>
    </xf>
    <xf numFmtId="173" fontId="9" fillId="0" borderId="82" xfId="0" applyNumberFormat="1" applyFont="1" applyBorder="1" applyAlignment="1" applyProtection="1">
      <alignment vertical="center" wrapText="1"/>
      <protection locked="0"/>
    </xf>
    <xf numFmtId="173" fontId="9" fillId="0" borderId="105" xfId="0" applyNumberFormat="1" applyFont="1" applyBorder="1" applyAlignment="1" applyProtection="1">
      <alignment vertical="center" wrapText="1"/>
      <protection locked="0"/>
    </xf>
    <xf numFmtId="173" fontId="40" fillId="0" borderId="134" xfId="0" applyNumberFormat="1" applyFont="1" applyBorder="1" applyAlignment="1">
      <alignment vertical="center" wrapText="1"/>
    </xf>
    <xf numFmtId="173" fontId="40" fillId="0" borderId="118" xfId="0" applyNumberFormat="1" applyFont="1" applyBorder="1" applyAlignment="1">
      <alignment vertical="center" wrapText="1"/>
    </xf>
    <xf numFmtId="173" fontId="9" fillId="0" borderId="79" xfId="0" applyNumberFormat="1" applyFont="1" applyBorder="1" applyAlignment="1" applyProtection="1">
      <alignment vertical="center" wrapText="1"/>
      <protection locked="0"/>
    </xf>
    <xf numFmtId="173" fontId="9" fillId="68" borderId="85" xfId="0" applyNumberFormat="1" applyFont="1" applyFill="1" applyBorder="1" applyAlignment="1">
      <alignment vertical="center" wrapText="1"/>
    </xf>
    <xf numFmtId="0" fontId="9" fillId="0" borderId="35" xfId="0" applyFont="1" applyBorder="1" applyAlignment="1">
      <alignment horizontal="center"/>
    </xf>
    <xf numFmtId="0" fontId="9" fillId="0" borderId="35" xfId="0" quotePrefix="1" applyFont="1" applyBorder="1" applyAlignment="1">
      <alignment horizontal="center"/>
    </xf>
    <xf numFmtId="0" fontId="9" fillId="0" borderId="148" xfId="0" applyFont="1" applyBorder="1" applyAlignment="1">
      <alignment horizontal="center"/>
    </xf>
    <xf numFmtId="0" fontId="35" fillId="0" borderId="0" xfId="0" applyFont="1" applyAlignment="1">
      <alignment horizontal="center"/>
    </xf>
    <xf numFmtId="0" fontId="0" fillId="0" borderId="0" xfId="0" applyAlignment="1" applyProtection="1">
      <alignment horizontal="center"/>
      <protection hidden="1"/>
    </xf>
    <xf numFmtId="0" fontId="53" fillId="0" borderId="35" xfId="0" applyFont="1" applyBorder="1" applyAlignment="1" applyProtection="1">
      <alignment horizontal="center" vertical="top" wrapText="1"/>
      <protection hidden="1"/>
    </xf>
    <xf numFmtId="0" fontId="40" fillId="0" borderId="0" xfId="0" quotePrefix="1" applyFont="1" applyAlignment="1" applyProtection="1">
      <alignment horizontal="centerContinuous"/>
      <protection hidden="1"/>
    </xf>
    <xf numFmtId="0" fontId="35" fillId="0" borderId="34" xfId="0" quotePrefix="1" applyFont="1" applyBorder="1" applyAlignment="1" applyProtection="1">
      <alignment horizontal="left"/>
      <protection hidden="1"/>
    </xf>
    <xf numFmtId="0" fontId="53" fillId="0" borderId="148" xfId="0" applyFont="1" applyBorder="1" applyAlignment="1" applyProtection="1">
      <alignment horizontal="center" vertical="center" wrapText="1"/>
      <protection hidden="1"/>
    </xf>
    <xf numFmtId="0" fontId="35" fillId="0" borderId="0" xfId="0" quotePrefix="1" applyFont="1" applyAlignment="1" applyProtection="1">
      <alignment horizontal="left"/>
      <protection hidden="1"/>
    </xf>
    <xf numFmtId="0" fontId="40" fillId="0" borderId="141" xfId="0" applyFont="1" applyBorder="1" applyAlignment="1" applyProtection="1">
      <alignment horizontal="left" vertical="center" indent="1"/>
      <protection hidden="1"/>
    </xf>
    <xf numFmtId="0" fontId="9" fillId="0" borderId="141" xfId="0" applyFont="1" applyBorder="1" applyAlignment="1" applyProtection="1">
      <alignment horizontal="left" vertical="center" indent="1"/>
      <protection hidden="1"/>
    </xf>
    <xf numFmtId="0" fontId="9" fillId="0" borderId="141" xfId="0" quotePrefix="1" applyFont="1" applyBorder="1" applyAlignment="1" applyProtection="1">
      <alignment horizontal="left" vertical="center" indent="1"/>
      <protection hidden="1"/>
    </xf>
    <xf numFmtId="0" fontId="9" fillId="0" borderId="118" xfId="0" applyFont="1" applyBorder="1" applyAlignment="1" applyProtection="1">
      <alignment horizontal="left" vertical="center" indent="1"/>
      <protection hidden="1"/>
    </xf>
    <xf numFmtId="0" fontId="40" fillId="0" borderId="138" xfId="0" applyFont="1" applyBorder="1" applyAlignment="1" applyProtection="1">
      <alignment horizontal="left" vertical="center" indent="1"/>
      <protection hidden="1"/>
    </xf>
    <xf numFmtId="0" fontId="9" fillId="0" borderId="139" xfId="0" applyFont="1" applyBorder="1" applyAlignment="1" applyProtection="1">
      <alignment horizontal="left" vertical="center" indent="1"/>
      <protection hidden="1"/>
    </xf>
    <xf numFmtId="0" fontId="9" fillId="0" borderId="15" xfId="0" applyFont="1" applyBorder="1" applyAlignment="1" applyProtection="1">
      <alignment horizontal="left" vertical="center" indent="1"/>
      <protection hidden="1"/>
    </xf>
    <xf numFmtId="0" fontId="40" fillId="0" borderId="141" xfId="0" applyFont="1" applyBorder="1" applyAlignment="1" applyProtection="1">
      <alignment horizontal="center"/>
      <protection hidden="1"/>
    </xf>
    <xf numFmtId="0" fontId="9" fillId="0" borderId="35" xfId="0" applyFont="1" applyBorder="1" applyAlignment="1">
      <alignment horizontal="center" vertical="center"/>
    </xf>
    <xf numFmtId="0" fontId="9" fillId="0" borderId="144" xfId="0" applyFont="1" applyBorder="1" applyAlignment="1" applyProtection="1">
      <alignment horizontal="left"/>
      <protection locked="0"/>
    </xf>
    <xf numFmtId="0" fontId="31" fillId="0" borderId="83" xfId="0" applyFont="1" applyBorder="1" applyAlignment="1">
      <alignment wrapText="1"/>
    </xf>
    <xf numFmtId="0" fontId="51" fillId="0" borderId="141" xfId="0" quotePrefix="1" applyFont="1" applyBorder="1" applyAlignment="1" applyProtection="1">
      <alignment horizontal="left" vertical="center" wrapText="1" indent="3"/>
      <protection hidden="1"/>
    </xf>
    <xf numFmtId="0" fontId="0" fillId="0" borderId="128" xfId="0" applyBorder="1" applyAlignment="1" applyProtection="1">
      <alignment horizontal="left"/>
      <protection locked="0"/>
    </xf>
    <xf numFmtId="0" fontId="0" fillId="0" borderId="128" xfId="0" applyBorder="1" applyAlignment="1">
      <alignment horizontal="left"/>
    </xf>
    <xf numFmtId="0" fontId="0" fillId="0" borderId="206" xfId="0" applyBorder="1" applyAlignment="1">
      <alignment horizontal="left"/>
    </xf>
    <xf numFmtId="173" fontId="9" fillId="68" borderId="120" xfId="0" applyNumberFormat="1" applyFont="1" applyFill="1" applyBorder="1" applyAlignment="1">
      <alignment vertical="center" wrapText="1"/>
    </xf>
    <xf numFmtId="173" fontId="40" fillId="0" borderId="125" xfId="0" applyNumberFormat="1" applyFont="1" applyBorder="1" applyAlignment="1">
      <alignment vertical="center" wrapText="1"/>
    </xf>
    <xf numFmtId="173" fontId="40" fillId="0" borderId="126" xfId="0" applyNumberFormat="1" applyFont="1" applyBorder="1" applyAlignment="1">
      <alignment vertical="center" wrapText="1"/>
    </xf>
    <xf numFmtId="173" fontId="40" fillId="0" borderId="86" xfId="0" applyNumberFormat="1" applyFont="1" applyBorder="1" applyAlignment="1" applyProtection="1">
      <alignment vertical="center" wrapText="1"/>
      <protection locked="0"/>
    </xf>
    <xf numFmtId="173" fontId="40" fillId="0" borderId="103" xfId="0" applyNumberFormat="1" applyFont="1" applyBorder="1" applyAlignment="1">
      <alignment vertical="center" wrapText="1"/>
    </xf>
    <xf numFmtId="173" fontId="9" fillId="68" borderId="87" xfId="0" applyNumberFormat="1" applyFont="1" applyFill="1" applyBorder="1" applyAlignment="1">
      <alignment vertical="center" wrapText="1"/>
    </xf>
    <xf numFmtId="173" fontId="9" fillId="0" borderId="111" xfId="0" applyNumberFormat="1" applyFont="1" applyBorder="1" applyAlignment="1" applyProtection="1">
      <alignment vertical="center" wrapText="1"/>
      <protection locked="0"/>
    </xf>
    <xf numFmtId="173" fontId="40" fillId="0" borderId="119" xfId="0" applyNumberFormat="1" applyFont="1" applyBorder="1" applyAlignment="1">
      <alignment vertical="center" wrapText="1"/>
    </xf>
    <xf numFmtId="173" fontId="9" fillId="68" borderId="94" xfId="0" applyNumberFormat="1" applyFont="1" applyFill="1" applyBorder="1" applyAlignment="1">
      <alignment vertical="center" wrapText="1"/>
    </xf>
    <xf numFmtId="173" fontId="9" fillId="68" borderId="108" xfId="0" applyNumberFormat="1" applyFont="1" applyFill="1" applyBorder="1" applyAlignment="1">
      <alignment vertical="center" wrapText="1"/>
    </xf>
    <xf numFmtId="173" fontId="9" fillId="68" borderId="77" xfId="0" applyNumberFormat="1" applyFont="1" applyFill="1" applyBorder="1" applyAlignment="1">
      <alignment vertical="center" wrapText="1"/>
    </xf>
    <xf numFmtId="173" fontId="9" fillId="68" borderId="110" xfId="0" applyNumberFormat="1" applyFont="1" applyFill="1" applyBorder="1" applyAlignment="1">
      <alignment vertical="center" wrapText="1"/>
    </xf>
    <xf numFmtId="173" fontId="40" fillId="0" borderId="109" xfId="0" applyNumberFormat="1" applyFont="1" applyBorder="1" applyAlignment="1">
      <alignment vertical="center" wrapText="1"/>
    </xf>
    <xf numFmtId="173" fontId="40" fillId="0" borderId="79" xfId="0" applyNumberFormat="1" applyFont="1" applyBorder="1" applyAlignment="1">
      <alignment vertical="center" wrapText="1"/>
    </xf>
    <xf numFmtId="173" fontId="9" fillId="0" borderId="93" xfId="0" applyNumberFormat="1" applyFont="1" applyBorder="1" applyAlignment="1" applyProtection="1">
      <alignment vertical="center" wrapText="1"/>
      <protection locked="0"/>
    </xf>
    <xf numFmtId="173" fontId="40" fillId="0" borderId="120" xfId="0" applyNumberFormat="1" applyFont="1" applyBorder="1" applyAlignment="1">
      <alignment vertical="center" wrapText="1"/>
    </xf>
    <xf numFmtId="173" fontId="40" fillId="0" borderId="101" xfId="0" applyNumberFormat="1" applyFont="1" applyBorder="1" applyAlignment="1">
      <alignment vertical="center" wrapText="1"/>
    </xf>
    <xf numFmtId="173" fontId="9" fillId="0" borderId="127" xfId="0" applyNumberFormat="1" applyFont="1" applyBorder="1" applyAlignment="1" applyProtection="1">
      <alignment vertical="center" wrapText="1"/>
      <protection locked="0"/>
    </xf>
    <xf numFmtId="173" fontId="9" fillId="68" borderId="91" xfId="0" applyNumberFormat="1" applyFont="1" applyFill="1" applyBorder="1" applyAlignment="1">
      <alignment vertical="center" wrapText="1"/>
    </xf>
    <xf numFmtId="173" fontId="9" fillId="68" borderId="103" xfId="0" applyNumberFormat="1" applyFont="1" applyFill="1" applyBorder="1" applyAlignment="1">
      <alignment vertical="center" wrapText="1"/>
    </xf>
    <xf numFmtId="173" fontId="40" fillId="0" borderId="102" xfId="0" applyNumberFormat="1" applyFont="1" applyBorder="1" applyAlignment="1">
      <alignment vertical="center" wrapText="1"/>
    </xf>
    <xf numFmtId="173" fontId="9" fillId="68" borderId="116" xfId="0" applyNumberFormat="1" applyFont="1" applyFill="1" applyBorder="1" applyAlignment="1">
      <alignment vertical="center" wrapText="1"/>
    </xf>
    <xf numFmtId="173" fontId="9" fillId="0" borderId="88" xfId="0" applyNumberFormat="1" applyFont="1" applyBorder="1" applyAlignment="1" applyProtection="1">
      <alignment vertical="center" wrapText="1"/>
      <protection locked="0"/>
    </xf>
    <xf numFmtId="173" fontId="40" fillId="0" borderId="86" xfId="0" applyNumberFormat="1" applyFont="1" applyBorder="1" applyAlignment="1">
      <alignment vertical="center" wrapText="1"/>
    </xf>
    <xf numFmtId="173" fontId="40" fillId="0" borderId="94" xfId="0" applyNumberFormat="1" applyFont="1" applyBorder="1" applyAlignment="1">
      <alignment vertical="center" wrapText="1"/>
    </xf>
    <xf numFmtId="173" fontId="9" fillId="68" borderId="33" xfId="0" applyNumberFormat="1" applyFont="1" applyFill="1" applyBorder="1" applyAlignment="1">
      <alignment vertical="center" wrapText="1"/>
    </xf>
    <xf numFmtId="173" fontId="9" fillId="68" borderId="89" xfId="0" applyNumberFormat="1" applyFont="1" applyFill="1" applyBorder="1" applyAlignment="1">
      <alignment vertical="center" wrapText="1"/>
    </xf>
    <xf numFmtId="173" fontId="9" fillId="0" borderId="77" xfId="0" applyNumberFormat="1" applyFont="1" applyBorder="1" applyAlignment="1" applyProtection="1">
      <alignment vertical="center" wrapText="1"/>
      <protection locked="0"/>
    </xf>
    <xf numFmtId="173" fontId="9" fillId="0" borderId="78" xfId="0" applyNumberFormat="1" applyFont="1" applyBorder="1" applyAlignment="1" applyProtection="1">
      <alignment vertical="center" wrapText="1"/>
      <protection locked="0"/>
    </xf>
    <xf numFmtId="173" fontId="40" fillId="0" borderId="85" xfId="0" applyNumberFormat="1" applyFont="1" applyBorder="1" applyAlignment="1">
      <alignment vertical="center" wrapText="1"/>
    </xf>
    <xf numFmtId="173" fontId="9" fillId="68" borderId="114" xfId="0" applyNumberFormat="1" applyFont="1" applyFill="1" applyBorder="1" applyAlignment="1">
      <alignment vertical="center" wrapText="1"/>
    </xf>
    <xf numFmtId="173" fontId="40" fillId="0" borderId="117" xfId="0" applyNumberFormat="1" applyFont="1" applyBorder="1" applyAlignment="1">
      <alignment vertical="center" wrapText="1"/>
    </xf>
    <xf numFmtId="173" fontId="9" fillId="0" borderId="86" xfId="0" applyNumberFormat="1" applyFont="1" applyBorder="1" applyAlignment="1" applyProtection="1">
      <alignment vertical="center" wrapText="1"/>
      <protection locked="0"/>
    </xf>
    <xf numFmtId="173" fontId="9" fillId="0" borderId="117" xfId="0" applyNumberFormat="1" applyFont="1" applyBorder="1" applyAlignment="1" applyProtection="1">
      <alignment vertical="center" wrapText="1"/>
      <protection locked="0"/>
    </xf>
    <xf numFmtId="173" fontId="9" fillId="0" borderId="80" xfId="0" applyNumberFormat="1" applyFont="1" applyBorder="1" applyAlignment="1" applyProtection="1">
      <alignment vertical="center" wrapText="1"/>
      <protection locked="0"/>
    </xf>
    <xf numFmtId="173" fontId="40" fillId="0" borderId="91" xfId="0" applyNumberFormat="1" applyFont="1" applyBorder="1" applyAlignment="1">
      <alignment vertical="center" wrapText="1"/>
    </xf>
    <xf numFmtId="173" fontId="9" fillId="68" borderId="78" xfId="0" applyNumberFormat="1" applyFont="1" applyFill="1" applyBorder="1" applyAlignment="1">
      <alignment vertical="center" wrapText="1"/>
    </xf>
    <xf numFmtId="173" fontId="9" fillId="68" borderId="101" xfId="0" applyNumberFormat="1" applyFont="1" applyFill="1" applyBorder="1" applyAlignment="1">
      <alignment vertical="center" wrapText="1"/>
    </xf>
    <xf numFmtId="173" fontId="40" fillId="0" borderId="78" xfId="0" applyNumberFormat="1" applyFont="1" applyBorder="1" applyAlignment="1">
      <alignment vertical="center" wrapText="1"/>
    </xf>
    <xf numFmtId="173" fontId="9" fillId="68" borderId="92" xfId="0" applyNumberFormat="1" applyFont="1" applyFill="1" applyBorder="1" applyAlignment="1">
      <alignment vertical="center" wrapText="1"/>
    </xf>
    <xf numFmtId="173" fontId="9" fillId="0" borderId="85" xfId="0" applyNumberFormat="1" applyFont="1" applyBorder="1" applyAlignment="1" applyProtection="1">
      <alignment vertical="center" wrapText="1"/>
      <protection locked="0"/>
    </xf>
    <xf numFmtId="173" fontId="9" fillId="0" borderId="112" xfId="0" applyNumberFormat="1" applyFont="1" applyBorder="1" applyAlignment="1" applyProtection="1">
      <alignment vertical="center" wrapText="1"/>
      <protection locked="0"/>
    </xf>
    <xf numFmtId="173" fontId="9" fillId="0" borderId="81" xfId="0" applyNumberFormat="1" applyFont="1" applyBorder="1" applyAlignment="1" applyProtection="1">
      <alignment vertical="center" wrapText="1"/>
      <protection locked="0"/>
    </xf>
    <xf numFmtId="173" fontId="9" fillId="0" borderId="113" xfId="0" applyNumberFormat="1" applyFont="1" applyBorder="1" applyAlignment="1" applyProtection="1">
      <alignment vertical="center" wrapText="1"/>
      <protection locked="0"/>
    </xf>
    <xf numFmtId="0" fontId="9" fillId="0" borderId="203" xfId="0" applyFont="1" applyBorder="1" applyAlignment="1">
      <alignment horizontal="center"/>
    </xf>
    <xf numFmtId="0" fontId="35" fillId="0" borderId="141" xfId="0" applyFont="1" applyBorder="1" applyAlignment="1">
      <alignment horizontal="centerContinuous" vertical="center"/>
    </xf>
    <xf numFmtId="0" fontId="35" fillId="0" borderId="10" xfId="0" quotePrefix="1" applyFont="1" applyBorder="1" applyAlignment="1">
      <alignment horizontal="centerContinuous" vertical="center" wrapText="1"/>
    </xf>
    <xf numFmtId="0" fontId="9" fillId="0" borderId="24" xfId="0" quotePrefix="1" applyFont="1" applyBorder="1" applyAlignment="1">
      <alignment horizontal="center"/>
    </xf>
    <xf numFmtId="0" fontId="9" fillId="0" borderId="29" xfId="0" quotePrefix="1" applyFont="1" applyBorder="1" applyAlignment="1">
      <alignment horizontal="center"/>
    </xf>
    <xf numFmtId="0" fontId="9" fillId="0" borderId="30" xfId="0" quotePrefix="1" applyFont="1" applyBorder="1" applyAlignment="1">
      <alignment horizontal="center"/>
    </xf>
    <xf numFmtId="0" fontId="35" fillId="0" borderId="130" xfId="0" applyFont="1" applyBorder="1" applyAlignment="1">
      <alignment horizontal="centerContinuous"/>
    </xf>
    <xf numFmtId="0" fontId="0" fillId="0" borderId="1" xfId="0" applyBorder="1" applyAlignment="1" applyProtection="1">
      <alignment horizontal="center"/>
      <protection hidden="1"/>
    </xf>
    <xf numFmtId="0" fontId="9" fillId="0" borderId="156" xfId="0" quotePrefix="1" applyFont="1" applyBorder="1" applyAlignment="1">
      <alignment horizontal="center" vertical="center"/>
    </xf>
    <xf numFmtId="0" fontId="40" fillId="0" borderId="141" xfId="0" quotePrefix="1" applyFont="1" applyBorder="1" applyAlignment="1" applyProtection="1">
      <alignment horizontal="left" vertical="center" indent="1"/>
      <protection hidden="1"/>
    </xf>
    <xf numFmtId="0" fontId="9" fillId="0" borderId="141" xfId="0" applyFont="1" applyBorder="1" applyAlignment="1" applyProtection="1">
      <alignment horizontal="left" vertical="center" wrapText="1" indent="1"/>
      <protection hidden="1"/>
    </xf>
    <xf numFmtId="0" fontId="40" fillId="0" borderId="175" xfId="0" applyFont="1" applyBorder="1" applyAlignment="1" applyProtection="1">
      <alignment horizontal="left" vertical="center" indent="1"/>
      <protection hidden="1"/>
    </xf>
    <xf numFmtId="0" fontId="40" fillId="0" borderId="139" xfId="0" applyFont="1" applyBorder="1" applyAlignment="1" applyProtection="1">
      <alignment horizontal="left" vertical="center" indent="1"/>
      <protection hidden="1"/>
    </xf>
    <xf numFmtId="0" fontId="40" fillId="0" borderId="138" xfId="0" quotePrefix="1" applyFont="1" applyBorder="1" applyAlignment="1" applyProtection="1">
      <alignment horizontal="left" vertical="center" indent="1"/>
      <protection hidden="1"/>
    </xf>
    <xf numFmtId="0" fontId="40" fillId="0" borderId="142" xfId="0" quotePrefix="1" applyFont="1" applyBorder="1" applyAlignment="1" applyProtection="1">
      <alignment horizontal="left" vertical="center" indent="1"/>
      <protection hidden="1"/>
    </xf>
    <xf numFmtId="0" fontId="40" fillId="0" borderId="142" xfId="0" applyFont="1" applyBorder="1" applyAlignment="1" applyProtection="1">
      <alignment horizontal="left" vertical="center" indent="1"/>
      <protection hidden="1"/>
    </xf>
    <xf numFmtId="0" fontId="39" fillId="0" borderId="141" xfId="0" applyFont="1" applyBorder="1" applyAlignment="1" applyProtection="1">
      <alignment horizontal="left" vertical="center" indent="3"/>
      <protection hidden="1"/>
    </xf>
    <xf numFmtId="0" fontId="40" fillId="0" borderId="141" xfId="0" quotePrefix="1" applyFont="1" applyBorder="1" applyAlignment="1" applyProtection="1">
      <alignment horizontal="left" vertical="center" wrapText="1" indent="1"/>
      <protection hidden="1"/>
    </xf>
    <xf numFmtId="0" fontId="53" fillId="0" borderId="202" xfId="0" applyFont="1" applyBorder="1" applyAlignment="1" applyProtection="1">
      <alignment horizontal="center" vertical="center"/>
      <protection hidden="1"/>
    </xf>
    <xf numFmtId="0" fontId="40" fillId="2" borderId="175" xfId="0" quotePrefix="1" applyFont="1" applyFill="1" applyBorder="1" applyAlignment="1" applyProtection="1">
      <alignment horizontal="left" vertical="center" indent="1"/>
      <protection hidden="1"/>
    </xf>
    <xf numFmtId="0" fontId="150" fillId="0" borderId="0" xfId="0" applyFont="1" applyProtection="1">
      <protection hidden="1"/>
    </xf>
    <xf numFmtId="0" fontId="149" fillId="0" borderId="0" xfId="0" applyFont="1"/>
    <xf numFmtId="173" fontId="9" fillId="0" borderId="115" xfId="0" applyNumberFormat="1" applyFont="1" applyBorder="1" applyAlignment="1" applyProtection="1">
      <alignment vertical="center" wrapText="1"/>
      <protection locked="0"/>
    </xf>
    <xf numFmtId="0" fontId="7" fillId="0" borderId="0" xfId="0" applyFont="1" applyAlignment="1">
      <alignment horizontal="centerContinuous" vertical="top" wrapText="1"/>
    </xf>
    <xf numFmtId="0" fontId="7" fillId="0" borderId="0" xfId="0" applyFont="1" applyAlignment="1">
      <alignment horizontal="centerContinuous" vertical="top"/>
    </xf>
    <xf numFmtId="0" fontId="9" fillId="0" borderId="10" xfId="0" applyFont="1" applyBorder="1" applyAlignment="1">
      <alignment horizontal="center"/>
    </xf>
    <xf numFmtId="0" fontId="40" fillId="0" borderId="83" xfId="0" quotePrefix="1" applyFont="1" applyBorder="1" applyAlignment="1">
      <alignment horizontal="centerContinuous" vertical="center"/>
    </xf>
    <xf numFmtId="0" fontId="9" fillId="0" borderId="83" xfId="0" applyFont="1" applyBorder="1" applyAlignment="1">
      <alignment horizontal="center" vertical="center"/>
    </xf>
    <xf numFmtId="0" fontId="9" fillId="0" borderId="29" xfId="0" applyFont="1" applyBorder="1" applyAlignment="1">
      <alignment horizontal="center" vertical="center"/>
    </xf>
    <xf numFmtId="0" fontId="40" fillId="0" borderId="142" xfId="0" quotePrefix="1" applyFont="1" applyBorder="1" applyAlignment="1" applyProtection="1">
      <alignment horizontal="left" vertical="center" wrapText="1" indent="1"/>
      <protection hidden="1"/>
    </xf>
    <xf numFmtId="0" fontId="9" fillId="0" borderId="140" xfId="0" applyFont="1" applyBorder="1" applyAlignment="1" applyProtection="1">
      <alignment horizontal="left" vertical="center" indent="1"/>
      <protection hidden="1"/>
    </xf>
    <xf numFmtId="0" fontId="9" fillId="0" borderId="136" xfId="0" applyFont="1" applyBorder="1" applyAlignment="1" applyProtection="1">
      <alignment horizontal="left" vertical="center" indent="1"/>
      <protection hidden="1"/>
    </xf>
    <xf numFmtId="0" fontId="9" fillId="0" borderId="111" xfId="0" applyFont="1" applyBorder="1" applyAlignment="1" applyProtection="1">
      <alignment horizontal="left" vertical="center" wrapText="1" indent="1"/>
      <protection hidden="1"/>
    </xf>
    <xf numFmtId="0" fontId="9" fillId="0" borderId="111" xfId="0" applyFont="1" applyBorder="1" applyAlignment="1" applyProtection="1">
      <alignment horizontal="left" vertical="center" indent="1"/>
      <protection hidden="1"/>
    </xf>
    <xf numFmtId="0" fontId="9" fillId="0" borderId="10" xfId="0" applyFont="1" applyBorder="1" applyAlignment="1">
      <alignment horizontal="left" indent="1"/>
    </xf>
    <xf numFmtId="0" fontId="18" fillId="0" borderId="0" xfId="0" applyFont="1" applyAlignment="1">
      <alignment horizontal="center"/>
    </xf>
    <xf numFmtId="0" fontId="53" fillId="0" borderId="202" xfId="0" quotePrefix="1" applyFont="1" applyBorder="1" applyAlignment="1" applyProtection="1">
      <alignment horizontal="center" vertical="center"/>
      <protection hidden="1"/>
    </xf>
    <xf numFmtId="0" fontId="9" fillId="2" borderId="141" xfId="0" applyFont="1" applyFill="1" applyBorder="1" applyAlignment="1" applyProtection="1">
      <alignment horizontal="left" vertical="center" indent="1"/>
      <protection hidden="1"/>
    </xf>
    <xf numFmtId="0" fontId="9" fillId="2" borderId="175" xfId="0" applyFont="1" applyFill="1" applyBorder="1" applyAlignment="1" applyProtection="1">
      <alignment horizontal="left" vertical="center" indent="1"/>
      <protection hidden="1"/>
    </xf>
    <xf numFmtId="0" fontId="9" fillId="2" borderId="118" xfId="0" applyFont="1" applyFill="1" applyBorder="1" applyAlignment="1" applyProtection="1">
      <alignment horizontal="left" vertical="center" indent="1"/>
      <protection hidden="1"/>
    </xf>
    <xf numFmtId="175" fontId="40" fillId="0" borderId="29" xfId="0" quotePrefix="1" applyNumberFormat="1" applyFont="1" applyBorder="1" applyAlignment="1">
      <alignment horizontal="center" vertical="center"/>
    </xf>
    <xf numFmtId="175" fontId="40" fillId="0" borderId="143" xfId="0" quotePrefix="1" applyNumberFormat="1" applyFont="1" applyBorder="1" applyAlignment="1">
      <alignment horizontal="center" vertical="center"/>
    </xf>
    <xf numFmtId="175" fontId="9" fillId="0" borderId="148" xfId="0" applyNumberFormat="1" applyFont="1" applyBorder="1" applyAlignment="1" applyProtection="1">
      <alignment horizontal="center" vertical="center"/>
      <protection locked="0"/>
    </xf>
    <xf numFmtId="175" fontId="9" fillId="0" borderId="35" xfId="0" quotePrefix="1" applyNumberFormat="1" applyFont="1" applyBorder="1" applyAlignment="1" applyProtection="1">
      <alignment horizontal="center" vertical="center"/>
      <protection locked="0"/>
    </xf>
    <xf numFmtId="175" fontId="9" fillId="0" borderId="203" xfId="0" quotePrefix="1" applyNumberFormat="1" applyFont="1" applyBorder="1" applyAlignment="1" applyProtection="1">
      <alignment horizontal="center" vertical="center"/>
      <protection locked="0"/>
    </xf>
    <xf numFmtId="175" fontId="9" fillId="0" borderId="203" xfId="0" applyNumberFormat="1" applyFont="1" applyBorder="1" applyAlignment="1" applyProtection="1">
      <alignment horizontal="center" vertical="center"/>
      <protection locked="0"/>
    </xf>
    <xf numFmtId="175" fontId="9" fillId="0" borderId="28" xfId="0" applyNumberFormat="1" applyFont="1" applyBorder="1" applyAlignment="1" applyProtection="1">
      <alignment horizontal="center" vertical="center"/>
      <protection locked="0"/>
    </xf>
    <xf numFmtId="175" fontId="9" fillId="0" borderId="204" xfId="0" applyNumberFormat="1" applyFont="1" applyBorder="1" applyAlignment="1" applyProtection="1">
      <alignment horizontal="center" vertical="center"/>
      <protection locked="0"/>
    </xf>
    <xf numFmtId="175" fontId="9" fillId="0" borderId="205" xfId="0" applyNumberFormat="1" applyFont="1" applyBorder="1" applyAlignment="1" applyProtection="1">
      <alignment horizontal="center" vertical="center"/>
      <protection locked="0"/>
    </xf>
    <xf numFmtId="175" fontId="9" fillId="0" borderId="83" xfId="0" applyNumberFormat="1" applyFont="1" applyBorder="1" applyAlignment="1">
      <alignment horizontal="center"/>
    </xf>
    <xf numFmtId="175" fontId="9" fillId="0" borderId="143" xfId="0" applyNumberFormat="1" applyFont="1" applyBorder="1" applyAlignment="1" applyProtection="1">
      <alignment horizontal="center" vertical="center"/>
      <protection locked="0"/>
    </xf>
    <xf numFmtId="175" fontId="9" fillId="0" borderId="110" xfId="0" applyNumberFormat="1" applyFont="1" applyBorder="1" applyAlignment="1" applyProtection="1">
      <alignment horizontal="center" vertical="center"/>
      <protection locked="0"/>
    </xf>
    <xf numFmtId="175" fontId="9" fillId="0" borderId="26" xfId="0" applyNumberFormat="1" applyFont="1" applyBorder="1" applyAlignment="1" applyProtection="1">
      <alignment horizontal="center" vertical="center"/>
      <protection locked="0"/>
    </xf>
    <xf numFmtId="175" fontId="40" fillId="0" borderId="110" xfId="0" applyNumberFormat="1" applyFont="1" applyBorder="1" applyAlignment="1">
      <alignment horizontal="center" vertical="center"/>
    </xf>
    <xf numFmtId="175" fontId="9" fillId="4" borderId="151" xfId="0" applyNumberFormat="1" applyFont="1" applyFill="1" applyBorder="1" applyAlignment="1">
      <alignment horizontal="center" vertical="center"/>
    </xf>
    <xf numFmtId="175" fontId="9" fillId="4" borderId="26" xfId="0" applyNumberFormat="1" applyFont="1" applyFill="1" applyBorder="1" applyAlignment="1">
      <alignment horizontal="center" vertical="center"/>
    </xf>
    <xf numFmtId="175" fontId="40" fillId="0" borderId="24" xfId="0" applyNumberFormat="1" applyFont="1" applyBorder="1" applyAlignment="1">
      <alignment horizontal="center" vertical="center"/>
    </xf>
    <xf numFmtId="175" fontId="9" fillId="4" borderId="24" xfId="0" applyNumberFormat="1" applyFont="1" applyFill="1" applyBorder="1" applyAlignment="1">
      <alignment horizontal="center" vertical="center"/>
    </xf>
    <xf numFmtId="175" fontId="40" fillId="0" borderId="26" xfId="0" applyNumberFormat="1" applyFont="1" applyBorder="1" applyAlignment="1">
      <alignment horizontal="center" vertical="center"/>
    </xf>
    <xf numFmtId="175" fontId="9" fillId="67" borderId="26" xfId="0" applyNumberFormat="1" applyFont="1" applyFill="1" applyBorder="1" applyAlignment="1">
      <alignment horizontal="center" vertical="center"/>
    </xf>
    <xf numFmtId="175" fontId="9" fillId="67" borderId="29" xfId="0" applyNumberFormat="1" applyFont="1" applyFill="1" applyBorder="1" applyAlignment="1">
      <alignment horizontal="center" vertical="center"/>
    </xf>
    <xf numFmtId="175" fontId="9" fillId="67" borderId="151" xfId="0" applyNumberFormat="1" applyFont="1" applyFill="1" applyBorder="1" applyAlignment="1">
      <alignment horizontal="center" vertical="center"/>
    </xf>
    <xf numFmtId="175" fontId="9" fillId="67" borderId="143" xfId="0" applyNumberFormat="1" applyFont="1" applyFill="1" applyBorder="1" applyAlignment="1">
      <alignment horizontal="center" vertical="center"/>
    </xf>
    <xf numFmtId="173" fontId="40" fillId="0" borderId="111" xfId="0" applyNumberFormat="1" applyFont="1" applyBorder="1" applyAlignment="1">
      <alignment vertical="center" wrapText="1"/>
    </xf>
    <xf numFmtId="173" fontId="40" fillId="0" borderId="77" xfId="0" applyNumberFormat="1" applyFont="1" applyBorder="1" applyAlignment="1">
      <alignment vertical="center" wrapText="1"/>
    </xf>
    <xf numFmtId="175" fontId="9" fillId="0" borderId="35" xfId="0" applyNumberFormat="1" applyFont="1" applyBorder="1" applyAlignment="1" applyProtection="1">
      <alignment horizontal="center" vertical="center"/>
      <protection locked="0"/>
    </xf>
    <xf numFmtId="175" fontId="9" fillId="0" borderId="29" xfId="0" applyNumberFormat="1" applyFont="1" applyBorder="1" applyAlignment="1" applyProtection="1">
      <alignment horizontal="center" vertical="center"/>
      <protection locked="0"/>
    </xf>
    <xf numFmtId="175" fontId="40" fillId="0" borderId="35" xfId="0" applyNumberFormat="1" applyFont="1" applyBorder="1" applyAlignment="1">
      <alignment horizontal="center" vertical="center"/>
    </xf>
    <xf numFmtId="175" fontId="9" fillId="4" borderId="29" xfId="0" applyNumberFormat="1" applyFont="1" applyFill="1" applyBorder="1" applyAlignment="1">
      <alignment horizontal="center" vertical="center"/>
    </xf>
    <xf numFmtId="175" fontId="9" fillId="4" borderId="143" xfId="0" applyNumberFormat="1" applyFont="1" applyFill="1" applyBorder="1" applyAlignment="1">
      <alignment horizontal="center" vertical="center"/>
    </xf>
    <xf numFmtId="0" fontId="9" fillId="2" borderId="24" xfId="0" applyFont="1" applyFill="1" applyBorder="1" applyAlignment="1">
      <alignment horizontal="center" vertical="center"/>
    </xf>
    <xf numFmtId="0" fontId="9" fillId="2" borderId="26" xfId="0" applyFont="1" applyFill="1" applyBorder="1" applyAlignment="1">
      <alignment horizontal="center" vertical="center"/>
    </xf>
    <xf numFmtId="0" fontId="149" fillId="2" borderId="0" xfId="0" applyFont="1" applyFill="1"/>
    <xf numFmtId="0" fontId="9" fillId="0" borderId="128" xfId="0" applyFont="1" applyBorder="1"/>
    <xf numFmtId="0" fontId="9" fillId="0" borderId="128" xfId="0" applyFont="1" applyBorder="1" applyAlignment="1">
      <alignment horizontal="left" vertical="center"/>
    </xf>
    <xf numFmtId="0" fontId="9" fillId="0" borderId="128" xfId="0" quotePrefix="1" applyFont="1" applyBorder="1" applyAlignment="1">
      <alignment horizontal="left" vertical="center"/>
    </xf>
    <xf numFmtId="0" fontId="0" fillId="0" borderId="130" xfId="0" applyBorder="1"/>
    <xf numFmtId="0" fontId="7" fillId="0" borderId="138" xfId="0" applyFont="1" applyBorder="1" applyAlignment="1" applyProtection="1">
      <alignment vertical="center"/>
      <protection hidden="1"/>
    </xf>
    <xf numFmtId="175" fontId="9" fillId="0" borderId="148" xfId="0" quotePrefix="1" applyNumberFormat="1" applyFont="1" applyBorder="1" applyAlignment="1" applyProtection="1">
      <alignment horizontal="center" vertical="center"/>
      <protection locked="0"/>
    </xf>
    <xf numFmtId="0" fontId="0" fillId="0" borderId="206" xfId="0" applyBorder="1" applyProtection="1">
      <protection locked="0"/>
    </xf>
    <xf numFmtId="0" fontId="9" fillId="0" borderId="131" xfId="0" applyFont="1" applyBorder="1" applyAlignment="1" applyProtection="1">
      <alignment vertical="center"/>
      <protection locked="0"/>
    </xf>
    <xf numFmtId="0" fontId="53" fillId="0" borderId="151" xfId="0" applyFont="1" applyBorder="1" applyAlignment="1" applyProtection="1">
      <alignment horizontal="center" vertical="center"/>
      <protection hidden="1"/>
    </xf>
    <xf numFmtId="0" fontId="9" fillId="0" borderId="35" xfId="0" quotePrefix="1" applyFont="1" applyBorder="1" applyAlignment="1" applyProtection="1">
      <alignment horizontal="left" vertical="center"/>
      <protection hidden="1"/>
    </xf>
    <xf numFmtId="0" fontId="9" fillId="0" borderId="30" xfId="0" applyFont="1" applyBorder="1" applyAlignment="1" applyProtection="1">
      <alignment horizontal="left" vertical="center"/>
      <protection hidden="1"/>
    </xf>
    <xf numFmtId="0" fontId="9" fillId="0" borderId="28" xfId="0" applyFont="1" applyBorder="1" applyAlignment="1" applyProtection="1">
      <alignment horizontal="left" vertical="center"/>
      <protection hidden="1"/>
    </xf>
    <xf numFmtId="176" fontId="9" fillId="0" borderId="148" xfId="0" applyNumberFormat="1" applyFont="1" applyBorder="1" applyAlignment="1" applyProtection="1">
      <alignment horizontal="center" vertical="center"/>
      <protection locked="0"/>
    </xf>
    <xf numFmtId="177" fontId="9" fillId="0" borderId="110" xfId="0" applyNumberFormat="1" applyFont="1" applyBorder="1" applyAlignment="1" applyProtection="1">
      <alignment horizontal="center" vertical="center"/>
      <protection locked="0"/>
    </xf>
    <xf numFmtId="173" fontId="9" fillId="0" borderId="0" xfId="0" applyNumberFormat="1" applyFont="1" applyAlignment="1">
      <alignment vertical="top" wrapText="1"/>
    </xf>
    <xf numFmtId="173" fontId="9" fillId="0" borderId="37" xfId="0" applyNumberFormat="1" applyFont="1" applyBorder="1" applyAlignment="1" applyProtection="1">
      <alignment vertical="center" wrapText="1"/>
      <protection locked="0"/>
    </xf>
    <xf numFmtId="173" fontId="40" fillId="0" borderId="115" xfId="0" applyNumberFormat="1" applyFont="1" applyBorder="1" applyAlignment="1">
      <alignment vertical="center" wrapText="1"/>
    </xf>
    <xf numFmtId="0" fontId="152" fillId="0" borderId="74" xfId="0" applyFont="1" applyBorder="1" applyAlignment="1">
      <alignment horizontal="center" vertical="top" wrapText="1"/>
    </xf>
    <xf numFmtId="0" fontId="152" fillId="0" borderId="75" xfId="0" applyFont="1" applyBorder="1" applyAlignment="1">
      <alignment horizontal="center" vertical="top" wrapText="1"/>
    </xf>
    <xf numFmtId="0" fontId="152" fillId="0" borderId="76" xfId="0" applyFont="1" applyBorder="1" applyAlignment="1">
      <alignment horizontal="center" vertical="top" wrapText="1"/>
    </xf>
    <xf numFmtId="0" fontId="152" fillId="0" borderId="84" xfId="0" applyFont="1" applyBorder="1" applyAlignment="1">
      <alignment horizontal="center" vertical="top" wrapText="1"/>
    </xf>
    <xf numFmtId="0" fontId="152" fillId="0" borderId="90" xfId="0" applyFont="1" applyBorder="1" applyAlignment="1">
      <alignment horizontal="center" vertical="top" wrapText="1"/>
    </xf>
    <xf numFmtId="0" fontId="151" fillId="0" borderId="94" xfId="0" applyFont="1" applyBorder="1" applyAlignment="1" applyProtection="1">
      <alignment horizontal="center" vertical="top" wrapText="1"/>
      <protection hidden="1"/>
    </xf>
    <xf numFmtId="0" fontId="151" fillId="0" borderId="85" xfId="0" applyFont="1" applyBorder="1" applyAlignment="1" applyProtection="1">
      <alignment horizontal="center" vertical="top" wrapText="1"/>
      <protection hidden="1"/>
    </xf>
    <xf numFmtId="0" fontId="151" fillId="0" borderId="77" xfId="0" applyFont="1" applyBorder="1" applyAlignment="1" applyProtection="1">
      <alignment horizontal="center" vertical="top" wrapText="1"/>
      <protection hidden="1"/>
    </xf>
    <xf numFmtId="0" fontId="151" fillId="0" borderId="78" xfId="0" applyFont="1" applyBorder="1" applyAlignment="1" applyProtection="1">
      <alignment horizontal="center" vertical="top" wrapText="1"/>
      <protection hidden="1"/>
    </xf>
    <xf numFmtId="0" fontId="152" fillId="0" borderId="100" xfId="0" quotePrefix="1" applyFont="1" applyBorder="1" applyAlignment="1" applyProtection="1">
      <alignment horizontal="center" vertical="top" wrapText="1"/>
      <protection hidden="1"/>
    </xf>
    <xf numFmtId="0" fontId="152" fillId="0" borderId="87" xfId="0" quotePrefix="1" applyFont="1" applyBorder="1" applyAlignment="1" applyProtection="1">
      <alignment horizontal="center" vertical="top" wrapText="1"/>
      <protection hidden="1"/>
    </xf>
    <xf numFmtId="0" fontId="22" fillId="0" borderId="0" xfId="0" applyFont="1" applyAlignment="1" applyProtection="1">
      <alignment horizontal="center" vertical="top" wrapText="1"/>
      <protection hidden="1"/>
    </xf>
    <xf numFmtId="0" fontId="152" fillId="0" borderId="101" xfId="0" quotePrefix="1" applyFont="1" applyBorder="1" applyAlignment="1" applyProtection="1">
      <alignment horizontal="center" vertical="top" wrapText="1"/>
      <protection hidden="1"/>
    </xf>
    <xf numFmtId="0" fontId="152" fillId="0" borderId="78" xfId="0" quotePrefix="1" applyFont="1" applyBorder="1" applyAlignment="1" applyProtection="1">
      <alignment horizontal="center" vertical="top" wrapText="1"/>
      <protection hidden="1"/>
    </xf>
    <xf numFmtId="0" fontId="152" fillId="0" borderId="27" xfId="0" quotePrefix="1" applyFont="1" applyBorder="1" applyAlignment="1" applyProtection="1">
      <alignment horizontal="center" vertical="top" wrapText="1"/>
      <protection hidden="1"/>
    </xf>
    <xf numFmtId="0" fontId="151" fillId="0" borderId="104" xfId="0" applyFont="1" applyBorder="1" applyAlignment="1" applyProtection="1">
      <alignment horizontal="center" vertical="top" wrapText="1"/>
      <protection hidden="1"/>
    </xf>
    <xf numFmtId="0" fontId="151" fillId="0" borderId="105" xfId="0" applyFont="1" applyBorder="1" applyAlignment="1" applyProtection="1">
      <alignment horizontal="center" vertical="top" wrapText="1"/>
      <protection hidden="1"/>
    </xf>
    <xf numFmtId="0" fontId="151" fillId="0" borderId="105" xfId="0" applyFont="1" applyBorder="1" applyAlignment="1" applyProtection="1">
      <alignment horizontal="center" vertical="top"/>
      <protection hidden="1"/>
    </xf>
    <xf numFmtId="0" fontId="32" fillId="2" borderId="5" xfId="0" applyFont="1" applyFill="1" applyBorder="1"/>
    <xf numFmtId="0" fontId="0" fillId="2" borderId="1" xfId="0" applyFill="1" applyBorder="1" applyProtection="1">
      <protection hidden="1"/>
    </xf>
    <xf numFmtId="0" fontId="32" fillId="2" borderId="122" xfId="0" applyFont="1" applyFill="1" applyBorder="1"/>
    <xf numFmtId="0" fontId="35" fillId="2" borderId="0" xfId="0" applyFont="1" applyFill="1"/>
    <xf numFmtId="0" fontId="151" fillId="2" borderId="123" xfId="0" applyFont="1" applyFill="1" applyBorder="1" applyAlignment="1" applyProtection="1">
      <alignment vertical="top" wrapText="1"/>
      <protection hidden="1"/>
    </xf>
    <xf numFmtId="168" fontId="35" fillId="2" borderId="0" xfId="0" applyNumberFormat="1" applyFont="1" applyFill="1"/>
    <xf numFmtId="0" fontId="13" fillId="2" borderId="0" xfId="0" applyFont="1" applyFill="1" applyAlignment="1" applyProtection="1">
      <alignment horizontal="center" wrapText="1"/>
      <protection hidden="1"/>
    </xf>
    <xf numFmtId="0" fontId="151" fillId="2" borderId="102" xfId="0" applyFont="1" applyFill="1" applyBorder="1" applyAlignment="1" applyProtection="1">
      <alignment vertical="top" wrapText="1"/>
      <protection hidden="1"/>
    </xf>
    <xf numFmtId="173" fontId="0" fillId="2" borderId="0" xfId="0" applyNumberFormat="1" applyFill="1"/>
    <xf numFmtId="173" fontId="0" fillId="0" borderId="83" xfId="0" applyNumberFormat="1" applyBorder="1"/>
    <xf numFmtId="173" fontId="22" fillId="0" borderId="98" xfId="0" applyNumberFormat="1" applyFont="1" applyBorder="1" applyAlignment="1" applyProtection="1">
      <alignment vertical="top"/>
      <protection hidden="1"/>
    </xf>
    <xf numFmtId="173" fontId="0" fillId="2" borderId="121" xfId="0" applyNumberFormat="1" applyFill="1" applyBorder="1" applyProtection="1">
      <protection hidden="1"/>
    </xf>
    <xf numFmtId="173" fontId="22" fillId="0" borderId="99" xfId="0" applyNumberFormat="1" applyFont="1" applyBorder="1" applyAlignment="1" applyProtection="1">
      <alignment vertical="top"/>
      <protection hidden="1"/>
    </xf>
    <xf numFmtId="173" fontId="151" fillId="0" borderId="95" xfId="0" applyNumberFormat="1" applyFont="1" applyBorder="1" applyAlignment="1" applyProtection="1">
      <alignment horizontal="center" vertical="top" wrapText="1"/>
      <protection hidden="1"/>
    </xf>
    <xf numFmtId="173" fontId="0" fillId="0" borderId="107" xfId="0" applyNumberFormat="1" applyBorder="1" applyAlignment="1">
      <alignment horizontal="center" vertical="top" wrapText="1"/>
    </xf>
    <xf numFmtId="173" fontId="151" fillId="0" borderId="96" xfId="0" applyNumberFormat="1" applyFont="1" applyBorder="1" applyAlignment="1" applyProtection="1">
      <alignment horizontal="center" vertical="top" wrapText="1"/>
      <protection hidden="1"/>
    </xf>
    <xf numFmtId="173" fontId="151" fillId="0" borderId="0" xfId="0" applyNumberFormat="1" applyFont="1" applyAlignment="1" applyProtection="1">
      <alignment horizontal="center" vertical="top" wrapText="1"/>
      <protection hidden="1"/>
    </xf>
    <xf numFmtId="173" fontId="151" fillId="0" borderId="107" xfId="0" applyNumberFormat="1" applyFont="1" applyBorder="1" applyAlignment="1" applyProtection="1">
      <alignment horizontal="center" vertical="top"/>
      <protection hidden="1"/>
    </xf>
    <xf numFmtId="173" fontId="151" fillId="0" borderId="97" xfId="0" applyNumberFormat="1" applyFont="1" applyBorder="1" applyAlignment="1" applyProtection="1">
      <alignment horizontal="center" vertical="top" wrapText="1"/>
      <protection hidden="1"/>
    </xf>
    <xf numFmtId="173" fontId="151" fillId="0" borderId="106" xfId="0" applyNumberFormat="1" applyFont="1" applyBorder="1" applyAlignment="1" applyProtection="1">
      <alignment horizontal="center" vertical="top" wrapText="1"/>
      <protection hidden="1"/>
    </xf>
    <xf numFmtId="173" fontId="35" fillId="2" borderId="0" xfId="0" applyNumberFormat="1" applyFont="1" applyFill="1"/>
    <xf numFmtId="0" fontId="152" fillId="2" borderId="319" xfId="0" applyFont="1" applyFill="1" applyBorder="1" applyAlignment="1" applyProtection="1">
      <alignment horizontal="center" vertical="top" wrapText="1"/>
      <protection hidden="1"/>
    </xf>
    <xf numFmtId="0" fontId="152" fillId="2" borderId="158" xfId="0" applyFont="1" applyFill="1" applyBorder="1" applyAlignment="1" applyProtection="1">
      <alignment vertical="center" wrapText="1"/>
      <protection hidden="1"/>
    </xf>
    <xf numFmtId="0" fontId="152" fillId="2" borderId="158" xfId="0" quotePrefix="1" applyFont="1" applyFill="1" applyBorder="1" applyAlignment="1" applyProtection="1">
      <alignment horizontal="left" vertical="center" wrapText="1" indent="2"/>
      <protection hidden="1"/>
    </xf>
    <xf numFmtId="0" fontId="152" fillId="2" borderId="158" xfId="0" quotePrefix="1" applyFont="1" applyFill="1" applyBorder="1" applyAlignment="1" applyProtection="1">
      <alignment horizontal="left" vertical="center" wrapText="1"/>
      <protection hidden="1"/>
    </xf>
    <xf numFmtId="0" fontId="152" fillId="2" borderId="159" xfId="0" quotePrefix="1" applyFont="1" applyFill="1" applyBorder="1" applyAlignment="1" applyProtection="1">
      <alignment horizontal="left" vertical="center" wrapText="1"/>
      <protection hidden="1"/>
    </xf>
    <xf numFmtId="0" fontId="152" fillId="2" borderId="142" xfId="0" applyFont="1" applyFill="1" applyBorder="1" applyAlignment="1" applyProtection="1">
      <alignment vertical="center" wrapText="1"/>
      <protection hidden="1"/>
    </xf>
    <xf numFmtId="0" fontId="152" fillId="2" borderId="78" xfId="0" quotePrefix="1" applyFont="1" applyFill="1" applyBorder="1" applyAlignment="1">
      <alignment horizontal="center" vertical="center" wrapText="1"/>
    </xf>
    <xf numFmtId="0" fontId="152" fillId="2" borderId="35" xfId="0" quotePrefix="1" applyFont="1" applyFill="1" applyBorder="1" applyAlignment="1">
      <alignment horizontal="center" vertical="center" wrapText="1"/>
    </xf>
    <xf numFmtId="0" fontId="152" fillId="2" borderId="142" xfId="0" quotePrefix="1" applyFont="1" applyFill="1" applyBorder="1" applyAlignment="1" applyProtection="1">
      <alignment horizontal="left" vertical="center" wrapText="1"/>
      <protection hidden="1"/>
    </xf>
    <xf numFmtId="0" fontId="152" fillId="2" borderId="158" xfId="0" applyFont="1" applyFill="1" applyBorder="1" applyAlignment="1" applyProtection="1">
      <alignment horizontal="left" vertical="center" wrapText="1" indent="2"/>
      <protection hidden="1"/>
    </xf>
    <xf numFmtId="0" fontId="152" fillId="0" borderId="158" xfId="0" quotePrefix="1" applyFont="1" applyBorder="1" applyAlignment="1" applyProtection="1">
      <alignment horizontal="left" vertical="center" wrapText="1" indent="4"/>
      <protection hidden="1"/>
    </xf>
    <xf numFmtId="0" fontId="152" fillId="0" borderId="158" xfId="0" applyFont="1" applyBorder="1" applyAlignment="1" applyProtection="1">
      <alignment horizontal="left" vertical="center" wrapText="1" indent="2"/>
      <protection hidden="1"/>
    </xf>
    <xf numFmtId="168" fontId="9" fillId="0" borderId="0" xfId="0" applyNumberFormat="1" applyFont="1" applyAlignment="1">
      <alignment vertical="center"/>
    </xf>
    <xf numFmtId="0" fontId="152" fillId="0" borderId="118" xfId="0" applyFont="1" applyBorder="1" applyAlignment="1" applyProtection="1">
      <alignment vertical="top" wrapText="1"/>
      <protection hidden="1"/>
    </xf>
    <xf numFmtId="0" fontId="152" fillId="0" borderId="133" xfId="0" applyFont="1" applyBorder="1" applyAlignment="1" applyProtection="1">
      <alignment horizontal="justify" vertical="top" wrapText="1"/>
      <protection hidden="1"/>
    </xf>
    <xf numFmtId="0" fontId="152" fillId="0" borderId="134" xfId="0" applyFont="1" applyBorder="1" applyAlignment="1" applyProtection="1">
      <alignment vertical="top" wrapText="1"/>
      <protection hidden="1"/>
    </xf>
    <xf numFmtId="0" fontId="151" fillId="0" borderId="135" xfId="0" applyFont="1" applyBorder="1" applyAlignment="1" applyProtection="1">
      <alignment wrapText="1"/>
      <protection hidden="1"/>
    </xf>
    <xf numFmtId="0" fontId="152" fillId="0" borderId="111" xfId="0" applyFont="1" applyBorder="1" applyAlignment="1" applyProtection="1">
      <alignment vertical="top" wrapText="1"/>
      <protection hidden="1"/>
    </xf>
    <xf numFmtId="0" fontId="152" fillId="0" borderId="136" xfId="0" applyFont="1" applyBorder="1" applyAlignment="1" applyProtection="1">
      <alignment vertical="top" wrapText="1"/>
      <protection hidden="1"/>
    </xf>
    <xf numFmtId="0" fontId="151" fillId="0" borderId="15" xfId="0" applyFont="1" applyBorder="1" applyAlignment="1" applyProtection="1">
      <alignment wrapText="1"/>
      <protection hidden="1"/>
    </xf>
    <xf numFmtId="0" fontId="151" fillId="0" borderId="137" xfId="0" applyFont="1" applyBorder="1" applyAlignment="1" applyProtection="1">
      <alignment vertical="top" wrapText="1"/>
      <protection hidden="1"/>
    </xf>
    <xf numFmtId="0" fontId="151" fillId="0" borderId="138" xfId="0" applyFont="1" applyBorder="1" applyAlignment="1" applyProtection="1">
      <alignment vertical="top" wrapText="1"/>
      <protection hidden="1"/>
    </xf>
    <xf numFmtId="0" fontId="151" fillId="0" borderId="139" xfId="0" applyFont="1" applyBorder="1" applyAlignment="1" applyProtection="1">
      <alignment wrapText="1"/>
      <protection hidden="1"/>
    </xf>
    <xf numFmtId="0" fontId="152" fillId="0" borderId="140" xfId="0" applyFont="1" applyBorder="1" applyAlignment="1" applyProtection="1">
      <alignment vertical="top" wrapText="1"/>
      <protection hidden="1"/>
    </xf>
    <xf numFmtId="0" fontId="152" fillId="0" borderId="141" xfId="0" applyFont="1" applyBorder="1" applyAlignment="1" applyProtection="1">
      <alignment vertical="top" wrapText="1"/>
      <protection hidden="1"/>
    </xf>
    <xf numFmtId="0" fontId="152" fillId="0" borderId="142" xfId="0" applyFont="1" applyBorder="1" applyAlignment="1" applyProtection="1">
      <alignment vertical="top" wrapText="1"/>
      <protection hidden="1"/>
    </xf>
    <xf numFmtId="0" fontId="151" fillId="0" borderId="136" xfId="0" applyFont="1" applyBorder="1" applyAlignment="1" applyProtection="1">
      <alignment wrapText="1"/>
      <protection hidden="1"/>
    </xf>
    <xf numFmtId="0" fontId="152" fillId="2" borderId="140" xfId="0" applyFont="1" applyFill="1" applyBorder="1" applyAlignment="1" applyProtection="1">
      <alignment vertical="top" wrapText="1"/>
      <protection hidden="1"/>
    </xf>
    <xf numFmtId="173" fontId="7" fillId="2" borderId="169" xfId="0" applyNumberFormat="1" applyFont="1" applyFill="1" applyBorder="1" applyAlignment="1" applyProtection="1">
      <alignment vertical="center"/>
      <protection locked="0"/>
    </xf>
    <xf numFmtId="173" fontId="4" fillId="2" borderId="148" xfId="0" applyNumberFormat="1" applyFont="1" applyFill="1" applyBorder="1" applyAlignment="1" applyProtection="1">
      <alignment vertical="center"/>
      <protection locked="0"/>
    </xf>
    <xf numFmtId="173" fontId="22" fillId="2" borderId="0" xfId="0" applyNumberFormat="1" applyFont="1" applyFill="1" applyAlignment="1">
      <alignment vertical="top" wrapText="1"/>
    </xf>
    <xf numFmtId="173" fontId="83" fillId="2" borderId="0" xfId="0" applyNumberFormat="1" applyFont="1" applyFill="1" applyAlignment="1">
      <alignment horizontal="centerContinuous" wrapText="1"/>
    </xf>
    <xf numFmtId="173" fontId="57" fillId="2" borderId="0" xfId="0" applyNumberFormat="1" applyFont="1" applyFill="1" applyAlignment="1" applyProtection="1">
      <alignment horizontal="right" wrapText="1"/>
      <protection hidden="1"/>
    </xf>
    <xf numFmtId="173" fontId="4" fillId="2" borderId="170" xfId="0" applyNumberFormat="1" applyFont="1" applyFill="1" applyBorder="1" applyAlignment="1" applyProtection="1">
      <alignment vertical="center" wrapText="1"/>
      <protection locked="0"/>
    </xf>
    <xf numFmtId="173" fontId="57" fillId="2" borderId="0" xfId="0" applyNumberFormat="1" applyFont="1" applyFill="1" applyAlignment="1" applyProtection="1">
      <alignment horizontal="right"/>
      <protection hidden="1"/>
    </xf>
    <xf numFmtId="173" fontId="4" fillId="2" borderId="171" xfId="0" applyNumberFormat="1" applyFont="1" applyFill="1" applyBorder="1" applyAlignment="1" applyProtection="1">
      <alignment vertical="center" wrapText="1"/>
      <protection locked="0"/>
    </xf>
    <xf numFmtId="173" fontId="83" fillId="2" borderId="0" xfId="0" applyNumberFormat="1" applyFont="1" applyFill="1" applyAlignment="1" applyProtection="1">
      <alignment horizontal="centerContinuous" vertical="top" wrapText="1"/>
      <protection hidden="1"/>
    </xf>
    <xf numFmtId="173" fontId="9" fillId="0" borderId="128" xfId="0" applyNumberFormat="1" applyFont="1" applyBorder="1" applyAlignment="1">
      <alignment horizontal="center"/>
    </xf>
    <xf numFmtId="173" fontId="9" fillId="0" borderId="5" xfId="0" applyNumberFormat="1" applyFont="1" applyBorder="1" applyAlignment="1">
      <alignment horizontal="center"/>
    </xf>
    <xf numFmtId="175" fontId="9" fillId="0" borderId="26" xfId="0" applyNumberFormat="1" applyFont="1" applyBorder="1" applyAlignment="1">
      <alignment horizontal="center"/>
    </xf>
    <xf numFmtId="175" fontId="9" fillId="0" borderId="26" xfId="0" quotePrefix="1" applyNumberFormat="1" applyFont="1" applyBorder="1" applyAlignment="1">
      <alignment horizontal="center"/>
    </xf>
    <xf numFmtId="175" fontId="9" fillId="0" borderId="110" xfId="0" quotePrefix="1" applyNumberFormat="1" applyFont="1" applyBorder="1" applyAlignment="1">
      <alignment horizontal="center"/>
    </xf>
    <xf numFmtId="173" fontId="9" fillId="0" borderId="29" xfId="0" applyNumberFormat="1" applyFont="1" applyBorder="1" applyAlignment="1" applyProtection="1">
      <alignment horizontal="center" vertical="center"/>
      <protection locked="0"/>
    </xf>
    <xf numFmtId="173" fontId="9" fillId="4" borderId="29" xfId="0" applyNumberFormat="1" applyFont="1" applyFill="1" applyBorder="1" applyAlignment="1">
      <alignment horizontal="center" vertical="center"/>
    </xf>
    <xf numFmtId="173" fontId="9" fillId="4" borderId="151" xfId="0" applyNumberFormat="1" applyFont="1" applyFill="1" applyBorder="1" applyAlignment="1">
      <alignment horizontal="center" vertical="center"/>
    </xf>
    <xf numFmtId="173" fontId="9" fillId="0" borderId="35" xfId="0" applyNumberFormat="1" applyFont="1" applyBorder="1" applyAlignment="1" applyProtection="1">
      <alignment horizontal="center" vertical="center"/>
      <protection locked="0"/>
    </xf>
    <xf numFmtId="173" fontId="9" fillId="4" borderId="143" xfId="0" applyNumberFormat="1" applyFont="1" applyFill="1" applyBorder="1" applyAlignment="1">
      <alignment horizontal="center" vertical="center"/>
    </xf>
    <xf numFmtId="173" fontId="40" fillId="0" borderId="35" xfId="0" applyNumberFormat="1" applyFont="1" applyBorder="1" applyAlignment="1">
      <alignment horizontal="center" vertical="center"/>
    </xf>
    <xf numFmtId="173" fontId="9" fillId="4" borderId="26" xfId="0" applyNumberFormat="1" applyFont="1" applyFill="1" applyBorder="1" applyAlignment="1">
      <alignment horizontal="center" vertical="center"/>
    </xf>
    <xf numFmtId="173" fontId="9" fillId="0" borderId="26" xfId="0" applyNumberFormat="1" applyFont="1" applyBorder="1" applyAlignment="1" applyProtection="1">
      <alignment horizontal="center" vertical="center"/>
      <protection locked="0"/>
    </xf>
    <xf numFmtId="173" fontId="40" fillId="0" borderId="110" xfId="0" applyNumberFormat="1" applyFont="1" applyBorder="1" applyAlignment="1">
      <alignment horizontal="center" vertical="center"/>
    </xf>
    <xf numFmtId="173" fontId="9" fillId="10" borderId="29" xfId="0" applyNumberFormat="1" applyFont="1" applyFill="1" applyBorder="1" applyAlignment="1" applyProtection="1">
      <alignment horizontal="center" vertical="center"/>
      <protection locked="0"/>
    </xf>
    <xf numFmtId="173" fontId="9" fillId="0" borderId="0" xfId="0" applyNumberFormat="1" applyFont="1" applyAlignment="1">
      <alignment horizontal="center"/>
    </xf>
    <xf numFmtId="173" fontId="9" fillId="0" borderId="128" xfId="0" applyNumberFormat="1" applyFont="1" applyBorder="1" applyAlignment="1" applyProtection="1">
      <alignment horizontal="center"/>
      <protection locked="0"/>
    </xf>
    <xf numFmtId="173" fontId="9" fillId="0" borderId="206" xfId="0" applyNumberFormat="1" applyFont="1" applyBorder="1" applyAlignment="1" applyProtection="1">
      <alignment horizontal="center"/>
      <protection locked="0"/>
    </xf>
    <xf numFmtId="173" fontId="40" fillId="0" borderId="24" xfId="0" applyNumberFormat="1" applyFont="1" applyBorder="1" applyAlignment="1">
      <alignment horizontal="center" vertical="center"/>
    </xf>
    <xf numFmtId="173" fontId="9" fillId="4" borderId="24" xfId="0" applyNumberFormat="1" applyFont="1" applyFill="1" applyBorder="1" applyAlignment="1">
      <alignment horizontal="center" vertical="center"/>
    </xf>
    <xf numFmtId="173" fontId="40" fillId="0" borderId="156" xfId="0" applyNumberFormat="1" applyFont="1" applyBorder="1" applyAlignment="1">
      <alignment horizontal="center" vertical="center"/>
    </xf>
    <xf numFmtId="173" fontId="40" fillId="0" borderId="148" xfId="0" applyNumberFormat="1" applyFont="1" applyBorder="1" applyAlignment="1">
      <alignment horizontal="center" vertical="center"/>
    </xf>
    <xf numFmtId="173" fontId="9" fillId="0" borderId="35" xfId="0" quotePrefix="1" applyNumberFormat="1" applyFont="1" applyBorder="1" applyAlignment="1" applyProtection="1">
      <alignment horizontal="center" vertical="center"/>
      <protection locked="0"/>
    </xf>
    <xf numFmtId="173" fontId="9" fillId="0" borderId="148" xfId="0" applyNumberFormat="1" applyFont="1" applyBorder="1" applyAlignment="1" applyProtection="1">
      <alignment horizontal="center" vertical="center"/>
      <protection locked="0"/>
    </xf>
    <xf numFmtId="173" fontId="9" fillId="0" borderId="35" xfId="0" applyNumberFormat="1" applyFont="1" applyBorder="1" applyAlignment="1" applyProtection="1">
      <alignment horizontal="center" vertical="center" wrapText="1"/>
      <protection locked="0"/>
    </xf>
    <xf numFmtId="173" fontId="9" fillId="0" borderId="26" xfId="0" quotePrefix="1" applyNumberFormat="1" applyFont="1" applyBorder="1" applyAlignment="1" applyProtection="1">
      <alignment horizontal="center" vertical="center"/>
      <protection locked="0"/>
    </xf>
    <xf numFmtId="173" fontId="9" fillId="0" borderId="110" xfId="0" applyNumberFormat="1" applyFont="1" applyBorder="1" applyAlignment="1" applyProtection="1">
      <alignment horizontal="center" vertical="center"/>
      <protection locked="0"/>
    </xf>
    <xf numFmtId="0" fontId="40" fillId="0" borderId="28" xfId="0" applyFont="1" applyBorder="1" applyAlignment="1" applyProtection="1">
      <alignment horizontal="left" vertical="center"/>
      <protection hidden="1"/>
    </xf>
    <xf numFmtId="0" fontId="9" fillId="0" borderId="35" xfId="0" applyFont="1" applyBorder="1" applyAlignment="1" applyProtection="1">
      <alignment horizontal="left" vertical="center"/>
      <protection hidden="1"/>
    </xf>
    <xf numFmtId="0" fontId="9" fillId="0" borderId="29" xfId="0" applyFont="1" applyBorder="1" applyAlignment="1" applyProtection="1">
      <alignment horizontal="left" vertical="center"/>
      <protection hidden="1"/>
    </xf>
    <xf numFmtId="0" fontId="9" fillId="0" borderId="26" xfId="0" quotePrefix="1" applyFont="1" applyBorder="1" applyAlignment="1" applyProtection="1">
      <alignment horizontal="left" vertical="center"/>
      <protection hidden="1"/>
    </xf>
    <xf numFmtId="0" fontId="39" fillId="2" borderId="35" xfId="0" applyFont="1" applyFill="1" applyBorder="1" applyAlignment="1" applyProtection="1">
      <alignment horizontal="left" vertical="center"/>
      <protection hidden="1"/>
    </xf>
    <xf numFmtId="0" fontId="9" fillId="2" borderId="35" xfId="0" applyFont="1" applyFill="1" applyBorder="1" applyAlignment="1" applyProtection="1">
      <alignment horizontal="left" vertical="center"/>
      <protection hidden="1"/>
    </xf>
    <xf numFmtId="0" fontId="39" fillId="0" borderId="35" xfId="0" applyFont="1" applyBorder="1" applyAlignment="1" applyProtection="1">
      <alignment horizontal="left" vertical="center"/>
      <protection hidden="1"/>
    </xf>
    <xf numFmtId="0" fontId="153" fillId="0" borderId="0" xfId="0" applyFont="1"/>
    <xf numFmtId="175" fontId="9" fillId="0" borderId="38" xfId="0" applyNumberFormat="1" applyFont="1" applyBorder="1" applyProtection="1">
      <protection locked="0"/>
    </xf>
    <xf numFmtId="175" fontId="9" fillId="0" borderId="149" xfId="0" applyNumberFormat="1" applyFont="1" applyBorder="1" applyProtection="1">
      <protection locked="0"/>
    </xf>
    <xf numFmtId="175" fontId="9" fillId="0" borderId="29" xfId="0" applyNumberFormat="1" applyFont="1" applyBorder="1" applyProtection="1">
      <protection locked="0"/>
    </xf>
    <xf numFmtId="175" fontId="9" fillId="0" borderId="65" xfId="0" applyNumberFormat="1" applyFont="1" applyBorder="1" applyProtection="1">
      <protection locked="0"/>
    </xf>
    <xf numFmtId="175" fontId="9" fillId="0" borderId="5" xfId="0" applyNumberFormat="1" applyFont="1" applyBorder="1" applyProtection="1">
      <protection locked="0"/>
    </xf>
    <xf numFmtId="175" fontId="40" fillId="4" borderId="24" xfId="0" applyNumberFormat="1" applyFont="1" applyFill="1" applyBorder="1" applyProtection="1">
      <protection locked="0"/>
    </xf>
    <xf numFmtId="175" fontId="9" fillId="0" borderId="52" xfId="0" applyNumberFormat="1" applyFont="1" applyBorder="1" applyProtection="1">
      <protection locked="0"/>
    </xf>
    <xf numFmtId="175" fontId="9" fillId="8" borderId="37" xfId="0" applyNumberFormat="1" applyFont="1" applyFill="1" applyBorder="1"/>
    <xf numFmtId="175" fontId="9" fillId="8" borderId="35" xfId="0" applyNumberFormat="1" applyFont="1" applyFill="1" applyBorder="1"/>
    <xf numFmtId="175" fontId="41" fillId="8" borderId="37" xfId="0" applyNumberFormat="1" applyFont="1" applyFill="1" applyBorder="1"/>
    <xf numFmtId="175" fontId="41" fillId="8" borderId="35" xfId="0" applyNumberFormat="1" applyFont="1" applyFill="1" applyBorder="1"/>
    <xf numFmtId="175" fontId="40" fillId="0" borderId="37" xfId="0" applyNumberFormat="1" applyFont="1" applyBorder="1"/>
    <xf numFmtId="175" fontId="40" fillId="0" borderId="35" xfId="0" applyNumberFormat="1" applyFont="1" applyBorder="1"/>
    <xf numFmtId="175" fontId="40" fillId="0" borderId="9" xfId="0" applyNumberFormat="1" applyFont="1" applyBorder="1"/>
    <xf numFmtId="175" fontId="40" fillId="4" borderId="45" xfId="0" applyNumberFormat="1" applyFont="1" applyFill="1" applyBorder="1"/>
    <xf numFmtId="175" fontId="40" fillId="0" borderId="58" xfId="0" applyNumberFormat="1" applyFont="1" applyBorder="1"/>
    <xf numFmtId="175" fontId="40" fillId="0" borderId="10" xfId="0" applyNumberFormat="1" applyFont="1" applyBorder="1"/>
    <xf numFmtId="175" fontId="40" fillId="0" borderId="45" xfId="0" applyNumberFormat="1" applyFont="1" applyBorder="1"/>
    <xf numFmtId="175" fontId="40" fillId="4" borderId="35" xfId="0" applyNumberFormat="1" applyFont="1" applyFill="1" applyBorder="1"/>
    <xf numFmtId="175" fontId="9" fillId="0" borderId="35" xfId="0" applyNumberFormat="1" applyFont="1" applyBorder="1"/>
    <xf numFmtId="175" fontId="9" fillId="0" borderId="9" xfId="0" applyNumberFormat="1" applyFont="1" applyBorder="1"/>
    <xf numFmtId="175" fontId="9" fillId="4" borderId="45" xfId="0" applyNumberFormat="1" applyFont="1" applyFill="1" applyBorder="1"/>
    <xf numFmtId="175" fontId="9" fillId="0" borderId="58" xfId="0" applyNumberFormat="1" applyFont="1" applyBorder="1"/>
    <xf numFmtId="175" fontId="9" fillId="0" borderId="37" xfId="0" applyNumberFormat="1" applyFont="1" applyBorder="1"/>
    <xf numFmtId="175" fontId="9" fillId="0" borderId="10" xfId="0" applyNumberFormat="1" applyFont="1" applyBorder="1"/>
    <xf numFmtId="175" fontId="9" fillId="0" borderId="45" xfId="0" applyNumberFormat="1" applyFont="1" applyBorder="1"/>
    <xf numFmtId="175" fontId="9" fillId="4" borderId="35" xfId="0" applyNumberFormat="1" applyFont="1" applyFill="1" applyBorder="1"/>
    <xf numFmtId="175" fontId="40" fillId="0" borderId="33" xfId="0" applyNumberFormat="1" applyFont="1" applyBorder="1"/>
    <xf numFmtId="175" fontId="40" fillId="0" borderId="26" xfId="0" applyNumberFormat="1" applyFont="1" applyBorder="1"/>
    <xf numFmtId="175" fontId="40" fillId="0" borderId="27" xfId="0" applyNumberFormat="1" applyFont="1" applyBorder="1"/>
    <xf numFmtId="175" fontId="40" fillId="4" borderId="182" xfId="0" applyNumberFormat="1" applyFont="1" applyFill="1" applyBorder="1"/>
    <xf numFmtId="175" fontId="40" fillId="0" borderId="181" xfId="0" applyNumberFormat="1" applyFont="1" applyBorder="1"/>
    <xf numFmtId="175" fontId="40" fillId="0" borderId="154" xfId="0" applyNumberFormat="1" applyFont="1" applyBorder="1"/>
    <xf numFmtId="175" fontId="40" fillId="0" borderId="182" xfId="0" applyNumberFormat="1" applyFont="1" applyBorder="1"/>
    <xf numFmtId="175" fontId="40" fillId="4" borderId="26" xfId="0" applyNumberFormat="1" applyFont="1" applyFill="1" applyBorder="1"/>
    <xf numFmtId="175" fontId="9" fillId="0" borderId="0" xfId="0" applyNumberFormat="1" applyFont="1"/>
    <xf numFmtId="175" fontId="41" fillId="8" borderId="32" xfId="0" applyNumberFormat="1" applyFont="1" applyFill="1" applyBorder="1"/>
    <xf numFmtId="175" fontId="41" fillId="8" borderId="24" xfId="0" applyNumberFormat="1" applyFont="1" applyFill="1" applyBorder="1"/>
    <xf numFmtId="175" fontId="9" fillId="0" borderId="24" xfId="0" applyNumberFormat="1" applyFont="1" applyBorder="1" applyProtection="1">
      <protection locked="0"/>
    </xf>
    <xf numFmtId="175" fontId="9" fillId="0" borderId="25" xfId="0" applyNumberFormat="1" applyFont="1" applyBorder="1" applyProtection="1">
      <protection locked="0"/>
    </xf>
    <xf numFmtId="175" fontId="40" fillId="4" borderId="187" xfId="0" applyNumberFormat="1" applyFont="1" applyFill="1" applyBorder="1" applyProtection="1">
      <protection locked="0"/>
    </xf>
    <xf numFmtId="175" fontId="9" fillId="0" borderId="183" xfId="0" applyNumberFormat="1" applyFont="1" applyBorder="1" applyProtection="1">
      <protection locked="0"/>
    </xf>
    <xf numFmtId="175" fontId="9" fillId="0" borderId="32" xfId="0" applyNumberFormat="1" applyFont="1" applyBorder="1" applyProtection="1">
      <protection locked="0"/>
    </xf>
    <xf numFmtId="175" fontId="9" fillId="0" borderId="130" xfId="0" applyNumberFormat="1" applyFont="1" applyBorder="1" applyProtection="1">
      <protection locked="0"/>
    </xf>
    <xf numFmtId="175" fontId="9" fillId="0" borderId="187" xfId="0" applyNumberFormat="1" applyFont="1" applyBorder="1" applyProtection="1">
      <protection locked="0"/>
    </xf>
    <xf numFmtId="175" fontId="9" fillId="0" borderId="186" xfId="0" applyNumberFormat="1" applyFont="1" applyBorder="1" applyProtection="1">
      <protection locked="0"/>
    </xf>
    <xf numFmtId="175" fontId="41" fillId="8" borderId="33" xfId="0" applyNumberFormat="1" applyFont="1" applyFill="1" applyBorder="1"/>
    <xf numFmtId="175" fontId="41" fillId="8" borderId="26" xfId="0" applyNumberFormat="1" applyFont="1" applyFill="1" applyBorder="1"/>
    <xf numFmtId="175" fontId="9" fillId="0" borderId="188" xfId="0" applyNumberFormat="1" applyFont="1" applyBorder="1" applyProtection="1">
      <protection locked="0"/>
    </xf>
    <xf numFmtId="175" fontId="9" fillId="8" borderId="32" xfId="0" applyNumberFormat="1" applyFont="1" applyFill="1" applyBorder="1"/>
    <xf numFmtId="175" fontId="9" fillId="8" borderId="24" xfId="0" applyNumberFormat="1" applyFont="1" applyFill="1" applyBorder="1"/>
    <xf numFmtId="175" fontId="40" fillId="0" borderId="150" xfId="0" applyNumberFormat="1" applyFont="1" applyBorder="1"/>
    <xf numFmtId="175" fontId="9" fillId="0" borderId="128" xfId="0" applyNumberFormat="1" applyFont="1" applyBorder="1"/>
    <xf numFmtId="175" fontId="9" fillId="0" borderId="128" xfId="0" applyNumberFormat="1" applyFont="1" applyBorder="1" applyProtection="1">
      <protection locked="0"/>
    </xf>
    <xf numFmtId="175" fontId="40" fillId="0" borderId="128" xfId="0" applyNumberFormat="1" applyFont="1" applyBorder="1"/>
    <xf numFmtId="175" fontId="40" fillId="0" borderId="132" xfId="0" applyNumberFormat="1" applyFont="1" applyBorder="1"/>
    <xf numFmtId="175" fontId="9" fillId="0" borderId="189" xfId="0" applyNumberFormat="1" applyFont="1" applyBorder="1" applyAlignment="1" applyProtection="1">
      <alignment horizontal="right"/>
      <protection locked="0"/>
    </xf>
    <xf numFmtId="175" fontId="9" fillId="0" borderId="178" xfId="0" applyNumberFormat="1" applyFont="1" applyBorder="1" applyAlignment="1" applyProtection="1">
      <alignment horizontal="right"/>
      <protection locked="0"/>
    </xf>
    <xf numFmtId="175" fontId="9" fillId="0" borderId="190" xfId="0" applyNumberFormat="1" applyFont="1" applyBorder="1" applyProtection="1">
      <protection locked="0"/>
    </xf>
    <xf numFmtId="175" fontId="9" fillId="0" borderId="174" xfId="0" applyNumberFormat="1" applyFont="1" applyBorder="1" applyProtection="1">
      <protection locked="0"/>
    </xf>
    <xf numFmtId="175" fontId="9" fillId="0" borderId="139" xfId="0" applyNumberFormat="1" applyFont="1" applyBorder="1"/>
    <xf numFmtId="175" fontId="4" fillId="0" borderId="155" xfId="0" applyNumberFormat="1" applyFont="1" applyBorder="1" applyAlignment="1" applyProtection="1">
      <alignment vertical="top" wrapText="1"/>
      <protection locked="0"/>
    </xf>
    <xf numFmtId="175" fontId="4" fillId="0" borderId="129" xfId="0" applyNumberFormat="1" applyFont="1" applyBorder="1" applyAlignment="1" applyProtection="1">
      <alignment vertical="top" wrapText="1"/>
      <protection locked="0"/>
    </xf>
    <xf numFmtId="175" fontId="4" fillId="0" borderId="145" xfId="0" applyNumberFormat="1" applyFont="1" applyBorder="1" applyAlignment="1" applyProtection="1">
      <alignment vertical="top" wrapText="1"/>
      <protection locked="0"/>
    </xf>
    <xf numFmtId="175" fontId="4" fillId="0" borderId="147" xfId="0" applyNumberFormat="1" applyFont="1" applyBorder="1" applyAlignment="1" applyProtection="1">
      <alignment vertical="top" wrapText="1"/>
      <protection locked="0"/>
    </xf>
    <xf numFmtId="175" fontId="4" fillId="0" borderId="28" xfId="0" applyNumberFormat="1" applyFont="1" applyBorder="1" applyAlignment="1" applyProtection="1">
      <alignment vertical="top" wrapText="1"/>
      <protection locked="0"/>
    </xf>
    <xf numFmtId="175" fontId="4" fillId="0" borderId="34" xfId="0" applyNumberFormat="1" applyFont="1" applyBorder="1" applyAlignment="1" applyProtection="1">
      <alignment vertical="top" wrapText="1"/>
      <protection locked="0"/>
    </xf>
    <xf numFmtId="175" fontId="4" fillId="0" borderId="146" xfId="0" applyNumberFormat="1" applyFont="1" applyBorder="1" applyAlignment="1" applyProtection="1">
      <alignment vertical="top" wrapText="1"/>
      <protection locked="0"/>
    </xf>
    <xf numFmtId="175" fontId="4" fillId="0" borderId="148" xfId="0" applyNumberFormat="1" applyFont="1" applyBorder="1" applyAlignment="1" applyProtection="1">
      <alignment vertical="top" wrapText="1"/>
      <protection locked="0"/>
    </xf>
    <xf numFmtId="175" fontId="9" fillId="4" borderId="35" xfId="0" applyNumberFormat="1" applyFont="1" applyFill="1" applyBorder="1" applyAlignment="1">
      <alignment horizontal="center" vertical="center"/>
    </xf>
    <xf numFmtId="175" fontId="4" fillId="0" borderId="10" xfId="0" applyNumberFormat="1" applyFont="1" applyBorder="1" applyAlignment="1" applyProtection="1">
      <alignment vertical="top" wrapText="1"/>
      <protection locked="0"/>
    </xf>
    <xf numFmtId="175" fontId="4" fillId="0" borderId="35" xfId="0" applyNumberFormat="1" applyFont="1" applyBorder="1" applyAlignment="1" applyProtection="1">
      <alignment vertical="top" wrapText="1"/>
      <protection locked="0"/>
    </xf>
    <xf numFmtId="175" fontId="7" fillId="0" borderId="30" xfId="0" applyNumberFormat="1" applyFont="1" applyBorder="1" applyAlignment="1">
      <alignment vertical="top" wrapText="1"/>
    </xf>
    <xf numFmtId="175" fontId="7" fillId="0" borderId="0" xfId="0" applyNumberFormat="1" applyFont="1" applyAlignment="1">
      <alignment vertical="top" wrapText="1"/>
    </xf>
    <xf numFmtId="175" fontId="7" fillId="0" borderId="7" xfId="0" applyNumberFormat="1" applyFont="1" applyBorder="1" applyAlignment="1">
      <alignment vertical="top" wrapText="1"/>
    </xf>
    <xf numFmtId="175" fontId="7" fillId="0" borderId="149" xfId="0" applyNumberFormat="1" applyFont="1" applyBorder="1" applyAlignment="1">
      <alignment vertical="top" wrapText="1"/>
    </xf>
    <xf numFmtId="175" fontId="7" fillId="0" borderId="9" xfId="0" applyNumberFormat="1" applyFont="1" applyBorder="1" applyAlignment="1">
      <alignment vertical="top" wrapText="1"/>
    </xf>
    <xf numFmtId="175" fontId="7" fillId="0" borderId="148" xfId="0" applyNumberFormat="1" applyFont="1" applyBorder="1" applyAlignment="1">
      <alignment vertical="top" wrapText="1"/>
    </xf>
    <xf numFmtId="175" fontId="7" fillId="0" borderId="26" xfId="0" applyNumberFormat="1" applyFont="1" applyBorder="1" applyAlignment="1">
      <alignment vertical="top" wrapText="1"/>
    </xf>
    <xf numFmtId="175" fontId="7" fillId="0" borderId="34" xfId="0" applyNumberFormat="1" applyFont="1" applyBorder="1" applyAlignment="1">
      <alignment vertical="top" wrapText="1"/>
    </xf>
    <xf numFmtId="175" fontId="7" fillId="0" borderId="146" xfId="0" applyNumberFormat="1" applyFont="1" applyBorder="1" applyAlignment="1">
      <alignment vertical="top" wrapText="1"/>
    </xf>
    <xf numFmtId="175" fontId="7" fillId="0" borderId="150" xfId="0" applyNumberFormat="1" applyFont="1" applyBorder="1" applyAlignment="1">
      <alignment vertical="top" wrapText="1"/>
    </xf>
    <xf numFmtId="175" fontId="7" fillId="0" borderId="24" xfId="0" applyNumberFormat="1" applyFont="1" applyBorder="1" applyAlignment="1">
      <alignment wrapText="1"/>
    </xf>
    <xf numFmtId="175" fontId="7" fillId="0" borderId="130" xfId="0" applyNumberFormat="1" applyFont="1" applyBorder="1" applyAlignment="1">
      <alignment wrapText="1"/>
    </xf>
    <xf numFmtId="175" fontId="7" fillId="0" borderId="25" xfId="0" applyNumberFormat="1" applyFont="1" applyBorder="1" applyAlignment="1">
      <alignment wrapText="1"/>
    </xf>
    <xf numFmtId="175" fontId="7" fillId="0" borderId="151" xfId="0" applyNumberFormat="1" applyFont="1" applyBorder="1" applyAlignment="1">
      <alignment wrapText="1"/>
    </xf>
    <xf numFmtId="175" fontId="4" fillId="0" borderId="9" xfId="0" applyNumberFormat="1" applyFont="1" applyBorder="1" applyAlignment="1" applyProtection="1">
      <alignment vertical="top" wrapText="1"/>
      <protection locked="0"/>
    </xf>
    <xf numFmtId="175" fontId="4" fillId="0" borderId="26" xfId="0" applyNumberFormat="1" applyFont="1" applyBorder="1" applyAlignment="1" applyProtection="1">
      <alignment vertical="top" wrapText="1"/>
      <protection locked="0"/>
    </xf>
    <xf numFmtId="175" fontId="4" fillId="0" borderId="33" xfId="0" applyNumberFormat="1" applyFont="1" applyBorder="1" applyAlignment="1" applyProtection="1">
      <alignment vertical="top" wrapText="1"/>
      <protection locked="0"/>
    </xf>
    <xf numFmtId="175" fontId="4" fillId="0" borderId="110" xfId="0" applyNumberFormat="1" applyFont="1" applyBorder="1" applyAlignment="1" applyProtection="1">
      <alignment vertical="top" wrapText="1"/>
      <protection locked="0"/>
    </xf>
    <xf numFmtId="175" fontId="7" fillId="0" borderId="29" xfId="0" applyNumberFormat="1" applyFont="1" applyBorder="1" applyAlignment="1">
      <alignment wrapText="1"/>
    </xf>
    <xf numFmtId="175" fontId="7" fillId="0" borderId="149" xfId="0" applyNumberFormat="1" applyFont="1" applyBorder="1" applyAlignment="1">
      <alignment wrapText="1"/>
    </xf>
    <xf numFmtId="175" fontId="7" fillId="0" borderId="143" xfId="0" applyNumberFormat="1" applyFont="1" applyBorder="1" applyAlignment="1">
      <alignment wrapText="1"/>
    </xf>
    <xf numFmtId="175" fontId="4" fillId="0" borderId="144" xfId="0" applyNumberFormat="1" applyFont="1" applyBorder="1" applyAlignment="1" applyProtection="1">
      <alignment vertical="top" wrapText="1"/>
      <protection locked="0"/>
    </xf>
    <xf numFmtId="175" fontId="4" fillId="0" borderId="131" xfId="0" applyNumberFormat="1" applyFont="1" applyBorder="1" applyAlignment="1" applyProtection="1">
      <alignment vertical="top" wrapText="1"/>
      <protection locked="0"/>
    </xf>
    <xf numFmtId="175" fontId="4" fillId="0" borderId="132" xfId="0" applyNumberFormat="1" applyFont="1" applyBorder="1" applyAlignment="1" applyProtection="1">
      <alignment vertical="top" wrapText="1"/>
      <protection locked="0"/>
    </xf>
    <xf numFmtId="175" fontId="7" fillId="0" borderId="156" xfId="0" applyNumberFormat="1" applyFont="1" applyBorder="1" applyAlignment="1">
      <alignment vertical="top" wrapText="1"/>
    </xf>
    <xf numFmtId="175" fontId="7" fillId="0" borderId="152" xfId="0" applyNumberFormat="1" applyFont="1" applyBorder="1" applyAlignment="1">
      <alignment vertical="top" wrapText="1"/>
    </xf>
    <xf numFmtId="175" fontId="7" fillId="0" borderId="131" xfId="0" applyNumberFormat="1" applyFont="1" applyBorder="1" applyAlignment="1">
      <alignment vertical="top" wrapText="1"/>
    </xf>
    <xf numFmtId="175" fontId="7" fillId="0" borderId="132" xfId="0" applyNumberFormat="1" applyFont="1" applyBorder="1" applyAlignment="1">
      <alignment vertical="top" wrapText="1"/>
    </xf>
    <xf numFmtId="175" fontId="7" fillId="0" borderId="24" xfId="0" applyNumberFormat="1" applyFont="1" applyBorder="1" applyAlignment="1">
      <alignment vertical="top" wrapText="1"/>
    </xf>
    <xf numFmtId="175" fontId="7" fillId="0" borderId="145" xfId="0" applyNumberFormat="1" applyFont="1" applyBorder="1" applyAlignment="1">
      <alignment vertical="top" wrapText="1"/>
    </xf>
    <xf numFmtId="175" fontId="7" fillId="0" borderId="25" xfId="0" applyNumberFormat="1" applyFont="1" applyBorder="1" applyAlignment="1">
      <alignment vertical="top" wrapText="1"/>
    </xf>
    <xf numFmtId="175" fontId="7" fillId="0" borderId="143" xfId="0" applyNumberFormat="1" applyFont="1" applyBorder="1" applyAlignment="1">
      <alignment vertical="top" wrapText="1"/>
    </xf>
    <xf numFmtId="175" fontId="7" fillId="0" borderId="30" xfId="0" applyNumberFormat="1" applyFont="1" applyBorder="1" applyAlignment="1">
      <alignment wrapText="1"/>
    </xf>
    <xf numFmtId="175" fontId="7" fillId="0" borderId="35" xfId="0" applyNumberFormat="1" applyFont="1" applyBorder="1" applyAlignment="1">
      <alignment wrapText="1"/>
    </xf>
    <xf numFmtId="175" fontId="7" fillId="0" borderId="7" xfId="0" applyNumberFormat="1" applyFont="1" applyBorder="1" applyAlignment="1">
      <alignment wrapText="1"/>
    </xf>
    <xf numFmtId="175" fontId="4" fillId="0" borderId="27" xfId="0" applyNumberFormat="1" applyFont="1" applyBorder="1" applyAlignment="1" applyProtection="1">
      <alignment vertical="top" wrapText="1"/>
      <protection locked="0"/>
    </xf>
    <xf numFmtId="175" fontId="7" fillId="0" borderId="153" xfId="0" applyNumberFormat="1" applyFont="1" applyBorder="1" applyAlignment="1">
      <alignment wrapText="1"/>
    </xf>
    <xf numFmtId="175" fontId="40" fillId="0" borderId="148" xfId="0" applyNumberFormat="1" applyFont="1" applyBorder="1" applyAlignment="1">
      <alignment horizontal="center" vertical="center"/>
    </xf>
    <xf numFmtId="175" fontId="9" fillId="0" borderId="129" xfId="0" applyNumberFormat="1" applyFont="1" applyBorder="1" applyAlignment="1">
      <alignment horizontal="center" vertical="center"/>
    </xf>
    <xf numFmtId="175" fontId="9" fillId="0" borderId="0" xfId="0" applyNumberFormat="1" applyFont="1" applyAlignment="1">
      <alignment horizontal="center" vertical="center"/>
    </xf>
    <xf numFmtId="175" fontId="9" fillId="0" borderId="128" xfId="0" applyNumberFormat="1" applyFont="1" applyBorder="1" applyAlignment="1">
      <alignment horizontal="center" vertical="center"/>
    </xf>
    <xf numFmtId="175" fontId="40" fillId="0" borderId="151" xfId="0" applyNumberFormat="1" applyFont="1" applyBorder="1" applyAlignment="1">
      <alignment horizontal="center" vertical="center"/>
    </xf>
    <xf numFmtId="175" fontId="9" fillId="4" borderId="28" xfId="0" applyNumberFormat="1" applyFont="1" applyFill="1" applyBorder="1" applyAlignment="1">
      <alignment horizontal="center" vertical="center"/>
    </xf>
    <xf numFmtId="175" fontId="9" fillId="0" borderId="5" xfId="0" applyNumberFormat="1" applyFont="1" applyBorder="1" applyAlignment="1">
      <alignment horizontal="center"/>
    </xf>
    <xf numFmtId="175" fontId="9" fillId="0" borderId="128" xfId="0" applyNumberFormat="1" applyFont="1" applyBorder="1" applyAlignment="1">
      <alignment horizontal="center"/>
    </xf>
    <xf numFmtId="175" fontId="40" fillId="0" borderId="35" xfId="0" quotePrefix="1" applyNumberFormat="1" applyFont="1" applyBorder="1" applyAlignment="1" applyProtection="1">
      <alignment horizontal="center" vertical="center"/>
      <protection locked="0"/>
    </xf>
    <xf numFmtId="175" fontId="40" fillId="0" borderId="148" xfId="0" quotePrefix="1" applyNumberFormat="1" applyFont="1" applyBorder="1" applyAlignment="1" applyProtection="1">
      <alignment horizontal="center" vertical="center"/>
      <protection locked="0"/>
    </xf>
    <xf numFmtId="175" fontId="9" fillId="4" borderId="203" xfId="0" applyNumberFormat="1" applyFont="1" applyFill="1" applyBorder="1" applyAlignment="1">
      <alignment horizontal="center" vertical="center"/>
    </xf>
    <xf numFmtId="175" fontId="40" fillId="0" borderId="203" xfId="0" applyNumberFormat="1" applyFont="1" applyBorder="1" applyAlignment="1">
      <alignment horizontal="center" vertical="center"/>
    </xf>
    <xf numFmtId="175" fontId="40" fillId="0" borderId="35" xfId="0" applyNumberFormat="1" applyFont="1" applyBorder="1" applyAlignment="1" applyProtection="1">
      <alignment horizontal="center" vertical="center"/>
      <protection locked="0"/>
    </xf>
    <xf numFmtId="175" fontId="40" fillId="0" borderId="29" xfId="0" applyNumberFormat="1" applyFont="1" applyBorder="1" applyAlignment="1" applyProtection="1">
      <alignment horizontal="center" vertical="center"/>
      <protection locked="0"/>
    </xf>
    <xf numFmtId="175" fontId="40" fillId="0" borderId="143" xfId="0" applyNumberFormat="1" applyFont="1" applyBorder="1" applyAlignment="1">
      <alignment horizontal="center" vertical="center"/>
    </xf>
    <xf numFmtId="175" fontId="40" fillId="0" borderId="29" xfId="0" applyNumberFormat="1" applyFont="1" applyBorder="1" applyAlignment="1">
      <alignment horizontal="center" vertical="center"/>
    </xf>
    <xf numFmtId="175" fontId="9" fillId="4" borderId="148" xfId="0" applyNumberFormat="1" applyFont="1" applyFill="1" applyBorder="1" applyAlignment="1">
      <alignment horizontal="center" vertical="center"/>
    </xf>
    <xf numFmtId="175" fontId="40" fillId="0" borderId="148" xfId="0" applyNumberFormat="1" applyFont="1" applyBorder="1" applyAlignment="1" applyProtection="1">
      <alignment horizontal="center" vertical="center"/>
      <protection locked="0"/>
    </xf>
    <xf numFmtId="175" fontId="40" fillId="0" borderId="28" xfId="0" applyNumberFormat="1" applyFont="1" applyBorder="1" applyAlignment="1" applyProtection="1">
      <alignment horizontal="center" vertical="center"/>
      <protection locked="0"/>
    </xf>
    <xf numFmtId="175" fontId="40" fillId="0" borderId="110" xfId="0" applyNumberFormat="1" applyFont="1" applyBorder="1" applyAlignment="1" applyProtection="1">
      <alignment horizontal="center" vertical="center"/>
      <protection locked="0"/>
    </xf>
    <xf numFmtId="175" fontId="40" fillId="0" borderId="156" xfId="0" applyNumberFormat="1" applyFont="1" applyBorder="1" applyAlignment="1">
      <alignment horizontal="center" vertical="center"/>
    </xf>
    <xf numFmtId="175" fontId="9" fillId="0" borderId="0" xfId="0" applyNumberFormat="1" applyFont="1" applyAlignment="1">
      <alignment horizontal="center"/>
    </xf>
    <xf numFmtId="175" fontId="54" fillId="0" borderId="0" xfId="0" quotePrefix="1" applyNumberFormat="1" applyFont="1" applyAlignment="1">
      <alignment horizontal="left"/>
    </xf>
    <xf numFmtId="0" fontId="154" fillId="0" borderId="0" xfId="0" applyFont="1" applyAlignment="1" applyProtection="1">
      <alignment horizontal="center"/>
      <protection hidden="1"/>
    </xf>
    <xf numFmtId="0" fontId="154" fillId="0" borderId="0" xfId="0" applyFont="1" applyAlignment="1" applyProtection="1">
      <alignment horizontal="left"/>
      <protection hidden="1"/>
    </xf>
    <xf numFmtId="0" fontId="104" fillId="2" borderId="139" xfId="0" applyFont="1" applyFill="1" applyBorder="1" applyProtection="1">
      <protection hidden="1"/>
    </xf>
    <xf numFmtId="0" fontId="104" fillId="2" borderId="1" xfId="0" applyFont="1" applyFill="1" applyBorder="1" applyProtection="1">
      <protection hidden="1"/>
    </xf>
    <xf numFmtId="0" fontId="154" fillId="2" borderId="0" xfId="0" applyFont="1" applyFill="1"/>
    <xf numFmtId="0" fontId="112" fillId="2" borderId="0" xfId="0" applyFont="1" applyFill="1" applyProtection="1">
      <protection hidden="1"/>
    </xf>
    <xf numFmtId="0" fontId="104" fillId="0" borderId="0" xfId="0" applyFont="1"/>
    <xf numFmtId="0" fontId="154" fillId="0" borderId="0" xfId="0" applyFont="1"/>
    <xf numFmtId="0" fontId="104" fillId="0" borderId="0" xfId="0" applyFont="1" applyAlignment="1">
      <alignment horizontal="left"/>
    </xf>
    <xf numFmtId="0" fontId="154" fillId="0" borderId="0" xfId="0" applyFont="1" applyAlignment="1">
      <alignment horizontal="left"/>
    </xf>
    <xf numFmtId="0" fontId="154" fillId="0" borderId="0" xfId="0" applyFont="1" applyProtection="1">
      <protection hidden="1"/>
    </xf>
    <xf numFmtId="0" fontId="154" fillId="0" borderId="0" xfId="0" applyFont="1" applyAlignment="1">
      <alignment vertical="center"/>
    </xf>
    <xf numFmtId="0" fontId="112" fillId="0" borderId="0" xfId="0" applyFont="1"/>
    <xf numFmtId="0" fontId="4" fillId="24" borderId="0" xfId="0" quotePrefix="1" applyFont="1" applyFill="1" applyAlignment="1">
      <alignment horizontal="left"/>
    </xf>
    <xf numFmtId="0" fontId="6" fillId="0" borderId="272" xfId="0" applyFont="1" applyBorder="1" applyAlignment="1">
      <alignment horizontal="left"/>
    </xf>
    <xf numFmtId="0" fontId="0" fillId="0" borderId="0" xfId="0" applyAlignment="1">
      <alignment horizontal="left"/>
    </xf>
    <xf numFmtId="0" fontId="10" fillId="0" borderId="272" xfId="0" applyFont="1" applyBorder="1" applyAlignment="1">
      <alignment horizontal="left"/>
    </xf>
    <xf numFmtId="0" fontId="83" fillId="0" borderId="271" xfId="0" applyFont="1" applyBorder="1"/>
    <xf numFmtId="0" fontId="83" fillId="0" borderId="0" xfId="0" applyFont="1"/>
    <xf numFmtId="0" fontId="4" fillId="24" borderId="271" xfId="0" quotePrefix="1" applyFont="1" applyFill="1" applyBorder="1" applyAlignment="1">
      <alignment wrapText="1"/>
    </xf>
    <xf numFmtId="0" fontId="0" fillId="24" borderId="273" xfId="0" applyFill="1" applyBorder="1"/>
    <xf numFmtId="0" fontId="4" fillId="24" borderId="263" xfId="0" quotePrefix="1" applyFont="1" applyFill="1" applyBorder="1"/>
    <xf numFmtId="0" fontId="4" fillId="24" borderId="263" xfId="0" quotePrefix="1" applyFont="1" applyFill="1" applyBorder="1" applyAlignment="1">
      <alignment horizontal="left" indent="1"/>
    </xf>
    <xf numFmtId="0" fontId="0" fillId="24" borderId="252" xfId="0" applyFill="1" applyBorder="1"/>
    <xf numFmtId="0" fontId="4" fillId="24" borderId="274" xfId="0" quotePrefix="1" applyFont="1" applyFill="1" applyBorder="1" applyAlignment="1">
      <alignment wrapText="1"/>
    </xf>
    <xf numFmtId="0" fontId="6" fillId="24" borderId="273" xfId="0" applyFont="1" applyFill="1" applyBorder="1" applyAlignment="1">
      <alignment horizontal="left"/>
    </xf>
    <xf numFmtId="0" fontId="0" fillId="24" borderId="263" xfId="0" applyFill="1" applyBorder="1" applyAlignment="1">
      <alignment horizontal="left"/>
    </xf>
    <xf numFmtId="0" fontId="4" fillId="24" borderId="263" xfId="0" quotePrefix="1" applyFont="1" applyFill="1" applyBorder="1" applyAlignment="1">
      <alignment horizontal="left"/>
    </xf>
    <xf numFmtId="0" fontId="4" fillId="24" borderId="252" xfId="0" quotePrefix="1" applyFont="1" applyFill="1" applyBorder="1" applyAlignment="1">
      <alignment wrapText="1"/>
    </xf>
    <xf numFmtId="0" fontId="6" fillId="0" borderId="273" xfId="0" applyFont="1" applyBorder="1" applyAlignment="1">
      <alignment horizontal="left"/>
    </xf>
    <xf numFmtId="0" fontId="7" fillId="24" borderId="0" xfId="0" quotePrefix="1" applyFont="1" applyFill="1" applyAlignment="1">
      <alignment horizontal="center"/>
    </xf>
    <xf numFmtId="0" fontId="7" fillId="24" borderId="275" xfId="0" quotePrefix="1" applyFont="1" applyFill="1" applyBorder="1" applyAlignment="1">
      <alignment horizontal="center" vertical="center" wrapText="1"/>
    </xf>
    <xf numFmtId="0" fontId="4" fillId="0" borderId="274" xfId="0" quotePrefix="1" applyFont="1" applyBorder="1" applyAlignment="1">
      <alignment wrapText="1"/>
    </xf>
    <xf numFmtId="0" fontId="7" fillId="0" borderId="275" xfId="0" quotePrefix="1" applyFont="1" applyBorder="1" applyAlignment="1">
      <alignment horizontal="center" vertical="center" wrapText="1"/>
    </xf>
    <xf numFmtId="0" fontId="7" fillId="24" borderId="0" xfId="0" quotePrefix="1" applyFont="1" applyFill="1" applyAlignment="1">
      <alignment horizontal="center" vertical="center"/>
    </xf>
    <xf numFmtId="0" fontId="17" fillId="70" borderId="0" xfId="0" applyFont="1" applyFill="1" applyAlignment="1">
      <alignment horizontal="centerContinuous" vertical="center" wrapText="1"/>
    </xf>
    <xf numFmtId="0" fontId="17" fillId="70" borderId="0" xfId="0" applyFont="1" applyFill="1" applyAlignment="1">
      <alignment vertical="center"/>
    </xf>
    <xf numFmtId="0" fontId="156" fillId="70" borderId="6" xfId="0" applyFont="1" applyFill="1" applyBorder="1" applyAlignment="1">
      <alignment vertical="center"/>
    </xf>
    <xf numFmtId="0" fontId="158" fillId="70" borderId="6" xfId="0" applyFont="1" applyFill="1" applyBorder="1" applyAlignment="1">
      <alignment vertical="center"/>
    </xf>
    <xf numFmtId="0" fontId="159" fillId="70" borderId="6" xfId="0" applyFont="1" applyFill="1" applyBorder="1" applyAlignment="1">
      <alignment vertical="center"/>
    </xf>
    <xf numFmtId="0" fontId="160" fillId="70" borderId="6" xfId="0" applyFont="1" applyFill="1" applyBorder="1" applyAlignment="1">
      <alignment vertical="center"/>
    </xf>
    <xf numFmtId="0" fontId="160" fillId="70" borderId="0" xfId="0" applyFont="1" applyFill="1" applyAlignment="1">
      <alignment horizontal="right" vertical="center"/>
    </xf>
    <xf numFmtId="0" fontId="162" fillId="70" borderId="0" xfId="1" quotePrefix="1" applyFont="1" applyFill="1" applyBorder="1" applyAlignment="1" applyProtection="1">
      <alignment vertical="center"/>
    </xf>
    <xf numFmtId="0" fontId="163" fillId="70" borderId="0" xfId="0" applyFont="1" applyFill="1" applyAlignment="1">
      <alignment vertical="center" wrapText="1"/>
    </xf>
    <xf numFmtId="0" fontId="163" fillId="70" borderId="0" xfId="0" applyFont="1" applyFill="1" applyAlignment="1">
      <alignment vertical="top" wrapText="1"/>
    </xf>
    <xf numFmtId="0" fontId="164" fillId="70" borderId="0" xfId="0" applyFont="1" applyFill="1" applyAlignment="1">
      <alignment vertical="top" wrapText="1"/>
    </xf>
    <xf numFmtId="0" fontId="164" fillId="70" borderId="307" xfId="0" applyFont="1" applyFill="1" applyBorder="1" applyAlignment="1">
      <alignment vertical="top" wrapText="1"/>
    </xf>
    <xf numFmtId="0" fontId="161" fillId="70" borderId="0" xfId="0" applyFont="1" applyFill="1" applyAlignment="1">
      <alignment vertical="center"/>
    </xf>
    <xf numFmtId="0" fontId="159" fillId="70" borderId="0" xfId="0" applyFont="1" applyFill="1" applyAlignment="1">
      <alignment vertical="top" wrapText="1"/>
    </xf>
    <xf numFmtId="0" fontId="161" fillId="70" borderId="6" xfId="0" applyFont="1" applyFill="1" applyBorder="1" applyAlignment="1">
      <alignment vertical="center"/>
    </xf>
    <xf numFmtId="0" fontId="91" fillId="70" borderId="282" xfId="0" applyFont="1" applyFill="1" applyBorder="1" applyAlignment="1" applyProtection="1">
      <alignment vertical="center"/>
      <protection locked="0"/>
    </xf>
    <xf numFmtId="0" fontId="91" fillId="70" borderId="277" xfId="0" applyFont="1" applyFill="1" applyBorder="1" applyAlignment="1" applyProtection="1">
      <alignment vertical="center"/>
      <protection locked="0"/>
    </xf>
    <xf numFmtId="0" fontId="17" fillId="70" borderId="0" xfId="0" applyFont="1" applyFill="1" applyAlignment="1">
      <alignment horizontal="left" vertical="center"/>
    </xf>
    <xf numFmtId="0" fontId="22" fillId="70" borderId="0" xfId="0" applyFont="1" applyFill="1" applyAlignment="1">
      <alignment horizontal="center" vertical="center"/>
    </xf>
    <xf numFmtId="0" fontId="62" fillId="70" borderId="0" xfId="0" applyFont="1" applyFill="1" applyAlignment="1">
      <alignment horizontal="right" vertical="center"/>
    </xf>
    <xf numFmtId="0" fontId="98" fillId="70" borderId="0" xfId="0" applyFont="1" applyFill="1" applyAlignment="1">
      <alignment horizontal="right" vertical="center"/>
    </xf>
    <xf numFmtId="0" fontId="124" fillId="70" borderId="0" xfId="0" applyFont="1" applyFill="1" applyAlignment="1">
      <alignment horizontal="center" vertical="center" wrapText="1"/>
    </xf>
    <xf numFmtId="0" fontId="97" fillId="70" borderId="0" xfId="0" applyFont="1" applyFill="1" applyAlignment="1">
      <alignment vertical="center"/>
    </xf>
    <xf numFmtId="0" fontId="166" fillId="70" borderId="0" xfId="1" applyFont="1" applyFill="1" applyAlignment="1" applyProtection="1">
      <alignment horizontal="center" vertical="center"/>
    </xf>
    <xf numFmtId="0" fontId="63" fillId="70" borderId="0" xfId="0" applyFont="1" applyFill="1" applyAlignment="1">
      <alignment horizontal="left" vertical="center" indent="7"/>
    </xf>
    <xf numFmtId="0" fontId="0" fillId="70" borderId="0" xfId="0" applyFill="1"/>
    <xf numFmtId="0" fontId="4" fillId="70" borderId="0" xfId="0" applyFont="1" applyFill="1" applyAlignment="1">
      <alignment horizontal="center"/>
    </xf>
    <xf numFmtId="0" fontId="26" fillId="70" borderId="18" xfId="0" applyFont="1" applyFill="1" applyBorder="1" applyAlignment="1">
      <alignment horizontal="center" vertical="center" wrapText="1"/>
    </xf>
    <xf numFmtId="0" fontId="26" fillId="70" borderId="16" xfId="0" applyFont="1" applyFill="1" applyBorder="1" applyAlignment="1">
      <alignment horizontal="center" vertical="center" wrapText="1"/>
    </xf>
    <xf numFmtId="0" fontId="127" fillId="70" borderId="16" xfId="0" applyFont="1" applyFill="1" applyBorder="1" applyAlignment="1">
      <alignment horizontal="center" vertical="center" wrapText="1"/>
    </xf>
    <xf numFmtId="0" fontId="26" fillId="70" borderId="17" xfId="0" applyFont="1" applyFill="1" applyBorder="1" applyAlignment="1">
      <alignment horizontal="center" vertical="center" wrapText="1"/>
    </xf>
    <xf numFmtId="0" fontId="62" fillId="70" borderId="0" xfId="0" applyFont="1" applyFill="1" applyAlignment="1">
      <alignment horizontal="left" vertical="center"/>
    </xf>
    <xf numFmtId="0" fontId="0" fillId="70" borderId="5" xfId="0" applyFill="1" applyBorder="1"/>
    <xf numFmtId="0" fontId="4" fillId="70" borderId="237" xfId="0" applyFont="1" applyFill="1" applyBorder="1" applyAlignment="1">
      <alignment horizontal="center" vertical="center"/>
    </xf>
    <xf numFmtId="0" fontId="25" fillId="70" borderId="292" xfId="0" applyFont="1" applyFill="1" applyBorder="1" applyAlignment="1">
      <alignment horizontal="center" vertical="center" wrapText="1"/>
    </xf>
    <xf numFmtId="0" fontId="9" fillId="70" borderId="237" xfId="0" applyFont="1" applyFill="1" applyBorder="1"/>
    <xf numFmtId="0" fontId="9" fillId="70" borderId="301" xfId="0" applyFont="1" applyFill="1" applyBorder="1"/>
    <xf numFmtId="0" fontId="26" fillId="70" borderId="0" xfId="0" applyFont="1" applyFill="1" applyAlignment="1">
      <alignment horizontal="center" vertical="center" wrapText="1"/>
    </xf>
    <xf numFmtId="0" fontId="26" fillId="70" borderId="300" xfId="0" applyFont="1" applyFill="1" applyBorder="1" applyAlignment="1">
      <alignment horizontal="center" vertical="center" wrapText="1"/>
    </xf>
    <xf numFmtId="0" fontId="97" fillId="70" borderId="0" xfId="0" applyFont="1" applyFill="1" applyAlignment="1">
      <alignment horizontal="left" vertical="center"/>
    </xf>
    <xf numFmtId="0" fontId="76" fillId="70" borderId="0" xfId="0" applyFont="1" applyFill="1"/>
    <xf numFmtId="0" fontId="98" fillId="70" borderId="0" xfId="0" applyFont="1" applyFill="1" applyAlignment="1">
      <alignment horizontal="left" vertical="center"/>
    </xf>
    <xf numFmtId="0" fontId="9" fillId="70" borderId="0" xfId="0" applyFont="1" applyFill="1"/>
    <xf numFmtId="0" fontId="156" fillId="70" borderId="39" xfId="0" applyFont="1" applyFill="1" applyBorder="1" applyAlignment="1">
      <alignment horizontal="centerContinuous" vertical="center" wrapText="1"/>
    </xf>
    <xf numFmtId="0" fontId="156" fillId="70" borderId="3" xfId="0" applyFont="1" applyFill="1" applyBorder="1" applyAlignment="1">
      <alignment horizontal="centerContinuous" vertical="center" wrapText="1"/>
    </xf>
    <xf numFmtId="0" fontId="156" fillId="70" borderId="0" xfId="0" applyFont="1" applyFill="1" applyAlignment="1">
      <alignment horizontal="center" vertical="center" wrapText="1"/>
    </xf>
    <xf numFmtId="0" fontId="156" fillId="70" borderId="0" xfId="0" applyFont="1" applyFill="1" applyAlignment="1">
      <alignment horizontal="center" vertical="center"/>
    </xf>
    <xf numFmtId="0" fontId="156" fillId="70" borderId="0" xfId="0" applyFont="1" applyFill="1" applyAlignment="1">
      <alignment vertical="top"/>
    </xf>
    <xf numFmtId="0" fontId="156" fillId="70" borderId="0" xfId="0" applyFont="1" applyFill="1" applyAlignment="1">
      <alignment vertical="top" wrapText="1"/>
    </xf>
    <xf numFmtId="0" fontId="157" fillId="70" borderId="3" xfId="0" applyFont="1" applyFill="1" applyBorder="1" applyAlignment="1">
      <alignment vertical="center"/>
    </xf>
    <xf numFmtId="0" fontId="157" fillId="70" borderId="0" xfId="0" applyFont="1" applyFill="1" applyAlignment="1">
      <alignment vertical="center"/>
    </xf>
    <xf numFmtId="0" fontId="6" fillId="24" borderId="274" xfId="0" applyFont="1" applyFill="1" applyBorder="1" applyAlignment="1">
      <alignment horizontal="left"/>
    </xf>
    <xf numFmtId="0" fontId="6" fillId="24" borderId="275" xfId="0" applyFont="1" applyFill="1" applyBorder="1" applyAlignment="1">
      <alignment horizontal="left"/>
    </xf>
    <xf numFmtId="0" fontId="4" fillId="24" borderId="263" xfId="0" quotePrefix="1" applyFont="1" applyFill="1" applyBorder="1" applyAlignment="1">
      <alignment wrapText="1"/>
    </xf>
    <xf numFmtId="0" fontId="7" fillId="24" borderId="0" xfId="0" quotePrefix="1" applyFont="1" applyFill="1" applyAlignment="1">
      <alignment horizontal="center" vertical="center" wrapText="1"/>
    </xf>
    <xf numFmtId="0" fontId="4" fillId="24" borderId="34" xfId="0" quotePrefix="1" applyFont="1" applyFill="1" applyBorder="1" applyAlignment="1">
      <alignment wrapText="1"/>
    </xf>
    <xf numFmtId="0" fontId="7" fillId="24" borderId="146" xfId="0" quotePrefix="1" applyFont="1" applyFill="1" applyBorder="1" applyAlignment="1">
      <alignment horizontal="center" vertical="center" wrapText="1"/>
    </xf>
    <xf numFmtId="0" fontId="152" fillId="0" borderId="124" xfId="75" applyFont="1" applyBorder="1" applyAlignment="1" applyProtection="1">
      <alignment horizontal="left" vertical="top" wrapText="1"/>
      <protection hidden="1"/>
    </xf>
    <xf numFmtId="0" fontId="152" fillId="2" borderId="124" xfId="75" applyFont="1" applyFill="1" applyBorder="1" applyAlignment="1" applyProtection="1">
      <alignment horizontal="left" vertical="top" wrapText="1"/>
      <protection hidden="1"/>
    </xf>
    <xf numFmtId="0" fontId="152" fillId="2" borderId="118" xfId="75" applyFont="1" applyFill="1" applyBorder="1" applyAlignment="1" applyProtection="1">
      <alignment horizontal="left" vertical="top" wrapText="1"/>
      <protection hidden="1"/>
    </xf>
    <xf numFmtId="0" fontId="152" fillId="2" borderId="124" xfId="75" quotePrefix="1" applyFont="1" applyFill="1" applyBorder="1" applyAlignment="1" applyProtection="1">
      <alignment horizontal="left" vertical="top" wrapText="1"/>
      <protection hidden="1"/>
    </xf>
    <xf numFmtId="0" fontId="152" fillId="2" borderId="94" xfId="75" applyFont="1" applyFill="1" applyBorder="1" applyAlignment="1" applyProtection="1">
      <alignment horizontal="left" vertical="top" wrapText="1"/>
      <protection hidden="1"/>
    </xf>
    <xf numFmtId="0" fontId="152" fillId="0" borderId="94" xfId="75" applyFont="1" applyBorder="1" applyAlignment="1" applyProtection="1">
      <alignment horizontal="left" vertical="top" wrapText="1"/>
      <protection hidden="1"/>
    </xf>
    <xf numFmtId="0" fontId="18" fillId="26" borderId="0" xfId="0" applyFont="1" applyFill="1" applyAlignment="1">
      <alignment vertical="center"/>
    </xf>
    <xf numFmtId="0" fontId="110" fillId="0" borderId="0" xfId="552" applyFont="1" applyAlignment="1">
      <alignment horizontal="center" vertical="center"/>
    </xf>
    <xf numFmtId="0" fontId="110" fillId="0" borderId="0" xfId="552" applyFont="1"/>
    <xf numFmtId="0" fontId="122" fillId="0" borderId="0" xfId="552" applyFont="1" applyAlignment="1">
      <alignment horizontal="center" vertical="center"/>
    </xf>
    <xf numFmtId="0" fontId="180" fillId="70" borderId="0" xfId="1" applyFont="1" applyFill="1" applyBorder="1" applyAlignment="1" applyProtection="1">
      <alignment vertical="center"/>
    </xf>
    <xf numFmtId="182" fontId="40" fillId="23" borderId="0" xfId="0" applyNumberFormat="1" applyFont="1" applyFill="1" applyAlignment="1">
      <alignment horizontal="right"/>
    </xf>
    <xf numFmtId="182" fontId="40" fillId="24" borderId="0" xfId="0" applyNumberFormat="1" applyFont="1" applyFill="1" applyAlignment="1">
      <alignment horizontal="right"/>
    </xf>
    <xf numFmtId="182" fontId="40" fillId="19" borderId="0" xfId="0" applyNumberFormat="1" applyFont="1" applyFill="1" applyAlignment="1" applyProtection="1">
      <alignment horizontal="right"/>
      <protection locked="0"/>
    </xf>
    <xf numFmtId="182" fontId="40" fillId="19" borderId="0" xfId="0" applyNumberFormat="1" applyFont="1" applyFill="1" applyAlignment="1">
      <alignment horizontal="right"/>
    </xf>
    <xf numFmtId="182" fontId="9" fillId="19" borderId="0" xfId="0" applyNumberFormat="1" applyFont="1" applyFill="1" applyAlignment="1">
      <alignment horizontal="right"/>
    </xf>
    <xf numFmtId="182" fontId="40" fillId="19" borderId="234" xfId="0" applyNumberFormat="1" applyFont="1" applyFill="1" applyBorder="1" applyAlignment="1">
      <alignment horizontal="right"/>
    </xf>
    <xf numFmtId="182" fontId="40" fillId="20" borderId="233" xfId="0" applyNumberFormat="1" applyFont="1" applyFill="1" applyBorder="1" applyAlignment="1">
      <alignment horizontal="right"/>
    </xf>
    <xf numFmtId="182" fontId="40" fillId="21" borderId="0" xfId="0" applyNumberFormat="1" applyFont="1" applyFill="1" applyAlignment="1">
      <alignment horizontal="right"/>
    </xf>
    <xf numFmtId="182" fontId="40" fillId="21" borderId="234" xfId="0" applyNumberFormat="1" applyFont="1" applyFill="1" applyBorder="1" applyAlignment="1">
      <alignment horizontal="right"/>
    </xf>
    <xf numFmtId="182" fontId="40" fillId="22" borderId="0" xfId="0" applyNumberFormat="1" applyFont="1" applyFill="1" applyAlignment="1">
      <alignment horizontal="right"/>
    </xf>
    <xf numFmtId="182" fontId="9" fillId="22" borderId="0" xfId="0" applyNumberFormat="1" applyFont="1" applyFill="1" applyAlignment="1">
      <alignment horizontal="right"/>
    </xf>
    <xf numFmtId="182" fontId="40" fillId="12" borderId="30" xfId="0" applyNumberFormat="1" applyFont="1" applyFill="1" applyBorder="1" applyAlignment="1">
      <alignment horizontal="right"/>
    </xf>
    <xf numFmtId="182" fontId="9" fillId="23" borderId="0" xfId="0" applyNumberFormat="1" applyFont="1" applyFill="1" applyAlignment="1">
      <alignment horizontal="right"/>
    </xf>
    <xf numFmtId="182" fontId="9" fillId="24" borderId="0" xfId="0" applyNumberFormat="1" applyFont="1" applyFill="1" applyAlignment="1">
      <alignment horizontal="right"/>
    </xf>
    <xf numFmtId="182" fontId="9" fillId="19" borderId="234" xfId="0" applyNumberFormat="1" applyFont="1" applyFill="1" applyBorder="1" applyAlignment="1">
      <alignment horizontal="right"/>
    </xf>
    <xf numFmtId="182" fontId="9" fillId="20" borderId="233" xfId="0" applyNumberFormat="1" applyFont="1" applyFill="1" applyBorder="1" applyAlignment="1">
      <alignment horizontal="right"/>
    </xf>
    <xf numFmtId="182" fontId="9" fillId="21" borderId="0" xfId="0" applyNumberFormat="1" applyFont="1" applyFill="1" applyAlignment="1">
      <alignment horizontal="right"/>
    </xf>
    <xf numFmtId="182" fontId="9" fillId="21" borderId="234" xfId="0" applyNumberFormat="1" applyFont="1" applyFill="1" applyBorder="1" applyAlignment="1">
      <alignment horizontal="right"/>
    </xf>
    <xf numFmtId="182" fontId="99" fillId="24" borderId="10" xfId="0" applyNumberFormat="1" applyFont="1" applyFill="1" applyBorder="1" applyAlignment="1">
      <alignment horizontal="right"/>
    </xf>
    <xf numFmtId="182" fontId="99" fillId="24" borderId="235" xfId="0" applyNumberFormat="1" applyFont="1" applyFill="1" applyBorder="1" applyAlignment="1">
      <alignment horizontal="right"/>
    </xf>
    <xf numFmtId="182" fontId="99" fillId="24" borderId="236" xfId="0" applyNumberFormat="1" applyFont="1" applyFill="1" applyBorder="1" applyAlignment="1">
      <alignment horizontal="right"/>
    </xf>
    <xf numFmtId="182" fontId="99" fillId="24" borderId="35" xfId="0" applyNumberFormat="1" applyFont="1" applyFill="1" applyBorder="1" applyAlignment="1">
      <alignment horizontal="right"/>
    </xf>
    <xf numFmtId="182" fontId="9" fillId="23" borderId="10" xfId="0" applyNumberFormat="1" applyFont="1" applyFill="1" applyBorder="1" applyAlignment="1">
      <alignment horizontal="right"/>
    </xf>
    <xf numFmtId="182" fontId="9" fillId="24" borderId="10" xfId="0" applyNumberFormat="1" applyFont="1" applyFill="1" applyBorder="1" applyAlignment="1">
      <alignment horizontal="right"/>
    </xf>
    <xf numFmtId="182" fontId="9" fillId="19" borderId="10" xfId="0" applyNumberFormat="1" applyFont="1" applyFill="1" applyBorder="1" applyAlignment="1">
      <alignment horizontal="right"/>
    </xf>
    <xf numFmtId="182" fontId="9" fillId="19" borderId="235" xfId="0" applyNumberFormat="1" applyFont="1" applyFill="1" applyBorder="1" applyAlignment="1">
      <alignment horizontal="right"/>
    </xf>
    <xf numFmtId="182" fontId="9" fillId="20" borderId="236" xfId="0" applyNumberFormat="1" applyFont="1" applyFill="1" applyBorder="1" applyAlignment="1">
      <alignment horizontal="right"/>
    </xf>
    <xf numFmtId="182" fontId="9" fillId="21" borderId="10" xfId="0" applyNumberFormat="1" applyFont="1" applyFill="1" applyBorder="1" applyAlignment="1">
      <alignment horizontal="right"/>
    </xf>
    <xf numFmtId="182" fontId="9" fillId="21" borderId="235" xfId="0" applyNumberFormat="1" applyFont="1" applyFill="1" applyBorder="1" applyAlignment="1">
      <alignment horizontal="right"/>
    </xf>
    <xf numFmtId="182" fontId="9" fillId="22" borderId="10" xfId="0" applyNumberFormat="1" applyFont="1" applyFill="1" applyBorder="1" applyAlignment="1">
      <alignment horizontal="right"/>
    </xf>
    <xf numFmtId="182" fontId="40" fillId="12" borderId="35" xfId="0" applyNumberFormat="1" applyFont="1" applyFill="1" applyBorder="1" applyAlignment="1">
      <alignment horizontal="right"/>
    </xf>
    <xf numFmtId="182" fontId="9" fillId="23" borderId="5" xfId="0" applyNumberFormat="1" applyFont="1" applyFill="1" applyBorder="1" applyAlignment="1">
      <alignment horizontal="right"/>
    </xf>
    <xf numFmtId="182" fontId="9" fillId="19" borderId="5" xfId="0" applyNumberFormat="1" applyFont="1" applyFill="1" applyBorder="1" applyAlignment="1">
      <alignment horizontal="right"/>
    </xf>
    <xf numFmtId="182" fontId="9" fillId="19" borderId="238" xfId="0" applyNumberFormat="1" applyFont="1" applyFill="1" applyBorder="1" applyAlignment="1">
      <alignment horizontal="right"/>
    </xf>
    <xf numFmtId="182" fontId="9" fillId="20" borderId="239" xfId="0" applyNumberFormat="1" applyFont="1" applyFill="1" applyBorder="1" applyAlignment="1">
      <alignment horizontal="right"/>
    </xf>
    <xf numFmtId="182" fontId="9" fillId="24" borderId="5" xfId="0" applyNumberFormat="1" applyFont="1" applyFill="1" applyBorder="1" applyAlignment="1">
      <alignment horizontal="right"/>
    </xf>
    <xf numFmtId="182" fontId="9" fillId="21" borderId="5" xfId="0" applyNumberFormat="1" applyFont="1" applyFill="1" applyBorder="1" applyAlignment="1">
      <alignment horizontal="right"/>
    </xf>
    <xf numFmtId="182" fontId="9" fillId="21" borderId="238" xfId="0" applyNumberFormat="1" applyFont="1" applyFill="1" applyBorder="1" applyAlignment="1">
      <alignment horizontal="right"/>
    </xf>
    <xf numFmtId="182" fontId="9" fillId="22" borderId="5" xfId="0" applyNumberFormat="1" applyFont="1" applyFill="1" applyBorder="1" applyAlignment="1">
      <alignment horizontal="right"/>
    </xf>
    <xf numFmtId="182" fontId="40" fillId="12" borderId="29" xfId="0" applyNumberFormat="1" applyFont="1" applyFill="1" applyBorder="1" applyAlignment="1">
      <alignment horizontal="right"/>
    </xf>
    <xf numFmtId="182" fontId="40" fillId="12" borderId="28" xfId="0" applyNumberFormat="1" applyFont="1" applyFill="1" applyBorder="1" applyAlignment="1">
      <alignment horizontal="right"/>
    </xf>
    <xf numFmtId="182" fontId="99" fillId="24" borderId="29" xfId="0" applyNumberFormat="1" applyFont="1" applyFill="1" applyBorder="1" applyAlignment="1">
      <alignment horizontal="right"/>
    </xf>
    <xf numFmtId="182" fontId="39" fillId="24" borderId="0" xfId="0" applyNumberFormat="1" applyFont="1" applyFill="1" applyAlignment="1">
      <alignment horizontal="right"/>
    </xf>
    <xf numFmtId="182" fontId="39" fillId="24" borderId="234" xfId="0" applyNumberFormat="1" applyFont="1" applyFill="1" applyBorder="1" applyAlignment="1">
      <alignment horizontal="right"/>
    </xf>
    <xf numFmtId="182" fontId="39" fillId="20" borderId="233" xfId="0" applyNumberFormat="1" applyFont="1" applyFill="1" applyBorder="1" applyAlignment="1">
      <alignment horizontal="right"/>
    </xf>
    <xf numFmtId="182" fontId="39" fillId="24" borderId="30" xfId="0" applyNumberFormat="1" applyFont="1" applyFill="1" applyBorder="1" applyAlignment="1">
      <alignment horizontal="right"/>
    </xf>
    <xf numFmtId="182" fontId="39" fillId="24" borderId="5" xfId="0" applyNumberFormat="1" applyFont="1" applyFill="1" applyBorder="1" applyAlignment="1">
      <alignment horizontal="right"/>
    </xf>
    <xf numFmtId="182" fontId="39" fillId="24" borderId="238" xfId="0" applyNumberFormat="1" applyFont="1" applyFill="1" applyBorder="1" applyAlignment="1">
      <alignment horizontal="right"/>
    </xf>
    <xf numFmtId="182" fontId="39" fillId="20" borderId="239" xfId="0" applyNumberFormat="1" applyFont="1" applyFill="1" applyBorder="1" applyAlignment="1">
      <alignment horizontal="right"/>
    </xf>
    <xf numFmtId="182" fontId="39" fillId="24" borderId="29" xfId="0" applyNumberFormat="1" applyFont="1" applyFill="1" applyBorder="1" applyAlignment="1">
      <alignment horizontal="right"/>
    </xf>
    <xf numFmtId="182" fontId="40" fillId="24" borderId="10" xfId="0" applyNumberFormat="1" applyFont="1" applyFill="1" applyBorder="1" applyAlignment="1">
      <alignment horizontal="right"/>
    </xf>
    <xf numFmtId="182" fontId="40" fillId="24" borderId="235" xfId="0" applyNumberFormat="1" applyFont="1" applyFill="1" applyBorder="1" applyAlignment="1">
      <alignment horizontal="right"/>
    </xf>
    <xf numFmtId="182" fontId="40" fillId="24" borderId="236" xfId="0" applyNumberFormat="1" applyFont="1" applyFill="1" applyBorder="1" applyAlignment="1">
      <alignment horizontal="right"/>
    </xf>
    <xf numFmtId="182" fontId="40" fillId="24" borderId="29" xfId="0" applyNumberFormat="1" applyFont="1" applyFill="1" applyBorder="1" applyAlignment="1">
      <alignment horizontal="right"/>
    </xf>
    <xf numFmtId="182" fontId="9" fillId="0" borderId="0" xfId="2" applyNumberFormat="1" applyFont="1" applyFill="1" applyBorder="1" applyAlignment="1">
      <alignment horizontal="right" vertical="center"/>
    </xf>
    <xf numFmtId="182" fontId="9" fillId="24" borderId="0" xfId="2" applyNumberFormat="1" applyFont="1" applyFill="1" applyBorder="1" applyAlignment="1">
      <alignment horizontal="right" vertical="center"/>
    </xf>
    <xf numFmtId="182" fontId="9" fillId="24" borderId="30" xfId="2" applyNumberFormat="1" applyFont="1" applyFill="1" applyBorder="1" applyAlignment="1">
      <alignment horizontal="right" vertical="center"/>
    </xf>
    <xf numFmtId="182" fontId="9" fillId="0" borderId="5" xfId="2" applyNumberFormat="1" applyFont="1" applyFill="1" applyBorder="1" applyAlignment="1">
      <alignment horizontal="right" vertical="center"/>
    </xf>
    <xf numFmtId="182" fontId="9" fillId="24" borderId="5" xfId="2" applyNumberFormat="1" applyFont="1" applyFill="1" applyBorder="1" applyAlignment="1">
      <alignment horizontal="right" vertical="center"/>
    </xf>
    <xf numFmtId="182" fontId="9" fillId="24" borderId="29" xfId="2" applyNumberFormat="1" applyFont="1" applyFill="1" applyBorder="1" applyAlignment="1">
      <alignment horizontal="right" vertical="center"/>
    </xf>
    <xf numFmtId="182" fontId="40" fillId="0" borderId="0" xfId="0" applyNumberFormat="1" applyFont="1"/>
    <xf numFmtId="182" fontId="40" fillId="0" borderId="31" xfId="0" applyNumberFormat="1" applyFont="1" applyBorder="1"/>
    <xf numFmtId="182" fontId="9" fillId="0" borderId="0" xfId="0" applyNumberFormat="1" applyFont="1"/>
    <xf numFmtId="182" fontId="9" fillId="0" borderId="31" xfId="0" applyNumberFormat="1" applyFont="1" applyBorder="1"/>
    <xf numFmtId="182" fontId="99" fillId="24" borderId="10" xfId="0" applyNumberFormat="1" applyFont="1" applyFill="1" applyBorder="1"/>
    <xf numFmtId="182" fontId="99" fillId="24" borderId="37" xfId="0" applyNumberFormat="1" applyFont="1" applyFill="1" applyBorder="1"/>
    <xf numFmtId="182" fontId="39" fillId="0" borderId="0" xfId="0" applyNumberFormat="1" applyFont="1"/>
    <xf numFmtId="182" fontId="39" fillId="0" borderId="31" xfId="0" applyNumberFormat="1" applyFont="1" applyBorder="1"/>
    <xf numFmtId="182" fontId="9" fillId="0" borderId="0" xfId="0" quotePrefix="1" applyNumberFormat="1" applyFont="1"/>
    <xf numFmtId="182" fontId="9" fillId="0" borderId="5" xfId="0" applyNumberFormat="1" applyFont="1" applyBorder="1"/>
    <xf numFmtId="182" fontId="9" fillId="0" borderId="5" xfId="0" quotePrefix="1" applyNumberFormat="1" applyFont="1" applyBorder="1"/>
    <xf numFmtId="182" fontId="9" fillId="0" borderId="38" xfId="0" applyNumberFormat="1" applyFont="1" applyBorder="1"/>
    <xf numFmtId="182" fontId="40" fillId="24" borderId="5" xfId="0" applyNumberFormat="1" applyFont="1" applyFill="1" applyBorder="1"/>
    <xf numFmtId="182" fontId="40" fillId="24" borderId="5" xfId="0" applyNumberFormat="1" applyFont="1" applyFill="1" applyBorder="1" applyAlignment="1">
      <alignment horizontal="center"/>
    </xf>
    <xf numFmtId="182" fontId="40" fillId="24" borderId="5" xfId="0" applyNumberFormat="1" applyFont="1" applyFill="1" applyBorder="1" applyAlignment="1">
      <alignment horizontal="right"/>
    </xf>
    <xf numFmtId="182" fontId="40" fillId="24" borderId="37" xfId="0" applyNumberFormat="1" applyFont="1" applyFill="1" applyBorder="1" applyAlignment="1">
      <alignment horizontal="right"/>
    </xf>
    <xf numFmtId="182" fontId="9" fillId="24" borderId="36" xfId="2" applyNumberFormat="1" applyFont="1" applyFill="1" applyBorder="1" applyAlignment="1">
      <alignment horizontal="right" vertical="center"/>
    </xf>
    <xf numFmtId="182" fontId="9" fillId="24" borderId="31" xfId="2" applyNumberFormat="1" applyFont="1" applyFill="1" applyBorder="1" applyAlignment="1">
      <alignment horizontal="right" vertical="center"/>
    </xf>
    <xf numFmtId="182" fontId="9" fillId="24" borderId="52" xfId="2" applyNumberFormat="1" applyFont="1" applyFill="1" applyBorder="1" applyAlignment="1">
      <alignment horizontal="right" vertical="center"/>
    </xf>
    <xf numFmtId="181" fontId="35" fillId="0" borderId="0" xfId="0" applyNumberFormat="1" applyFont="1"/>
    <xf numFmtId="181" fontId="35" fillId="0" borderId="5" xfId="0" applyNumberFormat="1" applyFont="1" applyBorder="1"/>
    <xf numFmtId="181" fontId="53" fillId="0" borderId="10" xfId="0" applyNumberFormat="1" applyFont="1" applyBorder="1"/>
    <xf numFmtId="181" fontId="53" fillId="0" borderId="0" xfId="0" applyNumberFormat="1" applyFont="1"/>
    <xf numFmtId="181" fontId="51" fillId="0" borderId="0" xfId="0" applyNumberFormat="1" applyFont="1"/>
    <xf numFmtId="0" fontId="4" fillId="24" borderId="0" xfId="0" quotePrefix="1" applyFont="1" applyFill="1" applyAlignment="1">
      <alignment wrapText="1"/>
    </xf>
    <xf numFmtId="0" fontId="7" fillId="24" borderId="7" xfId="0" applyFont="1" applyFill="1" applyBorder="1" applyAlignment="1">
      <alignment horizontal="center" vertical="center"/>
    </xf>
    <xf numFmtId="0" fontId="7" fillId="0" borderId="7" xfId="0" applyFont="1" applyBorder="1" applyAlignment="1">
      <alignment horizontal="center" vertical="center"/>
    </xf>
    <xf numFmtId="0" fontId="0" fillId="0" borderId="5" xfId="0" quotePrefix="1" applyBorder="1"/>
    <xf numFmtId="0" fontId="7" fillId="0" borderId="149" xfId="0" applyFont="1" applyBorder="1" applyAlignment="1">
      <alignment horizontal="center" vertical="center"/>
    </xf>
    <xf numFmtId="182" fontId="42" fillId="23" borderId="0" xfId="0" applyNumberFormat="1" applyFont="1" applyFill="1" applyAlignment="1">
      <alignment horizontal="right"/>
    </xf>
    <xf numFmtId="0" fontId="18" fillId="70" borderId="272" xfId="0" applyFont="1" applyFill="1" applyBorder="1" applyAlignment="1">
      <alignment vertical="center"/>
    </xf>
    <xf numFmtId="0" fontId="18" fillId="70" borderId="273" xfId="0" applyFont="1" applyFill="1" applyBorder="1" applyAlignment="1">
      <alignment vertical="center"/>
    </xf>
    <xf numFmtId="0" fontId="18" fillId="70" borderId="271" xfId="0" applyFont="1" applyFill="1" applyBorder="1" applyAlignment="1">
      <alignment vertical="center"/>
    </xf>
    <xf numFmtId="0" fontId="18" fillId="70" borderId="252" xfId="0" applyFont="1" applyFill="1" applyBorder="1" applyAlignment="1">
      <alignment vertical="center"/>
    </xf>
    <xf numFmtId="0" fontId="29" fillId="2" borderId="0" xfId="0" applyFont="1" applyFill="1"/>
    <xf numFmtId="0" fontId="29" fillId="2" borderId="5" xfId="0" applyFont="1" applyFill="1" applyBorder="1"/>
    <xf numFmtId="3" fontId="4" fillId="0" borderId="0" xfId="0" applyNumberFormat="1" applyFont="1" applyAlignment="1">
      <alignment horizontal="right"/>
    </xf>
    <xf numFmtId="0" fontId="4" fillId="0" borderId="0" xfId="0" quotePrefix="1" applyFont="1" applyAlignment="1">
      <alignment horizontal="center"/>
    </xf>
    <xf numFmtId="171" fontId="4" fillId="0" borderId="0" xfId="0" applyNumberFormat="1" applyFont="1" applyAlignment="1">
      <alignment horizontal="right"/>
    </xf>
    <xf numFmtId="0" fontId="4" fillId="70" borderId="211" xfId="0" applyFont="1" applyFill="1" applyBorder="1"/>
    <xf numFmtId="0" fontId="4" fillId="70" borderId="297" xfId="0" applyFont="1" applyFill="1" applyBorder="1"/>
    <xf numFmtId="173" fontId="7" fillId="0" borderId="35" xfId="0" applyNumberFormat="1" applyFont="1" applyBorder="1"/>
    <xf numFmtId="173" fontId="7" fillId="0" borderId="5" xfId="0" applyNumberFormat="1" applyFont="1" applyBorder="1" applyAlignment="1">
      <alignment vertical="center"/>
    </xf>
    <xf numFmtId="173" fontId="7" fillId="0" borderId="37" xfId="0" applyNumberFormat="1" applyFont="1" applyBorder="1"/>
    <xf numFmtId="0" fontId="7" fillId="0" borderId="0" xfId="0" applyFont="1" applyAlignment="1">
      <alignment horizontal="centerContinuous" vertical="center" wrapText="1"/>
    </xf>
    <xf numFmtId="3" fontId="9" fillId="0" borderId="0" xfId="0" applyNumberFormat="1" applyFont="1" applyAlignment="1" applyProtection="1">
      <alignment horizontal="left" indent="2"/>
      <protection locked="0"/>
    </xf>
    <xf numFmtId="0" fontId="27" fillId="75" borderId="0" xfId="0" applyFont="1" applyFill="1"/>
    <xf numFmtId="0" fontId="9" fillId="75" borderId="0" xfId="0" applyFont="1" applyFill="1"/>
    <xf numFmtId="3" fontId="110" fillId="75" borderId="240" xfId="0" applyNumberFormat="1" applyFont="1" applyFill="1" applyBorder="1" applyAlignment="1">
      <alignment horizontal="right" indent="2"/>
    </xf>
    <xf numFmtId="0" fontId="161" fillId="70" borderId="6" xfId="0" applyFont="1" applyFill="1" applyBorder="1" applyAlignment="1">
      <alignment horizontal="center" vertical="center" wrapText="1"/>
    </xf>
    <xf numFmtId="0" fontId="161" fillId="70" borderId="286" xfId="0" applyFont="1" applyFill="1" applyBorder="1" applyAlignment="1">
      <alignment horizontal="center" vertical="center" wrapText="1"/>
    </xf>
    <xf numFmtId="0" fontId="62" fillId="70" borderId="282" xfId="0" applyFont="1" applyFill="1" applyBorder="1" applyAlignment="1">
      <alignment horizontal="center" vertical="center"/>
    </xf>
    <xf numFmtId="0" fontId="62" fillId="70" borderId="272" xfId="0" applyFont="1" applyFill="1" applyBorder="1" applyAlignment="1">
      <alignment horizontal="center" vertical="center"/>
    </xf>
    <xf numFmtId="0" fontId="16" fillId="0" borderId="272" xfId="0" applyFont="1" applyBorder="1" applyAlignment="1" applyProtection="1">
      <alignment horizontal="left" vertical="center"/>
      <protection locked="0"/>
    </xf>
    <xf numFmtId="0" fontId="16" fillId="0" borderId="273" xfId="0" applyFont="1" applyBorder="1" applyAlignment="1" applyProtection="1">
      <alignment horizontal="left" vertical="center"/>
      <protection locked="0"/>
    </xf>
    <xf numFmtId="0" fontId="160" fillId="70" borderId="0" xfId="0" applyFont="1" applyFill="1" applyAlignment="1">
      <alignment horizontal="left" vertical="top" wrapText="1"/>
    </xf>
    <xf numFmtId="0" fontId="9" fillId="0" borderId="0" xfId="0" applyFont="1" applyAlignment="1">
      <alignment horizontal="left" vertical="top" wrapText="1"/>
    </xf>
    <xf numFmtId="0" fontId="31" fillId="0" borderId="0" xfId="0" applyFont="1" applyAlignment="1">
      <alignment horizontal="left" vertical="top" wrapText="1"/>
    </xf>
    <xf numFmtId="0" fontId="62" fillId="70" borderId="273" xfId="0" applyFont="1" applyFill="1" applyBorder="1" applyAlignment="1">
      <alignment horizontal="center" vertical="center"/>
    </xf>
    <xf numFmtId="0" fontId="165" fillId="70" borderId="284" xfId="0" applyFont="1" applyFill="1" applyBorder="1" applyAlignment="1" applyProtection="1">
      <alignment horizontal="center" vertical="center"/>
      <protection locked="0"/>
    </xf>
    <xf numFmtId="0" fontId="165" fillId="70" borderId="285" xfId="0" applyFont="1" applyFill="1" applyBorder="1" applyAlignment="1" applyProtection="1">
      <alignment horizontal="center" vertical="center"/>
      <protection locked="0"/>
    </xf>
    <xf numFmtId="0" fontId="90" fillId="70" borderId="0" xfId="0" applyFont="1" applyFill="1" applyAlignment="1">
      <alignment horizontal="center" vertical="center" wrapText="1"/>
    </xf>
    <xf numFmtId="0" fontId="9" fillId="0" borderId="271" xfId="0" applyFont="1" applyBorder="1" applyAlignment="1">
      <alignment horizontal="left" wrapText="1"/>
    </xf>
    <xf numFmtId="0" fontId="39" fillId="0" borderId="271" xfId="0" applyFont="1" applyBorder="1" applyAlignment="1">
      <alignment horizontal="left" vertical="top" wrapText="1"/>
    </xf>
    <xf numFmtId="0" fontId="40" fillId="0" borderId="0" xfId="0" applyFont="1" applyAlignment="1">
      <alignment horizontal="center"/>
    </xf>
    <xf numFmtId="0" fontId="9" fillId="0" borderId="271" xfId="0" applyFont="1" applyBorder="1" applyAlignment="1">
      <alignment horizontal="left" vertical="top" wrapText="1"/>
    </xf>
    <xf numFmtId="0" fontId="9" fillId="0" borderId="272" xfId="0" applyFont="1" applyBorder="1" applyAlignment="1">
      <alignment horizontal="left" vertical="top" wrapText="1"/>
    </xf>
    <xf numFmtId="0" fontId="9" fillId="0" borderId="275" xfId="0" applyFont="1" applyBorder="1" applyAlignment="1">
      <alignment horizontal="left" vertical="top" wrapText="1"/>
    </xf>
    <xf numFmtId="0" fontId="40" fillId="19" borderId="28" xfId="0" applyFont="1" applyFill="1" applyBorder="1" applyAlignment="1">
      <alignment horizontal="center" vertical="center" wrapText="1"/>
    </xf>
    <xf numFmtId="0" fontId="40" fillId="19" borderId="30" xfId="0" applyFont="1" applyFill="1" applyBorder="1" applyAlignment="1">
      <alignment horizontal="center" vertical="center" wrapText="1"/>
    </xf>
    <xf numFmtId="0" fontId="40" fillId="19" borderId="29" xfId="0" applyFont="1" applyFill="1" applyBorder="1" applyAlignment="1">
      <alignment horizontal="center" vertical="center" wrapText="1"/>
    </xf>
    <xf numFmtId="0" fontId="40" fillId="22" borderId="28" xfId="0" applyFont="1" applyFill="1" applyBorder="1" applyAlignment="1">
      <alignment horizontal="center" vertical="center" wrapText="1"/>
    </xf>
    <xf numFmtId="0" fontId="40" fillId="22" borderId="30" xfId="0" applyFont="1" applyFill="1" applyBorder="1" applyAlignment="1">
      <alignment horizontal="center" vertical="center" wrapText="1"/>
    </xf>
    <xf numFmtId="0" fontId="40" fillId="22" borderId="29" xfId="0" applyFont="1" applyFill="1" applyBorder="1" applyAlignment="1">
      <alignment horizontal="center" vertical="center" wrapText="1"/>
    </xf>
    <xf numFmtId="0" fontId="40" fillId="21" borderId="28" xfId="0" applyFont="1" applyFill="1" applyBorder="1" applyAlignment="1">
      <alignment horizontal="center" vertical="center" wrapText="1"/>
    </xf>
    <xf numFmtId="0" fontId="40" fillId="21" borderId="29" xfId="0" applyFont="1" applyFill="1" applyBorder="1" applyAlignment="1">
      <alignment horizontal="center" vertical="center" wrapText="1"/>
    </xf>
    <xf numFmtId="0" fontId="9" fillId="0" borderId="275" xfId="0" quotePrefix="1" applyFont="1" applyBorder="1" applyAlignment="1">
      <alignment horizontal="left" vertical="center" wrapText="1"/>
    </xf>
    <xf numFmtId="0" fontId="9" fillId="0" borderId="0" xfId="0" quotePrefix="1" applyFont="1" applyAlignment="1">
      <alignment horizontal="left" vertical="center" wrapText="1"/>
    </xf>
    <xf numFmtId="0" fontId="9" fillId="0" borderId="0" xfId="0" quotePrefix="1" applyFont="1" applyAlignment="1">
      <alignment horizontal="left" vertical="center" wrapText="1" indent="1"/>
    </xf>
    <xf numFmtId="0" fontId="97" fillId="11" borderId="237" xfId="0" applyFont="1" applyFill="1" applyBorder="1" applyAlignment="1">
      <alignment horizontal="left" vertical="center" wrapText="1"/>
    </xf>
    <xf numFmtId="0" fontId="97" fillId="70" borderId="237" xfId="0" applyFont="1" applyFill="1" applyBorder="1" applyAlignment="1">
      <alignment horizontal="left" vertical="center"/>
    </xf>
    <xf numFmtId="0" fontId="29" fillId="2" borderId="0" xfId="0" applyFont="1" applyFill="1" applyAlignment="1">
      <alignment horizontal="left" vertical="top" wrapText="1"/>
    </xf>
    <xf numFmtId="0" fontId="9" fillId="0" borderId="34" xfId="0" applyFont="1" applyBorder="1" applyAlignment="1">
      <alignment horizontal="left" vertical="top" wrapText="1"/>
    </xf>
    <xf numFmtId="0" fontId="9" fillId="0" borderId="5" xfId="0" applyFont="1" applyBorder="1" applyAlignment="1">
      <alignment horizontal="left" vertical="top" wrapText="1"/>
    </xf>
    <xf numFmtId="0" fontId="66" fillId="70" borderId="221" xfId="0" applyFont="1" applyFill="1" applyBorder="1" applyAlignment="1">
      <alignment horizontal="center"/>
    </xf>
    <xf numFmtId="0" fontId="25" fillId="70" borderId="231" xfId="0" applyFont="1" applyFill="1" applyBorder="1" applyAlignment="1">
      <alignment horizontal="center" vertical="center" wrapText="1"/>
    </xf>
    <xf numFmtId="0" fontId="25" fillId="70" borderId="283" xfId="0" applyFont="1" applyFill="1" applyBorder="1" applyAlignment="1">
      <alignment horizontal="center" vertical="center" wrapText="1"/>
    </xf>
    <xf numFmtId="0" fontId="51" fillId="0" borderId="5" xfId="0" applyFont="1" applyBorder="1" applyAlignment="1">
      <alignment horizontal="left" vertical="top" wrapText="1"/>
    </xf>
    <xf numFmtId="0" fontId="109" fillId="0" borderId="0" xfId="0" applyFont="1" applyAlignment="1">
      <alignment horizontal="center" vertical="center"/>
    </xf>
    <xf numFmtId="0" fontId="35" fillId="0" borderId="10" xfId="0" applyFont="1" applyBorder="1" applyAlignment="1">
      <alignment horizontal="center" vertical="center"/>
    </xf>
    <xf numFmtId="0" fontId="53" fillId="24" borderId="9" xfId="0" applyFont="1" applyFill="1" applyBorder="1" applyAlignment="1">
      <alignment horizontal="left" vertical="center" wrapText="1"/>
    </xf>
    <xf numFmtId="0" fontId="53" fillId="24" borderId="10" xfId="0" applyFont="1" applyFill="1" applyBorder="1" applyAlignment="1">
      <alignment horizontal="left" vertical="center" wrapText="1"/>
    </xf>
    <xf numFmtId="0" fontId="53" fillId="24" borderId="37" xfId="0" applyFont="1" applyFill="1" applyBorder="1" applyAlignment="1">
      <alignment horizontal="left" vertical="center" wrapText="1"/>
    </xf>
    <xf numFmtId="172" fontId="53" fillId="24" borderId="0" xfId="0" applyNumberFormat="1" applyFont="1" applyFill="1" applyAlignment="1">
      <alignment horizontal="center"/>
    </xf>
    <xf numFmtId="172" fontId="40" fillId="0" borderId="0" xfId="0" applyNumberFormat="1" applyFont="1" applyAlignment="1">
      <alignment horizontal="left" vertical="top" wrapText="1"/>
    </xf>
    <xf numFmtId="172" fontId="122" fillId="11" borderId="28" xfId="0" applyNumberFormat="1" applyFont="1" applyFill="1" applyBorder="1" applyAlignment="1">
      <alignment horizontal="left" vertical="top" wrapText="1"/>
    </xf>
    <xf numFmtId="172" fontId="122" fillId="11" borderId="30" xfId="0" applyNumberFormat="1" applyFont="1" applyFill="1" applyBorder="1" applyAlignment="1">
      <alignment horizontal="left" vertical="top" wrapText="1"/>
    </xf>
    <xf numFmtId="172" fontId="122" fillId="11" borderId="29" xfId="0" applyNumberFormat="1" applyFont="1" applyFill="1" applyBorder="1" applyAlignment="1">
      <alignment horizontal="left" vertical="top" wrapText="1"/>
    </xf>
    <xf numFmtId="172" fontId="31" fillId="0" borderId="28" xfId="0" applyNumberFormat="1" applyFont="1" applyBorder="1" applyAlignment="1">
      <alignment horizontal="left" vertical="center"/>
    </xf>
    <xf numFmtId="172" fontId="31" fillId="0" borderId="29" xfId="0" applyNumberFormat="1" applyFont="1" applyBorder="1" applyAlignment="1">
      <alignment horizontal="left" vertical="center"/>
    </xf>
    <xf numFmtId="0" fontId="53" fillId="26" borderId="9" xfId="0" applyFont="1" applyFill="1" applyBorder="1" applyAlignment="1" applyProtection="1">
      <alignment horizontal="center" vertical="center"/>
      <protection locked="0"/>
    </xf>
    <xf numFmtId="0" fontId="53" fillId="26" borderId="10" xfId="0" applyFont="1" applyFill="1" applyBorder="1" applyAlignment="1" applyProtection="1">
      <alignment horizontal="center" vertical="center"/>
      <protection locked="0"/>
    </xf>
    <xf numFmtId="0" fontId="53" fillId="26" borderId="37" xfId="0" applyFont="1" applyFill="1" applyBorder="1" applyAlignment="1" applyProtection="1">
      <alignment horizontal="center" vertical="center"/>
      <protection locked="0"/>
    </xf>
    <xf numFmtId="172" fontId="128" fillId="11" borderId="28" xfId="0" applyNumberFormat="1" applyFont="1" applyFill="1" applyBorder="1" applyAlignment="1">
      <alignment horizontal="left" vertical="top" wrapText="1"/>
    </xf>
    <xf numFmtId="172" fontId="128" fillId="11" borderId="30" xfId="0" applyNumberFormat="1" applyFont="1" applyFill="1" applyBorder="1" applyAlignment="1">
      <alignment horizontal="left" vertical="top" wrapText="1"/>
    </xf>
    <xf numFmtId="172" fontId="128" fillId="11" borderId="29" xfId="0" applyNumberFormat="1" applyFont="1" applyFill="1" applyBorder="1" applyAlignment="1">
      <alignment horizontal="left" vertical="top" wrapText="1"/>
    </xf>
    <xf numFmtId="0" fontId="4" fillId="0" borderId="133" xfId="0" applyFont="1" applyBorder="1" applyAlignment="1" applyProtection="1">
      <alignment vertical="center"/>
      <protection hidden="1"/>
    </xf>
    <xf numFmtId="0" fontId="4" fillId="0" borderId="137" xfId="0" applyFont="1" applyBorder="1" applyAlignment="1" applyProtection="1">
      <alignment vertical="center"/>
      <protection hidden="1"/>
    </xf>
    <xf numFmtId="0" fontId="4" fillId="0" borderId="133" xfId="0" applyFont="1" applyBorder="1" applyAlignment="1" applyProtection="1">
      <alignment vertical="center" wrapText="1"/>
      <protection hidden="1"/>
    </xf>
    <xf numFmtId="0" fontId="4" fillId="0" borderId="137" xfId="0" applyFont="1" applyBorder="1" applyAlignment="1" applyProtection="1">
      <alignment vertical="center" wrapText="1"/>
      <protection hidden="1"/>
    </xf>
    <xf numFmtId="0" fontId="14" fillId="0" borderId="3" xfId="0" applyFont="1" applyBorder="1" applyAlignment="1" applyProtection="1">
      <alignment horizontal="left" wrapText="1"/>
      <protection hidden="1"/>
    </xf>
    <xf numFmtId="0" fontId="14" fillId="0" borderId="0" xfId="0" applyFont="1" applyAlignment="1" applyProtection="1">
      <alignment horizontal="left" wrapText="1"/>
      <protection hidden="1"/>
    </xf>
    <xf numFmtId="0" fontId="14" fillId="0" borderId="3" xfId="0" applyFont="1" applyBorder="1" applyAlignment="1" applyProtection="1">
      <alignment horizontal="center" vertical="center" wrapText="1"/>
      <protection hidden="1"/>
    </xf>
    <xf numFmtId="0" fontId="0" fillId="0" borderId="0" xfId="0" applyAlignment="1">
      <alignment horizontal="center" vertical="center" wrapText="1"/>
    </xf>
    <xf numFmtId="0" fontId="7" fillId="0" borderId="0" xfId="0" applyFont="1" applyAlignment="1" applyProtection="1">
      <alignment horizontal="center" wrapText="1"/>
      <protection hidden="1"/>
    </xf>
    <xf numFmtId="0" fontId="9" fillId="0" borderId="145" xfId="0" applyFont="1" applyBorder="1" applyAlignment="1" applyProtection="1">
      <alignment horizontal="center" vertical="center" wrapText="1"/>
      <protection hidden="1"/>
    </xf>
    <xf numFmtId="0" fontId="9" fillId="0" borderId="7" xfId="0" applyFont="1" applyBorder="1" applyAlignment="1" applyProtection="1">
      <alignment horizontal="center" vertical="center" wrapText="1"/>
      <protection hidden="1"/>
    </xf>
    <xf numFmtId="0" fontId="9" fillId="0" borderId="149" xfId="0" applyFont="1" applyBorder="1" applyAlignment="1" applyProtection="1">
      <alignment horizontal="center" vertical="center" wrapText="1"/>
      <protection hidden="1"/>
    </xf>
    <xf numFmtId="0" fontId="39" fillId="0" borderId="59" xfId="0" applyFont="1" applyBorder="1" applyAlignment="1" applyProtection="1">
      <alignment horizontal="center" vertical="center" wrapText="1"/>
      <protection hidden="1"/>
    </xf>
    <xf numFmtId="0" fontId="39" fillId="0" borderId="65" xfId="0" applyFont="1" applyBorder="1" applyAlignment="1" applyProtection="1">
      <alignment horizontal="center" vertical="center" wrapText="1"/>
      <protection hidden="1"/>
    </xf>
    <xf numFmtId="0" fontId="39" fillId="0" borderId="71" xfId="0" applyFont="1" applyBorder="1" applyAlignment="1" applyProtection="1">
      <alignment horizontal="center" vertical="center" wrapText="1"/>
      <protection hidden="1"/>
    </xf>
    <xf numFmtId="0" fontId="39" fillId="0" borderId="177" xfId="0" applyFont="1" applyBorder="1" applyAlignment="1" applyProtection="1">
      <alignment horizontal="center" vertical="center" wrapText="1"/>
      <protection hidden="1"/>
    </xf>
    <xf numFmtId="0" fontId="9" fillId="4" borderId="185" xfId="0" applyFont="1" applyFill="1" applyBorder="1" applyAlignment="1" applyProtection="1">
      <alignment horizontal="center" vertical="center" wrapText="1"/>
      <protection hidden="1"/>
    </xf>
    <xf numFmtId="0" fontId="9" fillId="4" borderId="191" xfId="0" applyFont="1" applyFill="1" applyBorder="1" applyAlignment="1" applyProtection="1">
      <alignment horizontal="center" vertical="center" wrapText="1"/>
      <protection hidden="1"/>
    </xf>
    <xf numFmtId="0" fontId="9" fillId="4" borderId="177" xfId="0" applyFont="1" applyFill="1" applyBorder="1" applyAlignment="1" applyProtection="1">
      <alignment horizontal="center" vertical="center" wrapText="1"/>
      <protection hidden="1"/>
    </xf>
    <xf numFmtId="0" fontId="9" fillId="0" borderId="129" xfId="0" applyFont="1" applyBorder="1" applyAlignment="1" applyProtection="1">
      <alignment horizontal="center" vertical="center" wrapText="1"/>
      <protection hidden="1"/>
    </xf>
    <xf numFmtId="0" fontId="9" fillId="0" borderId="0" xfId="0" applyFont="1" applyAlignment="1" applyProtection="1">
      <alignment horizontal="center" vertical="center" wrapText="1"/>
      <protection hidden="1"/>
    </xf>
    <xf numFmtId="0" fontId="9" fillId="0" borderId="5" xfId="0" applyFont="1" applyBorder="1" applyAlignment="1" applyProtection="1">
      <alignment horizontal="center" vertical="center" wrapText="1"/>
      <protection hidden="1"/>
    </xf>
    <xf numFmtId="0" fontId="9" fillId="4" borderId="129" xfId="0" applyFont="1" applyFill="1" applyBorder="1" applyAlignment="1" applyProtection="1">
      <alignment horizontal="center" vertical="center" wrapText="1"/>
      <protection hidden="1"/>
    </xf>
    <xf numFmtId="0" fontId="9" fillId="4" borderId="30" xfId="0" applyFont="1" applyFill="1" applyBorder="1" applyAlignment="1" applyProtection="1">
      <alignment horizontal="center" vertical="center" wrapText="1"/>
      <protection hidden="1"/>
    </xf>
    <xf numFmtId="0" fontId="9" fillId="4" borderId="29" xfId="0" applyFont="1" applyFill="1" applyBorder="1" applyAlignment="1" applyProtection="1">
      <alignment horizontal="center" vertical="center" wrapText="1"/>
      <protection hidden="1"/>
    </xf>
    <xf numFmtId="0" fontId="39" fillId="0" borderId="28" xfId="0" applyFont="1" applyBorder="1" applyAlignment="1" applyProtection="1">
      <alignment horizontal="center" vertical="center" wrapText="1"/>
      <protection hidden="1"/>
    </xf>
    <xf numFmtId="0" fontId="39" fillId="0" borderId="29" xfId="0" applyFont="1" applyBorder="1" applyAlignment="1" applyProtection="1">
      <alignment horizontal="center" vertical="center" wrapText="1"/>
      <protection hidden="1"/>
    </xf>
    <xf numFmtId="0" fontId="9" fillId="0" borderId="73" xfId="0" applyFont="1" applyBorder="1" applyAlignment="1" applyProtection="1">
      <alignment horizontal="center" vertical="center" wrapText="1"/>
      <protection hidden="1"/>
    </xf>
    <xf numFmtId="0" fontId="9" fillId="0" borderId="31" xfId="0" applyFont="1" applyBorder="1" applyAlignment="1" applyProtection="1">
      <alignment horizontal="center" vertical="center" wrapText="1"/>
      <protection hidden="1"/>
    </xf>
    <xf numFmtId="0" fontId="9" fillId="0" borderId="38" xfId="0" applyFont="1" applyBorder="1" applyAlignment="1" applyProtection="1">
      <alignment horizontal="center" vertical="center" wrapText="1"/>
      <protection hidden="1"/>
    </xf>
    <xf numFmtId="0" fontId="9" fillId="0" borderId="133" xfId="0" applyFont="1" applyBorder="1" applyAlignment="1" applyProtection="1">
      <alignment horizontal="center" vertical="center" wrapText="1"/>
      <protection hidden="1"/>
    </xf>
    <xf numFmtId="0" fontId="9" fillId="0" borderId="123" xfId="0" applyFont="1" applyBorder="1" applyAlignment="1" applyProtection="1">
      <alignment horizontal="center" vertical="center" wrapText="1"/>
      <protection hidden="1"/>
    </xf>
    <xf numFmtId="0" fontId="9" fillId="0" borderId="136" xfId="0" applyFont="1" applyBorder="1" applyAlignment="1" applyProtection="1">
      <alignment horizontal="center" vertical="center" wrapText="1"/>
      <protection hidden="1"/>
    </xf>
    <xf numFmtId="0" fontId="9" fillId="0" borderId="155" xfId="0" applyFont="1" applyBorder="1" applyAlignment="1" applyProtection="1">
      <alignment horizontal="center" vertical="center" wrapText="1"/>
      <protection hidden="1"/>
    </xf>
    <xf numFmtId="0" fontId="9" fillId="0" borderId="30" xfId="0" applyFont="1" applyBorder="1" applyAlignment="1" applyProtection="1">
      <alignment horizontal="center" vertical="center" wrapText="1"/>
      <protection hidden="1"/>
    </xf>
    <xf numFmtId="0" fontId="9" fillId="0" borderId="29" xfId="0" applyFont="1" applyBorder="1" applyAlignment="1" applyProtection="1">
      <alignment horizontal="center" vertical="center" wrapText="1"/>
      <protection hidden="1"/>
    </xf>
    <xf numFmtId="0" fontId="40" fillId="0" borderId="147" xfId="0" applyFont="1" applyBorder="1" applyAlignment="1" applyProtection="1">
      <alignment horizontal="center" vertical="center" wrapText="1"/>
      <protection hidden="1"/>
    </xf>
    <xf numFmtId="0" fontId="40" fillId="0" borderId="153" xfId="0" applyFont="1" applyBorder="1" applyAlignment="1" applyProtection="1">
      <alignment horizontal="center" vertical="center" wrapText="1"/>
      <protection hidden="1"/>
    </xf>
    <xf numFmtId="0" fontId="40" fillId="0" borderId="143" xfId="0" applyFont="1" applyBorder="1" applyAlignment="1" applyProtection="1">
      <alignment horizontal="center" vertical="center" wrapText="1"/>
      <protection hidden="1"/>
    </xf>
    <xf numFmtId="0" fontId="151" fillId="0" borderId="222" xfId="0" applyFont="1" applyBorder="1" applyAlignment="1" applyProtection="1">
      <alignment horizontal="center" vertical="top" wrapText="1"/>
      <protection hidden="1"/>
    </xf>
    <xf numFmtId="0" fontId="151" fillId="0" borderId="223" xfId="0" applyFont="1" applyBorder="1" applyAlignment="1" applyProtection="1">
      <alignment horizontal="center" vertical="top" wrapText="1"/>
      <protection hidden="1"/>
    </xf>
    <xf numFmtId="0" fontId="151" fillId="0" borderId="224" xfId="0" applyFont="1" applyBorder="1" applyAlignment="1" applyProtection="1">
      <alignment horizontal="center" vertical="top" wrapText="1"/>
      <protection hidden="1"/>
    </xf>
    <xf numFmtId="0" fontId="13" fillId="0" borderId="225" xfId="0" applyFont="1" applyBorder="1" applyAlignment="1" applyProtection="1">
      <alignment horizontal="center" vertical="top" wrapText="1"/>
      <protection hidden="1"/>
    </xf>
    <xf numFmtId="0" fontId="13" fillId="0" borderId="226" xfId="0" applyFont="1" applyBorder="1" applyAlignment="1" applyProtection="1">
      <alignment horizontal="center" vertical="top" wrapText="1"/>
      <protection hidden="1"/>
    </xf>
    <xf numFmtId="0" fontId="113" fillId="0" borderId="25" xfId="0" applyFont="1" applyBorder="1" applyAlignment="1" applyProtection="1">
      <alignment horizontal="center" vertical="top"/>
      <protection hidden="1"/>
    </xf>
    <xf numFmtId="0" fontId="57" fillId="0" borderId="32" xfId="0" applyFont="1" applyBorder="1" applyAlignment="1" applyProtection="1">
      <alignment horizontal="center" vertical="top"/>
      <protection hidden="1"/>
    </xf>
    <xf numFmtId="0" fontId="113" fillId="0" borderId="130" xfId="0" applyFont="1" applyBorder="1" applyAlignment="1" applyProtection="1">
      <alignment horizontal="center" vertical="top"/>
      <protection hidden="1"/>
    </xf>
    <xf numFmtId="0" fontId="4" fillId="0" borderId="202" xfId="0" applyFont="1" applyBorder="1" applyAlignment="1">
      <alignment vertical="top"/>
    </xf>
    <xf numFmtId="0" fontId="83" fillId="2" borderId="0" xfId="0" applyFont="1" applyFill="1" applyAlignment="1" applyProtection="1">
      <alignment horizontal="center" wrapText="1"/>
      <protection hidden="1"/>
    </xf>
    <xf numFmtId="0" fontId="113" fillId="2" borderId="227" xfId="0" applyFont="1" applyFill="1" applyBorder="1" applyAlignment="1" applyProtection="1">
      <alignment horizontal="center" vertical="center" wrapText="1"/>
      <protection hidden="1"/>
    </xf>
    <xf numFmtId="0" fontId="113" fillId="2" borderId="228" xfId="0" applyFont="1" applyFill="1" applyBorder="1" applyAlignment="1" applyProtection="1">
      <alignment horizontal="center" vertical="center" wrapText="1"/>
      <protection hidden="1"/>
    </xf>
    <xf numFmtId="0" fontId="155" fillId="2" borderId="227" xfId="0" applyFont="1" applyFill="1" applyBorder="1" applyAlignment="1" applyProtection="1">
      <alignment horizontal="center" vertical="center" wrapText="1"/>
      <protection hidden="1"/>
    </xf>
    <xf numFmtId="0" fontId="155" fillId="2" borderId="228" xfId="0" applyFont="1" applyFill="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33" xfId="0" applyFont="1" applyBorder="1" applyAlignment="1" applyProtection="1">
      <alignment horizontal="center" vertical="center"/>
      <protection hidden="1"/>
    </xf>
    <xf numFmtId="0" fontId="9" fillId="0" borderId="123" xfId="0" applyFont="1" applyBorder="1" applyAlignment="1" applyProtection="1">
      <alignment horizontal="center" vertical="center"/>
      <protection hidden="1"/>
    </xf>
    <xf numFmtId="0" fontId="9" fillId="0" borderId="137" xfId="0" applyFont="1" applyBorder="1" applyAlignment="1" applyProtection="1">
      <alignment horizontal="center" vertical="center"/>
      <protection hidden="1"/>
    </xf>
    <xf numFmtId="0" fontId="9" fillId="2" borderId="133" xfId="0" applyFont="1" applyFill="1" applyBorder="1" applyAlignment="1" applyProtection="1">
      <alignment horizontal="center" vertical="center" wrapText="1"/>
      <protection hidden="1"/>
    </xf>
    <xf numFmtId="0" fontId="0" fillId="2" borderId="123" xfId="0" applyFill="1" applyBorder="1" applyAlignment="1">
      <alignment horizontal="center" vertical="center" wrapText="1"/>
    </xf>
    <xf numFmtId="0" fontId="0" fillId="2" borderId="137" xfId="0" applyFill="1" applyBorder="1" applyAlignment="1">
      <alignment horizontal="center" vertical="center" wrapText="1"/>
    </xf>
    <xf numFmtId="0" fontId="9" fillId="2" borderId="123" xfId="0" applyFont="1" applyFill="1" applyBorder="1" applyAlignment="1" applyProtection="1">
      <alignment horizontal="center" vertical="center" wrapText="1"/>
      <protection hidden="1"/>
    </xf>
    <xf numFmtId="0" fontId="9" fillId="2" borderId="137" xfId="0" applyFont="1" applyFill="1" applyBorder="1" applyAlignment="1" applyProtection="1">
      <alignment horizontal="center" vertical="center" wrapText="1"/>
      <protection hidden="1"/>
    </xf>
    <xf numFmtId="0" fontId="0" fillId="0" borderId="123" xfId="0" applyBorder="1" applyAlignment="1">
      <alignment horizontal="center" vertical="center" wrapText="1"/>
    </xf>
    <xf numFmtId="0" fontId="0" fillId="0" borderId="137" xfId="0" applyBorder="1" applyAlignment="1">
      <alignment horizontal="center" vertical="center" wrapText="1"/>
    </xf>
    <xf numFmtId="0" fontId="7" fillId="0" borderId="0" xfId="0" applyFont="1" applyAlignment="1" applyProtection="1">
      <alignment horizontal="center" vertical="center"/>
      <protection hidden="1"/>
    </xf>
    <xf numFmtId="0" fontId="53" fillId="0" borderId="1" xfId="0" applyFont="1" applyBorder="1" applyAlignment="1">
      <alignment horizontal="center"/>
    </xf>
    <xf numFmtId="0" fontId="0" fillId="0" borderId="73" xfId="0" applyBorder="1" applyAlignment="1">
      <alignment horizontal="center"/>
    </xf>
    <xf numFmtId="0" fontId="35" fillId="0" borderId="142" xfId="0" applyFont="1" applyBorder="1" applyAlignment="1" applyProtection="1">
      <alignment horizontal="center"/>
      <protection hidden="1"/>
    </xf>
    <xf numFmtId="0" fontId="0" fillId="0" borderId="38" xfId="0" applyBorder="1" applyAlignment="1" applyProtection="1">
      <alignment horizontal="center"/>
      <protection hidden="1"/>
    </xf>
    <xf numFmtId="0" fontId="9" fillId="0" borderId="134" xfId="0" applyFont="1" applyBorder="1" applyAlignment="1" applyProtection="1">
      <alignment horizontal="center" vertical="center" wrapText="1"/>
      <protection hidden="1"/>
    </xf>
    <xf numFmtId="9" fontId="31" fillId="0" borderId="9" xfId="0" applyNumberFormat="1" applyFont="1" applyBorder="1" applyAlignment="1">
      <alignment horizontal="center" vertical="center"/>
    </xf>
    <xf numFmtId="9" fontId="31" fillId="0" borderId="37" xfId="0" applyNumberFormat="1" applyFont="1" applyBorder="1" applyAlignment="1">
      <alignment horizontal="center" vertical="center"/>
    </xf>
    <xf numFmtId="0" fontId="81" fillId="0" borderId="10" xfId="0" applyFont="1" applyBorder="1" applyAlignment="1">
      <alignment horizontal="left" vertical="center"/>
    </xf>
    <xf numFmtId="0" fontId="40" fillId="0" borderId="36" xfId="0" applyFont="1" applyBorder="1" applyAlignment="1">
      <alignment horizontal="right" vertical="center"/>
    </xf>
    <xf numFmtId="0" fontId="40" fillId="0" borderId="31" xfId="0" applyFont="1" applyBorder="1" applyAlignment="1">
      <alignment horizontal="right" vertical="center"/>
    </xf>
    <xf numFmtId="0" fontId="40" fillId="0" borderId="38" xfId="0" applyFont="1" applyBorder="1" applyAlignment="1">
      <alignment horizontal="right" vertical="center"/>
    </xf>
    <xf numFmtId="0" fontId="53" fillId="0" borderId="149" xfId="0" applyFont="1" applyBorder="1" applyAlignment="1">
      <alignment horizontal="center" vertical="center" wrapText="1"/>
    </xf>
    <xf numFmtId="0" fontId="53" fillId="0" borderId="38" xfId="0" applyFont="1" applyBorder="1" applyAlignment="1">
      <alignment horizontal="center" vertical="center" wrapText="1"/>
    </xf>
    <xf numFmtId="0" fontId="9" fillId="0" borderId="5" xfId="0" applyFont="1" applyBorder="1" applyAlignment="1">
      <alignment horizontal="center"/>
    </xf>
    <xf numFmtId="0" fontId="9" fillId="0" borderId="34" xfId="0" applyFont="1" applyBorder="1" applyAlignment="1">
      <alignment horizontal="center"/>
    </xf>
    <xf numFmtId="0" fontId="40" fillId="0" borderId="0" xfId="0" quotePrefix="1" applyFont="1" applyAlignment="1">
      <alignment horizontal="right" vertical="center"/>
    </xf>
    <xf numFmtId="0" fontId="40" fillId="0" borderId="14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36" xfId="0" applyFont="1" applyBorder="1" applyAlignment="1">
      <alignment horizontal="right" vertical="center" wrapText="1"/>
    </xf>
    <xf numFmtId="0" fontId="40" fillId="0" borderId="31" xfId="0" applyFont="1" applyBorder="1" applyAlignment="1">
      <alignment horizontal="right" vertical="center" wrapText="1"/>
    </xf>
    <xf numFmtId="0" fontId="40" fillId="0" borderId="38" xfId="0" applyFont="1" applyBorder="1" applyAlignment="1">
      <alignment horizontal="right" vertical="center" wrapText="1"/>
    </xf>
    <xf numFmtId="0" fontId="103" fillId="0" borderId="149" xfId="0" applyFont="1" applyBorder="1" applyAlignment="1">
      <alignment horizontal="center" vertical="center"/>
    </xf>
    <xf numFmtId="0" fontId="103" fillId="0" borderId="38" xfId="0" applyFont="1" applyBorder="1" applyAlignment="1">
      <alignment horizontal="center" vertical="center"/>
    </xf>
    <xf numFmtId="0" fontId="80" fillId="0" borderId="0" xfId="1" applyFont="1" applyAlignment="1" applyProtection="1">
      <alignment horizontal="left"/>
    </xf>
    <xf numFmtId="0" fontId="35" fillId="0" borderId="0" xfId="0" applyFont="1" applyAlignment="1">
      <alignment horizontal="center" wrapText="1"/>
    </xf>
    <xf numFmtId="0" fontId="35" fillId="0" borderId="5" xfId="0" applyFont="1" applyBorder="1" applyAlignment="1">
      <alignment horizontal="center" wrapText="1"/>
    </xf>
    <xf numFmtId="0" fontId="35" fillId="0" borderId="34" xfId="0" applyFont="1" applyBorder="1" applyAlignment="1">
      <alignment horizontal="center" vertical="top" wrapText="1"/>
    </xf>
    <xf numFmtId="0" fontId="35" fillId="0" borderId="0" xfId="0" applyFont="1" applyAlignment="1">
      <alignment horizontal="center" vertical="top" wrapText="1"/>
    </xf>
    <xf numFmtId="0" fontId="9" fillId="0" borderId="10" xfId="0" applyFont="1" applyBorder="1" applyAlignment="1">
      <alignment horizontal="left" vertical="top" wrapText="1"/>
    </xf>
    <xf numFmtId="0" fontId="81" fillId="0" borderId="0" xfId="0" applyFont="1" applyAlignment="1">
      <alignment horizontal="left" vertical="center"/>
    </xf>
    <xf numFmtId="0" fontId="39" fillId="0" borderId="146" xfId="0" applyFont="1" applyBorder="1" applyAlignment="1">
      <alignment horizontal="left" vertical="top" wrapText="1"/>
    </xf>
    <xf numFmtId="0" fontId="39" fillId="0" borderId="34" xfId="0" applyFont="1" applyBorder="1" applyAlignment="1">
      <alignment horizontal="left" vertical="top" wrapText="1"/>
    </xf>
    <xf numFmtId="0" fontId="39" fillId="0" borderId="36" xfId="0" applyFont="1" applyBorder="1" applyAlignment="1">
      <alignment horizontal="left" vertical="top" wrapText="1"/>
    </xf>
    <xf numFmtId="0" fontId="39" fillId="0" borderId="7" xfId="0" applyFont="1" applyBorder="1" applyAlignment="1">
      <alignment horizontal="left" vertical="top" wrapText="1"/>
    </xf>
    <xf numFmtId="0" fontId="39" fillId="0" borderId="0" xfId="0" applyFont="1" applyAlignment="1">
      <alignment horizontal="left" vertical="top" wrapText="1"/>
    </xf>
    <xf numFmtId="0" fontId="39" fillId="0" borderId="31" xfId="0" applyFont="1" applyBorder="1" applyAlignment="1">
      <alignment horizontal="left" vertical="top" wrapText="1"/>
    </xf>
    <xf numFmtId="0" fontId="39" fillId="0" borderId="149" xfId="0" applyFont="1" applyBorder="1" applyAlignment="1">
      <alignment horizontal="left" vertical="top" wrapText="1"/>
    </xf>
    <xf numFmtId="0" fontId="39" fillId="0" borderId="5" xfId="0" applyFont="1" applyBorder="1" applyAlignment="1">
      <alignment horizontal="left" vertical="top" wrapText="1"/>
    </xf>
    <xf numFmtId="0" fontId="39" fillId="0" borderId="38" xfId="0" applyFont="1" applyBorder="1" applyAlignment="1">
      <alignment horizontal="left" vertical="top" wrapText="1"/>
    </xf>
    <xf numFmtId="0" fontId="40" fillId="0" borderId="0" xfId="0" applyFont="1" applyAlignment="1">
      <alignment horizontal="right" vertical="center"/>
    </xf>
    <xf numFmtId="0" fontId="40" fillId="0" borderId="0" xfId="0" applyFont="1" applyAlignment="1">
      <alignment horizontal="left" vertical="top" wrapText="1" indent="3"/>
    </xf>
    <xf numFmtId="9" fontId="104" fillId="0" borderId="9" xfId="2" applyFont="1" applyBorder="1" applyAlignment="1">
      <alignment horizontal="center" vertical="center"/>
    </xf>
    <xf numFmtId="9" fontId="104" fillId="0" borderId="37" xfId="2" applyFont="1" applyBorder="1" applyAlignment="1">
      <alignment horizontal="center" vertical="center"/>
    </xf>
    <xf numFmtId="0" fontId="9" fillId="0" borderId="0" xfId="0" applyFont="1" applyAlignment="1">
      <alignment horizontal="center" vertical="center" wrapText="1"/>
    </xf>
    <xf numFmtId="0" fontId="9" fillId="0" borderId="0" xfId="0" applyFont="1" applyAlignment="1">
      <alignment horizontal="center" vertical="center"/>
    </xf>
    <xf numFmtId="0" fontId="132" fillId="0" borderId="0" xfId="0" applyFont="1" applyAlignment="1">
      <alignment horizontal="left" vertical="top" wrapText="1"/>
    </xf>
    <xf numFmtId="0" fontId="9" fillId="0" borderId="0" xfId="0" applyFont="1" applyAlignment="1">
      <alignment horizontal="left"/>
    </xf>
    <xf numFmtId="3" fontId="40" fillId="0" borderId="0" xfId="0" applyNumberFormat="1" applyFont="1" applyAlignment="1">
      <alignment horizontal="left"/>
    </xf>
    <xf numFmtId="0" fontId="39" fillId="0" borderId="9" xfId="0" applyFont="1" applyBorder="1" applyAlignment="1">
      <alignment horizontal="left" vertical="top" wrapText="1"/>
    </xf>
    <xf numFmtId="0" fontId="39" fillId="0" borderId="37" xfId="0" applyFont="1" applyBorder="1" applyAlignment="1">
      <alignment horizontal="left" vertical="top" wrapText="1"/>
    </xf>
    <xf numFmtId="0" fontId="81" fillId="0" borderId="34" xfId="0" applyFont="1" applyBorder="1" applyAlignment="1">
      <alignment horizontal="left" vertical="center"/>
    </xf>
    <xf numFmtId="0" fontId="35" fillId="0" borderId="0" xfId="0" applyFont="1" applyAlignment="1">
      <alignment horizontal="left" wrapText="1"/>
    </xf>
    <xf numFmtId="0" fontId="53" fillId="0" borderId="0" xfId="0" applyFont="1" applyAlignment="1">
      <alignment horizontal="right" wrapText="1"/>
    </xf>
    <xf numFmtId="0" fontId="35" fillId="0" borderId="310" xfId="0" applyFont="1" applyBorder="1" applyAlignment="1">
      <alignment horizontal="center"/>
    </xf>
    <xf numFmtId="0" fontId="35" fillId="0" borderId="291" xfId="0" applyFont="1" applyBorder="1" applyAlignment="1">
      <alignment horizontal="center"/>
    </xf>
    <xf numFmtId="0" fontId="40" fillId="0" borderId="34" xfId="0" applyFont="1" applyBorder="1" applyAlignment="1">
      <alignment horizontal="left" vertical="center" wrapText="1"/>
    </xf>
    <xf numFmtId="0" fontId="40" fillId="0" borderId="204" xfId="0" applyFont="1" applyBorder="1" applyAlignment="1">
      <alignment horizontal="left" vertical="center" wrapText="1"/>
    </xf>
    <xf numFmtId="0" fontId="40" fillId="0" borderId="0" xfId="0" applyFont="1" applyAlignment="1">
      <alignment horizontal="left" vertical="center" wrapText="1"/>
    </xf>
    <xf numFmtId="0" fontId="40" fillId="0" borderId="172" xfId="0" applyFont="1" applyBorder="1" applyAlignment="1">
      <alignment horizontal="left" vertical="center" wrapText="1"/>
    </xf>
    <xf numFmtId="0" fontId="40" fillId="0" borderId="271" xfId="0" applyFont="1" applyBorder="1" applyAlignment="1">
      <alignment horizontal="left" vertical="center" wrapText="1"/>
    </xf>
    <xf numFmtId="0" fontId="40" fillId="0" borderId="248" xfId="0" applyFont="1" applyBorder="1" applyAlignment="1">
      <alignment horizontal="left" vertical="center" wrapText="1"/>
    </xf>
    <xf numFmtId="0" fontId="40" fillId="24" borderId="9" xfId="0" applyFont="1" applyFill="1" applyBorder="1" applyAlignment="1">
      <alignment horizontal="center"/>
    </xf>
    <xf numFmtId="0" fontId="40" fillId="24" borderId="10" xfId="0" applyFont="1" applyFill="1" applyBorder="1" applyAlignment="1">
      <alignment horizontal="center"/>
    </xf>
    <xf numFmtId="0" fontId="40" fillId="24" borderId="203" xfId="0" applyFont="1" applyFill="1" applyBorder="1" applyAlignment="1">
      <alignment horizontal="center"/>
    </xf>
    <xf numFmtId="0" fontId="40" fillId="24" borderId="10" xfId="0" applyFont="1" applyFill="1" applyBorder="1" applyAlignment="1">
      <alignment horizontal="center" wrapText="1"/>
    </xf>
    <xf numFmtId="0" fontId="40" fillId="24" borderId="203" xfId="0" applyFont="1" applyFill="1" applyBorder="1" applyAlignment="1">
      <alignment horizontal="center" wrapText="1"/>
    </xf>
    <xf numFmtId="0" fontId="40" fillId="24" borderId="37" xfId="0" applyFont="1" applyFill="1" applyBorder="1" applyAlignment="1">
      <alignment horizontal="center" wrapText="1"/>
    </xf>
    <xf numFmtId="0" fontId="40" fillId="24" borderId="37" xfId="0" applyFont="1" applyFill="1" applyBorder="1" applyAlignment="1">
      <alignment horizontal="center"/>
    </xf>
    <xf numFmtId="0" fontId="35" fillId="0" borderId="0" xfId="0" applyFont="1" applyAlignment="1">
      <alignment horizontal="left" vertical="top" wrapText="1"/>
    </xf>
    <xf numFmtId="0" fontId="40" fillId="0" borderId="0" xfId="0" applyFont="1" applyAlignment="1">
      <alignment horizontal="right" vertical="center" wrapText="1"/>
    </xf>
    <xf numFmtId="0" fontId="40" fillId="34" borderId="0" xfId="0" applyFont="1" applyFill="1" applyAlignment="1">
      <alignment horizontal="center" vertical="center"/>
    </xf>
    <xf numFmtId="0" fontId="40" fillId="35" borderId="0" xfId="0" applyFont="1" applyFill="1" applyAlignment="1">
      <alignment horizontal="center" vertical="center"/>
    </xf>
    <xf numFmtId="0" fontId="40" fillId="0" borderId="271" xfId="0" applyFont="1" applyBorder="1" applyAlignment="1">
      <alignment horizontal="center" vertical="center"/>
    </xf>
    <xf numFmtId="0" fontId="115" fillId="0" borderId="0" xfId="0" applyFont="1" applyAlignment="1">
      <alignment horizontal="left"/>
    </xf>
    <xf numFmtId="0" fontId="85" fillId="0" borderId="0" xfId="0" quotePrefix="1" applyFont="1" applyAlignment="1">
      <alignment horizontal="center" vertical="center"/>
    </xf>
    <xf numFmtId="0" fontId="85" fillId="0" borderId="0" xfId="0" applyFont="1" applyAlignment="1">
      <alignment horizontal="center" vertical="center"/>
    </xf>
    <xf numFmtId="9" fontId="112" fillId="19" borderId="28" xfId="2" applyFont="1" applyFill="1" applyBorder="1" applyAlignment="1">
      <alignment horizontal="center" vertical="center"/>
    </xf>
    <xf numFmtId="9" fontId="112" fillId="19" borderId="30" xfId="2" applyFont="1" applyFill="1" applyBorder="1" applyAlignment="1">
      <alignment horizontal="center" vertical="center"/>
    </xf>
    <xf numFmtId="9" fontId="112" fillId="19" borderId="29" xfId="2" applyFont="1" applyFill="1" applyBorder="1" applyAlignment="1">
      <alignment horizontal="center" vertical="center"/>
    </xf>
    <xf numFmtId="0" fontId="40" fillId="14" borderId="34" xfId="0" applyFont="1" applyFill="1" applyBorder="1" applyAlignment="1">
      <alignment horizontal="center"/>
    </xf>
    <xf numFmtId="0" fontId="40" fillId="14" borderId="36" xfId="0" applyFont="1" applyFill="1" applyBorder="1" applyAlignment="1">
      <alignment horizontal="center"/>
    </xf>
    <xf numFmtId="0" fontId="35" fillId="0" borderId="282" xfId="0" applyFont="1" applyBorder="1" applyAlignment="1">
      <alignment horizontal="left" vertical="top" wrapText="1"/>
    </xf>
    <xf numFmtId="0" fontId="35" fillId="0" borderId="272" xfId="0" applyFont="1" applyBorder="1" applyAlignment="1">
      <alignment horizontal="left" vertical="top" wrapText="1"/>
    </xf>
    <xf numFmtId="0" fontId="35" fillId="0" borderId="273" xfId="0" applyFont="1" applyBorder="1" applyAlignment="1">
      <alignment horizontal="left" vertical="top" wrapText="1"/>
    </xf>
    <xf numFmtId="0" fontId="7" fillId="0" borderId="7" xfId="0" applyFont="1" applyBorder="1" applyAlignment="1">
      <alignment horizontal="center" vertical="center"/>
    </xf>
    <xf numFmtId="0" fontId="51" fillId="24" borderId="288" xfId="0" applyFont="1" applyFill="1" applyBorder="1" applyAlignment="1">
      <alignment horizontal="left" vertical="center" wrapText="1"/>
    </xf>
    <xf numFmtId="0" fontId="51" fillId="24" borderId="289" xfId="0" applyFont="1" applyFill="1" applyBorder="1" applyAlignment="1">
      <alignment horizontal="left" vertical="center" wrapText="1"/>
    </xf>
    <xf numFmtId="0" fontId="51" fillId="24" borderId="240" xfId="0" applyFont="1" applyFill="1" applyBorder="1" applyAlignment="1">
      <alignment horizontal="left" vertical="center"/>
    </xf>
    <xf numFmtId="0" fontId="51" fillId="24" borderId="229" xfId="0" applyFont="1" applyFill="1" applyBorder="1" applyAlignment="1">
      <alignment horizontal="left" vertical="center"/>
    </xf>
    <xf numFmtId="0" fontId="182" fillId="70" borderId="0" xfId="0" applyFont="1" applyFill="1" applyAlignment="1">
      <alignment horizontal="left" vertical="center" indent="7"/>
    </xf>
    <xf numFmtId="0" fontId="183" fillId="70" borderId="237" xfId="0" applyFont="1" applyFill="1" applyBorder="1"/>
    <xf numFmtId="0" fontId="183" fillId="70" borderId="0" xfId="0" applyFont="1" applyFill="1"/>
    <xf numFmtId="0" fontId="183" fillId="11" borderId="297" xfId="0" applyFont="1" applyFill="1" applyBorder="1"/>
    <xf numFmtId="0" fontId="182" fillId="70" borderId="231" xfId="0" applyFont="1" applyFill="1" applyBorder="1" applyAlignment="1">
      <alignment vertical="center"/>
    </xf>
    <xf numFmtId="0" fontId="183" fillId="0" borderId="0" xfId="0" applyFont="1"/>
    <xf numFmtId="0" fontId="182" fillId="7" borderId="218" xfId="0" applyFont="1" applyFill="1" applyBorder="1" applyAlignment="1">
      <alignment horizontal="center"/>
    </xf>
    <xf numFmtId="0" fontId="182" fillId="7" borderId="219" xfId="0" applyFont="1" applyFill="1" applyBorder="1" applyAlignment="1">
      <alignment horizontal="center"/>
    </xf>
    <xf numFmtId="0" fontId="182" fillId="7" borderId="220" xfId="0" applyFont="1" applyFill="1" applyBorder="1" applyAlignment="1">
      <alignment horizontal="center"/>
    </xf>
    <xf numFmtId="0" fontId="182" fillId="31" borderId="218" xfId="0" applyFont="1" applyFill="1" applyBorder="1" applyAlignment="1">
      <alignment horizontal="center"/>
    </xf>
    <xf numFmtId="0" fontId="182" fillId="31" borderId="219" xfId="0" applyFont="1" applyFill="1" applyBorder="1" applyAlignment="1">
      <alignment horizontal="center"/>
    </xf>
    <xf numFmtId="0" fontId="182" fillId="7" borderId="18" xfId="1" applyNumberFormat="1" applyFont="1" applyFill="1" applyBorder="1" applyAlignment="1" applyProtection="1">
      <alignment horizontal="center" vertical="center" wrapText="1"/>
    </xf>
    <xf numFmtId="0" fontId="182" fillId="7" borderId="221" xfId="1" applyNumberFormat="1" applyFont="1" applyFill="1" applyBorder="1" applyAlignment="1" applyProtection="1">
      <alignment horizontal="center" vertical="center" wrapText="1"/>
    </xf>
    <xf numFmtId="0" fontId="182" fillId="5" borderId="221" xfId="0" applyFont="1" applyFill="1" applyBorder="1" applyAlignment="1">
      <alignment horizontal="center"/>
    </xf>
    <xf numFmtId="0" fontId="182" fillId="5" borderId="18" xfId="0" applyFont="1" applyFill="1" applyBorder="1" applyAlignment="1">
      <alignment horizontal="center"/>
    </xf>
    <xf numFmtId="0" fontId="182" fillId="5" borderId="16" xfId="0" applyFont="1" applyFill="1" applyBorder="1" applyAlignment="1">
      <alignment horizontal="center"/>
    </xf>
    <xf numFmtId="0" fontId="182" fillId="75" borderId="16" xfId="0" applyFont="1" applyFill="1" applyBorder="1" applyAlignment="1">
      <alignment horizontal="center"/>
    </xf>
    <xf numFmtId="0" fontId="182" fillId="75" borderId="17" xfId="0" applyFont="1" applyFill="1" applyBorder="1" applyAlignment="1">
      <alignment horizontal="center"/>
    </xf>
    <xf numFmtId="0" fontId="182" fillId="17" borderId="210" xfId="1" applyNumberFormat="1" applyFont="1" applyFill="1" applyBorder="1" applyAlignment="1" applyProtection="1">
      <alignment horizontal="center" vertical="center" wrapText="1"/>
    </xf>
    <xf numFmtId="0" fontId="182" fillId="16" borderId="18" xfId="0" applyFont="1" applyFill="1" applyBorder="1" applyAlignment="1">
      <alignment horizontal="center"/>
    </xf>
    <xf numFmtId="0" fontId="182" fillId="16" borderId="16" xfId="0" applyFont="1" applyFill="1" applyBorder="1" applyAlignment="1">
      <alignment horizontal="center"/>
    </xf>
    <xf numFmtId="0" fontId="182" fillId="16" borderId="17" xfId="0" applyFont="1" applyFill="1" applyBorder="1" applyAlignment="1">
      <alignment horizontal="center"/>
    </xf>
    <xf numFmtId="0" fontId="182" fillId="6" borderId="18" xfId="0" applyFont="1" applyFill="1" applyBorder="1" applyAlignment="1">
      <alignment horizontal="center"/>
    </xf>
    <xf numFmtId="0" fontId="182" fillId="6" borderId="16" xfId="0" applyFont="1" applyFill="1" applyBorder="1" applyAlignment="1">
      <alignment horizontal="center"/>
    </xf>
    <xf numFmtId="0" fontId="182" fillId="6" borderId="299" xfId="0" applyFont="1" applyFill="1" applyBorder="1" applyAlignment="1">
      <alignment horizontal="center"/>
    </xf>
    <xf numFmtId="0" fontId="182" fillId="70" borderId="283" xfId="0" applyFont="1" applyFill="1" applyBorder="1" applyAlignment="1">
      <alignment horizontal="center" vertical="center" wrapText="1"/>
    </xf>
    <xf numFmtId="0" fontId="182" fillId="7" borderId="244" xfId="1" applyNumberFormat="1" applyFont="1" applyFill="1" applyBorder="1" applyAlignment="1" applyProtection="1">
      <alignment horizontal="center" vertical="center" wrapText="1"/>
    </xf>
    <xf numFmtId="0" fontId="182" fillId="7" borderId="245" xfId="1" applyNumberFormat="1" applyFont="1" applyFill="1" applyBorder="1" applyAlignment="1" applyProtection="1">
      <alignment horizontal="center" vertical="center" wrapText="1"/>
    </xf>
    <xf numFmtId="0" fontId="182" fillId="7" borderId="246" xfId="1" applyNumberFormat="1" applyFont="1" applyFill="1" applyBorder="1" applyAlignment="1" applyProtection="1">
      <alignment horizontal="center" vertical="center" wrapText="1"/>
    </xf>
    <xf numFmtId="0" fontId="182" fillId="7" borderId="241" xfId="1" applyNumberFormat="1" applyFont="1" applyFill="1" applyBorder="1" applyAlignment="1" applyProtection="1">
      <alignment horizontal="center" vertical="center" wrapText="1"/>
    </xf>
    <xf numFmtId="0" fontId="182" fillId="7" borderId="287" xfId="1" applyNumberFormat="1" applyFont="1" applyFill="1" applyBorder="1" applyAlignment="1" applyProtection="1">
      <alignment horizontal="center" vertical="center" wrapText="1"/>
    </xf>
    <xf numFmtId="0" fontId="182" fillId="5" borderId="241" xfId="1" applyNumberFormat="1" applyFont="1" applyFill="1" applyBorder="1" applyAlignment="1" applyProtection="1">
      <alignment horizontal="center" vertical="center" wrapText="1"/>
    </xf>
    <xf numFmtId="0" fontId="182" fillId="5" borderId="242" xfId="1" applyNumberFormat="1" applyFont="1" applyFill="1" applyBorder="1" applyAlignment="1" applyProtection="1">
      <alignment horizontal="center" vertical="center" wrapText="1"/>
    </xf>
    <xf numFmtId="0" fontId="182" fillId="5" borderId="243" xfId="1" applyNumberFormat="1" applyFont="1" applyFill="1" applyBorder="1" applyAlignment="1" applyProtection="1">
      <alignment horizontal="center" vertical="center" wrapText="1"/>
    </xf>
    <xf numFmtId="0" fontId="182" fillId="5" borderId="237" xfId="1" applyNumberFormat="1" applyFont="1" applyFill="1" applyBorder="1" applyAlignment="1" applyProtection="1">
      <alignment horizontal="center" vertical="center" wrapText="1"/>
    </xf>
    <xf numFmtId="0" fontId="182" fillId="75" borderId="237" xfId="1" applyNumberFormat="1" applyFont="1" applyFill="1" applyBorder="1" applyAlignment="1" applyProtection="1">
      <alignment horizontal="center" vertical="center" wrapText="1"/>
    </xf>
    <xf numFmtId="0" fontId="182" fillId="17" borderId="217" xfId="1" applyNumberFormat="1" applyFont="1" applyFill="1" applyBorder="1" applyAlignment="1" applyProtection="1">
      <alignment horizontal="center" vertical="center" wrapText="1"/>
    </xf>
    <xf numFmtId="0" fontId="182" fillId="16" borderId="18" xfId="1" applyNumberFormat="1" applyFont="1" applyFill="1" applyBorder="1" applyAlignment="1" applyProtection="1">
      <alignment horizontal="center" vertical="center" wrapText="1"/>
    </xf>
    <xf numFmtId="0" fontId="182" fillId="16" borderId="16" xfId="1" applyNumberFormat="1" applyFont="1" applyFill="1" applyBorder="1" applyAlignment="1" applyProtection="1">
      <alignment horizontal="center" vertical="center" wrapText="1"/>
    </xf>
    <xf numFmtId="0" fontId="182" fillId="6" borderId="247" xfId="1" applyNumberFormat="1" applyFont="1" applyFill="1" applyBorder="1" applyAlignment="1" applyProtection="1">
      <alignment horizontal="center" vertical="center" wrapText="1"/>
    </xf>
    <xf numFmtId="0" fontId="182" fillId="6" borderId="242" xfId="1" applyNumberFormat="1" applyFont="1" applyFill="1" applyBorder="1" applyAlignment="1" applyProtection="1">
      <alignment horizontal="center" vertical="center" wrapText="1"/>
    </xf>
    <xf numFmtId="0" fontId="182" fillId="6" borderId="298" xfId="1" applyNumberFormat="1" applyFont="1" applyFill="1" applyBorder="1" applyAlignment="1" applyProtection="1">
      <alignment horizontal="center" vertical="center" wrapText="1"/>
    </xf>
    <xf numFmtId="0" fontId="114" fillId="0" borderId="14" xfId="0" applyFont="1" applyBorder="1" applyAlignment="1">
      <alignment vertical="center" wrapText="1"/>
    </xf>
    <xf numFmtId="0" fontId="114" fillId="0" borderId="4" xfId="0" applyFont="1" applyBorder="1" applyAlignment="1">
      <alignment vertical="center"/>
    </xf>
    <xf numFmtId="0" fontId="114" fillId="0" borderId="19" xfId="0" applyFont="1" applyBorder="1" applyAlignment="1">
      <alignment horizontal="center"/>
    </xf>
    <xf numFmtId="0" fontId="114" fillId="0" borderId="20" xfId="0" applyFont="1" applyBorder="1" applyAlignment="1">
      <alignment horizontal="center"/>
    </xf>
    <xf numFmtId="0" fontId="114" fillId="0" borderId="234" xfId="0" applyFont="1" applyBorder="1" applyAlignment="1">
      <alignment horizontal="center"/>
    </xf>
    <xf numFmtId="0" fontId="114" fillId="0" borderId="31" xfId="0" applyFont="1" applyBorder="1" applyAlignment="1">
      <alignment horizontal="center"/>
    </xf>
    <xf numFmtId="0" fontId="184" fillId="0" borderId="3" xfId="1" applyNumberFormat="1" applyFont="1" applyFill="1" applyBorder="1" applyAlignment="1" applyProtection="1"/>
    <xf numFmtId="0" fontId="183" fillId="2" borderId="6" xfId="0" applyFont="1" applyFill="1" applyBorder="1"/>
    <xf numFmtId="181" fontId="183" fillId="22" borderId="0" xfId="0" applyNumberFormat="1" applyFont="1" applyFill="1" applyAlignment="1" applyProtection="1">
      <alignment horizontal="right"/>
      <protection locked="0"/>
    </xf>
    <xf numFmtId="181" fontId="183" fillId="24" borderId="0" xfId="0" applyNumberFormat="1" applyFont="1" applyFill="1" applyAlignment="1" applyProtection="1">
      <alignment horizontal="right"/>
      <protection locked="0"/>
    </xf>
    <xf numFmtId="0" fontId="83" fillId="24" borderId="31" xfId="0" applyFont="1" applyFill="1" applyBorder="1" applyAlignment="1">
      <alignment horizontal="right"/>
    </xf>
    <xf numFmtId="0" fontId="184" fillId="0" borderId="3" xfId="1" applyNumberFormat="1" applyFont="1" applyFill="1" applyBorder="1" applyAlignment="1" applyProtection="1">
      <alignment horizontal="left" indent="1"/>
    </xf>
    <xf numFmtId="0" fontId="183" fillId="2" borderId="0" xfId="0" applyFont="1" applyFill="1"/>
    <xf numFmtId="0" fontId="183" fillId="24" borderId="31" xfId="0" applyFont="1" applyFill="1" applyBorder="1" applyAlignment="1">
      <alignment horizontal="right"/>
    </xf>
    <xf numFmtId="0" fontId="183" fillId="0" borderId="31" xfId="0" applyFont="1" applyBorder="1" applyAlignment="1">
      <alignment horizontal="right"/>
    </xf>
    <xf numFmtId="0" fontId="186" fillId="24" borderId="12" xfId="1" applyNumberFormat="1" applyFont="1" applyFill="1" applyBorder="1" applyAlignment="1" applyProtection="1"/>
    <xf numFmtId="0" fontId="183" fillId="24" borderId="10" xfId="0" applyFont="1" applyFill="1" applyBorder="1"/>
    <xf numFmtId="181" fontId="112" fillId="24" borderId="10" xfId="0" applyNumberFormat="1" applyFont="1" applyFill="1" applyBorder="1" applyAlignment="1">
      <alignment horizontal="right"/>
    </xf>
    <xf numFmtId="0" fontId="112" fillId="24" borderId="37" xfId="0" applyFont="1" applyFill="1" applyBorder="1" applyAlignment="1">
      <alignment horizontal="right"/>
    </xf>
    <xf numFmtId="181" fontId="187" fillId="24" borderId="0" xfId="0" applyNumberFormat="1" applyFont="1" applyFill="1" applyAlignment="1">
      <alignment horizontal="right"/>
    </xf>
    <xf numFmtId="0" fontId="187" fillId="24" borderId="31" xfId="0" applyFont="1" applyFill="1" applyBorder="1" applyAlignment="1">
      <alignment horizontal="right"/>
    </xf>
    <xf numFmtId="0" fontId="184" fillId="0" borderId="12" xfId="1" applyNumberFormat="1" applyFont="1" applyFill="1" applyBorder="1" applyAlignment="1" applyProtection="1"/>
    <xf numFmtId="0" fontId="183" fillId="2" borderId="10" xfId="0" applyFont="1" applyFill="1" applyBorder="1"/>
    <xf numFmtId="181" fontId="183" fillId="24" borderId="10" xfId="0" applyNumberFormat="1" applyFont="1" applyFill="1" applyBorder="1" applyAlignment="1" applyProtection="1">
      <alignment horizontal="right"/>
      <protection locked="0"/>
    </xf>
    <xf numFmtId="0" fontId="183" fillId="24" borderId="37" xfId="0" applyFont="1" applyFill="1" applyBorder="1" applyAlignment="1">
      <alignment horizontal="right"/>
    </xf>
    <xf numFmtId="0" fontId="186" fillId="24" borderId="12" xfId="1" applyNumberFormat="1" applyFont="1" applyFill="1" applyBorder="1" applyAlignment="1" applyProtection="1">
      <alignment horizontal="left" indent="1"/>
    </xf>
    <xf numFmtId="0" fontId="184" fillId="0" borderId="3" xfId="1" applyNumberFormat="1" applyFont="1" applyFill="1" applyBorder="1" applyAlignment="1" applyProtection="1">
      <alignment horizontal="left" indent="2"/>
    </xf>
    <xf numFmtId="0" fontId="188" fillId="0" borderId="3" xfId="1" applyNumberFormat="1" applyFont="1" applyFill="1" applyBorder="1" applyAlignment="1" applyProtection="1">
      <alignment horizontal="left" indent="3"/>
    </xf>
    <xf numFmtId="181" fontId="189" fillId="24" borderId="0" xfId="0" applyNumberFormat="1" applyFont="1" applyFill="1" applyAlignment="1" applyProtection="1">
      <alignment horizontal="right"/>
      <protection locked="0"/>
    </xf>
    <xf numFmtId="0" fontId="189" fillId="24" borderId="31" xfId="0" applyFont="1" applyFill="1" applyBorder="1" applyAlignment="1">
      <alignment horizontal="right"/>
    </xf>
    <xf numFmtId="0" fontId="183" fillId="0" borderId="3" xfId="0" applyFont="1" applyBorder="1" applyAlignment="1">
      <alignment horizontal="left" indent="1"/>
    </xf>
    <xf numFmtId="0" fontId="183" fillId="0" borderId="13" xfId="0" applyFont="1" applyBorder="1" applyAlignment="1">
      <alignment horizontal="left" indent="1"/>
    </xf>
    <xf numFmtId="0" fontId="183" fillId="2" borderId="5" xfId="0" applyFont="1" applyFill="1" applyBorder="1"/>
    <xf numFmtId="181" fontId="183" fillId="24" borderId="5" xfId="0" applyNumberFormat="1" applyFont="1" applyFill="1" applyBorder="1" applyAlignment="1" applyProtection="1">
      <alignment horizontal="right"/>
      <protection locked="0"/>
    </xf>
    <xf numFmtId="0" fontId="183" fillId="24" borderId="38" xfId="0" applyFont="1" applyFill="1" applyBorder="1" applyAlignment="1">
      <alignment horizontal="right"/>
    </xf>
    <xf numFmtId="0" fontId="183" fillId="22" borderId="31" xfId="0" applyFont="1" applyFill="1" applyBorder="1" applyAlignment="1">
      <alignment horizontal="right"/>
    </xf>
    <xf numFmtId="0" fontId="189" fillId="0" borderId="3" xfId="0" applyFont="1" applyBorder="1"/>
    <xf numFmtId="0" fontId="189" fillId="0" borderId="13" xfId="0" applyFont="1" applyBorder="1"/>
    <xf numFmtId="0" fontId="183" fillId="0" borderId="0" xfId="0" applyFont="1" applyAlignment="1">
      <alignment horizontal="center"/>
    </xf>
    <xf numFmtId="4" fontId="83" fillId="23" borderId="207" xfId="0" applyNumberFormat="1" applyFont="1" applyFill="1" applyBorder="1" applyAlignment="1" applyProtection="1">
      <alignment horizontal="right"/>
      <protection locked="0"/>
    </xf>
    <xf numFmtId="4" fontId="183" fillId="19" borderId="0" xfId="0" applyNumberFormat="1" applyFont="1" applyFill="1" applyAlignment="1" applyProtection="1">
      <alignment horizontal="right"/>
      <protection locked="0"/>
    </xf>
    <xf numFmtId="4" fontId="183" fillId="76" borderId="0" xfId="0" applyNumberFormat="1" applyFont="1" applyFill="1" applyAlignment="1" applyProtection="1">
      <alignment horizontal="right"/>
      <protection locked="0"/>
    </xf>
    <xf numFmtId="4" fontId="183" fillId="24" borderId="233" xfId="0" applyNumberFormat="1" applyFont="1" applyFill="1" applyBorder="1" applyAlignment="1" applyProtection="1">
      <alignment horizontal="right"/>
      <protection locked="0"/>
    </xf>
    <xf numFmtId="4" fontId="183" fillId="21" borderId="0" xfId="0" applyNumberFormat="1" applyFont="1" applyFill="1" applyAlignment="1" applyProtection="1">
      <alignment horizontal="right"/>
      <protection locked="0"/>
    </xf>
    <xf numFmtId="4" fontId="183" fillId="77" borderId="0" xfId="0" applyNumberFormat="1" applyFont="1" applyFill="1" applyAlignment="1">
      <alignment horizontal="right"/>
    </xf>
    <xf numFmtId="4" fontId="183" fillId="22" borderId="0" xfId="0" applyNumberFormat="1" applyFont="1" applyFill="1" applyAlignment="1" applyProtection="1">
      <alignment horizontal="right"/>
      <protection locked="0"/>
    </xf>
    <xf numFmtId="4" fontId="183" fillId="24" borderId="0" xfId="0" applyNumberFormat="1" applyFont="1" applyFill="1" applyAlignment="1" applyProtection="1">
      <alignment horizontal="right"/>
      <protection locked="0"/>
    </xf>
    <xf numFmtId="4" fontId="183" fillId="78" borderId="0" xfId="0" applyNumberFormat="1" applyFont="1" applyFill="1" applyAlignment="1">
      <alignment horizontal="right"/>
    </xf>
    <xf numFmtId="4" fontId="183" fillId="23" borderId="0" xfId="0" applyNumberFormat="1" applyFont="1" applyFill="1" applyAlignment="1" applyProtection="1">
      <alignment horizontal="right"/>
      <protection locked="0"/>
    </xf>
    <xf numFmtId="4" fontId="185" fillId="23" borderId="207" xfId="0" applyNumberFormat="1" applyFont="1" applyFill="1" applyBorder="1" applyAlignment="1" applyProtection="1">
      <alignment horizontal="right"/>
      <protection locked="0"/>
    </xf>
    <xf numFmtId="4" fontId="183" fillId="20" borderId="233" xfId="0" applyNumberFormat="1" applyFont="1" applyFill="1" applyBorder="1" applyAlignment="1" applyProtection="1">
      <alignment horizontal="right"/>
      <protection locked="0"/>
    </xf>
    <xf numFmtId="4" fontId="183" fillId="79" borderId="0" xfId="0" applyNumberFormat="1" applyFont="1" applyFill="1" applyAlignment="1">
      <alignment horizontal="right"/>
    </xf>
    <xf numFmtId="4" fontId="183" fillId="0" borderId="0" xfId="0" applyNumberFormat="1" applyFont="1" applyAlignment="1" applyProtection="1">
      <alignment horizontal="right"/>
      <protection locked="0"/>
    </xf>
    <xf numFmtId="4" fontId="183" fillId="12" borderId="0" xfId="0" applyNumberFormat="1" applyFont="1" applyFill="1" applyAlignment="1" applyProtection="1">
      <alignment horizontal="right"/>
      <protection locked="0"/>
    </xf>
    <xf numFmtId="4" fontId="112" fillId="24" borderId="10" xfId="0" applyNumberFormat="1" applyFont="1" applyFill="1" applyBorder="1" applyAlignment="1">
      <alignment horizontal="right"/>
    </xf>
    <xf numFmtId="4" fontId="112" fillId="24" borderId="235" xfId="0" applyNumberFormat="1" applyFont="1" applyFill="1" applyBorder="1" applyAlignment="1">
      <alignment horizontal="right"/>
    </xf>
    <xf numFmtId="4" fontId="112" fillId="24" borderId="236" xfId="0" applyNumberFormat="1" applyFont="1" applyFill="1" applyBorder="1" applyAlignment="1">
      <alignment horizontal="right"/>
    </xf>
    <xf numFmtId="4" fontId="183" fillId="24" borderId="234" xfId="0" applyNumberFormat="1" applyFont="1" applyFill="1" applyBorder="1" applyAlignment="1" applyProtection="1">
      <alignment horizontal="right"/>
      <protection locked="0"/>
    </xf>
    <xf numFmtId="4" fontId="187" fillId="23" borderId="0" xfId="0" applyNumberFormat="1" applyFont="1" applyFill="1" applyAlignment="1">
      <alignment horizontal="right"/>
    </xf>
    <xf numFmtId="4" fontId="187" fillId="24" borderId="0" xfId="0" applyNumberFormat="1" applyFont="1" applyFill="1" applyAlignment="1">
      <alignment horizontal="right"/>
    </xf>
    <xf numFmtId="4" fontId="187" fillId="23" borderId="234" xfId="0" applyNumberFormat="1" applyFont="1" applyFill="1" applyBorder="1" applyAlignment="1">
      <alignment horizontal="right"/>
    </xf>
    <xf numFmtId="4" fontId="187" fillId="19" borderId="0" xfId="0" applyNumberFormat="1" applyFont="1" applyFill="1" applyAlignment="1">
      <alignment horizontal="right"/>
    </xf>
    <xf numFmtId="4" fontId="187" fillId="76" borderId="0" xfId="0" applyNumberFormat="1" applyFont="1" applyFill="1" applyAlignment="1">
      <alignment horizontal="right"/>
    </xf>
    <xf numFmtId="4" fontId="187" fillId="21" borderId="0" xfId="0" applyNumberFormat="1" applyFont="1" applyFill="1" applyAlignment="1">
      <alignment horizontal="right"/>
    </xf>
    <xf numFmtId="4" fontId="187" fillId="21" borderId="234" xfId="0" applyNumberFormat="1" applyFont="1" applyFill="1" applyBorder="1" applyAlignment="1">
      <alignment horizontal="right"/>
    </xf>
    <xf numFmtId="4" fontId="187" fillId="22" borderId="0" xfId="0" applyNumberFormat="1" applyFont="1" applyFill="1" applyAlignment="1">
      <alignment horizontal="right"/>
    </xf>
    <xf numFmtId="4" fontId="183" fillId="26" borderId="233" xfId="0" applyNumberFormat="1" applyFont="1" applyFill="1" applyBorder="1" applyAlignment="1" applyProtection="1">
      <alignment horizontal="right"/>
      <protection locked="0"/>
    </xf>
    <xf numFmtId="4" fontId="183" fillId="23" borderId="234" xfId="0" applyNumberFormat="1" applyFont="1" applyFill="1" applyBorder="1" applyAlignment="1" applyProtection="1">
      <alignment horizontal="right"/>
      <protection locked="0"/>
    </xf>
    <xf numFmtId="4" fontId="183" fillId="21" borderId="234" xfId="0" applyNumberFormat="1" applyFont="1" applyFill="1" applyBorder="1" applyAlignment="1" applyProtection="1">
      <alignment horizontal="right"/>
      <protection locked="0"/>
    </xf>
    <xf numFmtId="4" fontId="183" fillId="76" borderId="322" xfId="0" applyNumberFormat="1" applyFont="1" applyFill="1" applyBorder="1" applyAlignment="1" applyProtection="1">
      <alignment horizontal="right"/>
      <protection locked="0"/>
    </xf>
    <xf numFmtId="4" fontId="183" fillId="23" borderId="10" xfId="0" applyNumberFormat="1" applyFont="1" applyFill="1" applyBorder="1" applyAlignment="1" applyProtection="1">
      <alignment horizontal="right"/>
      <protection locked="0"/>
    </xf>
    <xf numFmtId="4" fontId="183" fillId="24" borderId="10" xfId="0" applyNumberFormat="1" applyFont="1" applyFill="1" applyBorder="1" applyAlignment="1" applyProtection="1">
      <alignment horizontal="right"/>
      <protection locked="0"/>
    </xf>
    <xf numFmtId="4" fontId="183" fillId="23" borderId="235" xfId="0" applyNumberFormat="1" applyFont="1" applyFill="1" applyBorder="1" applyAlignment="1" applyProtection="1">
      <alignment horizontal="right"/>
      <protection locked="0"/>
    </xf>
    <xf numFmtId="4" fontId="183" fillId="19" borderId="10" xfId="0" applyNumberFormat="1" applyFont="1" applyFill="1" applyBorder="1" applyAlignment="1" applyProtection="1">
      <alignment horizontal="right"/>
      <protection locked="0"/>
    </xf>
    <xf numFmtId="4" fontId="183" fillId="76" borderId="323" xfId="0" applyNumberFormat="1" applyFont="1" applyFill="1" applyBorder="1" applyAlignment="1" applyProtection="1">
      <alignment horizontal="right"/>
      <protection locked="0"/>
    </xf>
    <xf numFmtId="4" fontId="183" fillId="20" borderId="236" xfId="0" applyNumberFormat="1" applyFont="1" applyFill="1" applyBorder="1" applyAlignment="1" applyProtection="1">
      <alignment horizontal="right"/>
      <protection locked="0"/>
    </xf>
    <xf numFmtId="4" fontId="183" fillId="21" borderId="10" xfId="0" applyNumberFormat="1" applyFont="1" applyFill="1" applyBorder="1" applyAlignment="1" applyProtection="1">
      <alignment horizontal="right"/>
      <protection locked="0"/>
    </xf>
    <xf numFmtId="4" fontId="183" fillId="21" borderId="235" xfId="0" applyNumberFormat="1" applyFont="1" applyFill="1" applyBorder="1" applyAlignment="1" applyProtection="1">
      <alignment horizontal="right"/>
      <protection locked="0"/>
    </xf>
    <xf numFmtId="4" fontId="183" fillId="22" borderId="10" xfId="0" applyNumberFormat="1" applyFont="1" applyFill="1" applyBorder="1" applyAlignment="1" applyProtection="1">
      <alignment horizontal="right"/>
      <protection locked="0"/>
    </xf>
    <xf numFmtId="4" fontId="189" fillId="23" borderId="0" xfId="0" applyNumberFormat="1" applyFont="1" applyFill="1" applyAlignment="1" applyProtection="1">
      <alignment horizontal="right"/>
      <protection locked="0"/>
    </xf>
    <xf numFmtId="4" fontId="189" fillId="24" borderId="0" xfId="0" applyNumberFormat="1" applyFont="1" applyFill="1" applyAlignment="1" applyProtection="1">
      <alignment horizontal="right"/>
      <protection locked="0"/>
    </xf>
    <xf numFmtId="4" fontId="189" fillId="23" borderId="234" xfId="0" applyNumberFormat="1" applyFont="1" applyFill="1" applyBorder="1" applyAlignment="1" applyProtection="1">
      <alignment horizontal="right"/>
      <protection locked="0"/>
    </xf>
    <xf numFmtId="4" fontId="189" fillId="19" borderId="0" xfId="0" applyNumberFormat="1" applyFont="1" applyFill="1" applyAlignment="1" applyProtection="1">
      <alignment horizontal="right"/>
      <protection locked="0"/>
    </xf>
    <xf numFmtId="4" fontId="183" fillId="76" borderId="5" xfId="0" applyNumberFormat="1" applyFont="1" applyFill="1" applyBorder="1" applyAlignment="1" applyProtection="1">
      <alignment horizontal="right"/>
      <protection locked="0"/>
    </xf>
    <xf numFmtId="4" fontId="189" fillId="20" borderId="233" xfId="0" applyNumberFormat="1" applyFont="1" applyFill="1" applyBorder="1" applyAlignment="1" applyProtection="1">
      <alignment horizontal="right"/>
      <protection locked="0"/>
    </xf>
    <xf numFmtId="4" fontId="189" fillId="21" borderId="0" xfId="0" applyNumberFormat="1" applyFont="1" applyFill="1" applyAlignment="1" applyProtection="1">
      <alignment horizontal="right"/>
      <protection locked="0"/>
    </xf>
    <xf numFmtId="4" fontId="189" fillId="24" borderId="234" xfId="0" applyNumberFormat="1" applyFont="1" applyFill="1" applyBorder="1" applyAlignment="1" applyProtection="1">
      <alignment horizontal="right"/>
      <protection locked="0"/>
    </xf>
    <xf numFmtId="4" fontId="183" fillId="23" borderId="5" xfId="0" applyNumberFormat="1" applyFont="1" applyFill="1" applyBorder="1" applyAlignment="1" applyProtection="1">
      <alignment horizontal="right"/>
      <protection locked="0"/>
    </xf>
    <xf numFmtId="4" fontId="183" fillId="23" borderId="238" xfId="0" applyNumberFormat="1" applyFont="1" applyFill="1" applyBorder="1" applyAlignment="1" applyProtection="1">
      <alignment horizontal="right"/>
      <protection locked="0"/>
    </xf>
    <xf numFmtId="4" fontId="183" fillId="19" borderId="5" xfId="0" applyNumberFormat="1" applyFont="1" applyFill="1" applyBorder="1" applyAlignment="1" applyProtection="1">
      <alignment horizontal="right"/>
      <protection locked="0"/>
    </xf>
    <xf numFmtId="4" fontId="183" fillId="24" borderId="5" xfId="0" applyNumberFormat="1" applyFont="1" applyFill="1" applyBorder="1" applyAlignment="1" applyProtection="1">
      <alignment horizontal="right"/>
      <protection locked="0"/>
    </xf>
    <xf numFmtId="4" fontId="183" fillId="20" borderId="239" xfId="0" applyNumberFormat="1" applyFont="1" applyFill="1" applyBorder="1" applyAlignment="1" applyProtection="1">
      <alignment horizontal="right"/>
      <protection locked="0"/>
    </xf>
    <xf numFmtId="4" fontId="183" fillId="21" borderId="5" xfId="0" applyNumberFormat="1" applyFont="1" applyFill="1" applyBorder="1" applyAlignment="1" applyProtection="1">
      <alignment horizontal="right"/>
      <protection locked="0"/>
    </xf>
    <xf numFmtId="4" fontId="183" fillId="22" borderId="5" xfId="0" applyNumberFormat="1" applyFont="1" applyFill="1" applyBorder="1" applyAlignment="1" applyProtection="1">
      <alignment horizontal="right"/>
      <protection locked="0"/>
    </xf>
    <xf numFmtId="4" fontId="183" fillId="24" borderId="295" xfId="0" applyNumberFormat="1" applyFont="1" applyFill="1" applyBorder="1" applyAlignment="1" applyProtection="1">
      <alignment horizontal="right"/>
      <protection locked="0"/>
    </xf>
    <xf numFmtId="4" fontId="183" fillId="24" borderId="238" xfId="0" applyNumberFormat="1" applyFont="1" applyFill="1" applyBorder="1" applyAlignment="1" applyProtection="1">
      <alignment horizontal="right"/>
      <protection locked="0"/>
    </xf>
    <xf numFmtId="4" fontId="183" fillId="24" borderId="239" xfId="0" applyNumberFormat="1" applyFont="1" applyFill="1" applyBorder="1" applyAlignment="1" applyProtection="1">
      <alignment horizontal="right"/>
      <protection locked="0"/>
    </xf>
  </cellXfs>
  <cellStyles count="557">
    <cellStyle name="20% - Accent1" xfId="20" builtinId="30" customBuiltin="1"/>
    <cellStyle name="20% - Accent1 2" xfId="182" xr:uid="{00000000-0005-0000-0000-000001000000}"/>
    <cellStyle name="20% - Accent1 2 2" xfId="183" xr:uid="{00000000-0005-0000-0000-000002000000}"/>
    <cellStyle name="20% - Accent1 2 2 2" xfId="459" xr:uid="{00000000-0005-0000-0000-000003000000}"/>
    <cellStyle name="20% - Accent1 2 3" xfId="458" xr:uid="{00000000-0005-0000-0000-000004000000}"/>
    <cellStyle name="20% - Accent1 3" xfId="402" xr:uid="{00000000-0005-0000-0000-000005000000}"/>
    <cellStyle name="20% - Accent1 4" xfId="58" xr:uid="{00000000-0005-0000-0000-000006000000}"/>
    <cellStyle name="20% - Accent2" xfId="24" builtinId="34" customBuiltin="1"/>
    <cellStyle name="20% - Accent2 2" xfId="184" xr:uid="{00000000-0005-0000-0000-000008000000}"/>
    <cellStyle name="20% - Accent2 2 2" xfId="185" xr:uid="{00000000-0005-0000-0000-000009000000}"/>
    <cellStyle name="20% - Accent2 2 2 2" xfId="461" xr:uid="{00000000-0005-0000-0000-00000A000000}"/>
    <cellStyle name="20% - Accent2 2 3" xfId="460" xr:uid="{00000000-0005-0000-0000-00000B000000}"/>
    <cellStyle name="20% - Accent2 3" xfId="404" xr:uid="{00000000-0005-0000-0000-00000C000000}"/>
    <cellStyle name="20% - Accent2 4" xfId="60" xr:uid="{00000000-0005-0000-0000-00000D000000}"/>
    <cellStyle name="20% - Accent3" xfId="28" builtinId="38" customBuiltin="1"/>
    <cellStyle name="20% - Accent3 2" xfId="186" xr:uid="{00000000-0005-0000-0000-00000F000000}"/>
    <cellStyle name="20% - Accent3 2 2" xfId="187" xr:uid="{00000000-0005-0000-0000-000010000000}"/>
    <cellStyle name="20% - Accent3 2 2 2" xfId="463" xr:uid="{00000000-0005-0000-0000-000011000000}"/>
    <cellStyle name="20% - Accent3 2 3" xfId="462" xr:uid="{00000000-0005-0000-0000-000012000000}"/>
    <cellStyle name="20% - Accent3 3" xfId="406" xr:uid="{00000000-0005-0000-0000-000013000000}"/>
    <cellStyle name="20% - Accent3 4" xfId="62" xr:uid="{00000000-0005-0000-0000-000014000000}"/>
    <cellStyle name="20% - Accent4" xfId="32" builtinId="42" customBuiltin="1"/>
    <cellStyle name="20% - Accent4 2" xfId="188" xr:uid="{00000000-0005-0000-0000-000016000000}"/>
    <cellStyle name="20% - Accent4 2 2" xfId="189" xr:uid="{00000000-0005-0000-0000-000017000000}"/>
    <cellStyle name="20% - Accent4 2 2 2" xfId="465" xr:uid="{00000000-0005-0000-0000-000018000000}"/>
    <cellStyle name="20% - Accent4 2 3" xfId="464" xr:uid="{00000000-0005-0000-0000-000019000000}"/>
    <cellStyle name="20% - Accent4 3" xfId="408" xr:uid="{00000000-0005-0000-0000-00001A000000}"/>
    <cellStyle name="20% - Accent4 4" xfId="64" xr:uid="{00000000-0005-0000-0000-00001B000000}"/>
    <cellStyle name="20% - Accent5" xfId="36" builtinId="46" customBuiltin="1"/>
    <cellStyle name="20% - Accent5 2" xfId="190" xr:uid="{00000000-0005-0000-0000-00001D000000}"/>
    <cellStyle name="20% - Accent5 2 2" xfId="191" xr:uid="{00000000-0005-0000-0000-00001E000000}"/>
    <cellStyle name="20% - Accent5 2 2 2" xfId="467" xr:uid="{00000000-0005-0000-0000-00001F000000}"/>
    <cellStyle name="20% - Accent5 2 3" xfId="466" xr:uid="{00000000-0005-0000-0000-000020000000}"/>
    <cellStyle name="20% - Accent5 3" xfId="410" xr:uid="{00000000-0005-0000-0000-000021000000}"/>
    <cellStyle name="20% - Accent5 4" xfId="66" xr:uid="{00000000-0005-0000-0000-000022000000}"/>
    <cellStyle name="20% - Accent6" xfId="40" builtinId="50" customBuiltin="1"/>
    <cellStyle name="20% - Accent6 2" xfId="192" xr:uid="{00000000-0005-0000-0000-000024000000}"/>
    <cellStyle name="20% - Accent6 2 2" xfId="193" xr:uid="{00000000-0005-0000-0000-000025000000}"/>
    <cellStyle name="20% - Accent6 2 2 2" xfId="469" xr:uid="{00000000-0005-0000-0000-000026000000}"/>
    <cellStyle name="20% - Accent6 2 3" xfId="468" xr:uid="{00000000-0005-0000-0000-000027000000}"/>
    <cellStyle name="20% - Accent6 3" xfId="412" xr:uid="{00000000-0005-0000-0000-000028000000}"/>
    <cellStyle name="20% - Accent6 4" xfId="68" xr:uid="{00000000-0005-0000-0000-000029000000}"/>
    <cellStyle name="40% - Accent1" xfId="21" builtinId="31" customBuiltin="1"/>
    <cellStyle name="40% - Accent1 2" xfId="194" xr:uid="{00000000-0005-0000-0000-00002B000000}"/>
    <cellStyle name="40% - Accent1 2 2" xfId="195" xr:uid="{00000000-0005-0000-0000-00002C000000}"/>
    <cellStyle name="40% - Accent1 2 2 2" xfId="471" xr:uid="{00000000-0005-0000-0000-00002D000000}"/>
    <cellStyle name="40% - Accent1 2 3" xfId="470" xr:uid="{00000000-0005-0000-0000-00002E000000}"/>
    <cellStyle name="40% - Accent1 3" xfId="403" xr:uid="{00000000-0005-0000-0000-00002F000000}"/>
    <cellStyle name="40% - Accent1 4" xfId="59" xr:uid="{00000000-0005-0000-0000-000030000000}"/>
    <cellStyle name="40% - Accent2" xfId="25" builtinId="35" customBuiltin="1"/>
    <cellStyle name="40% - Accent2 2" xfId="196" xr:uid="{00000000-0005-0000-0000-000032000000}"/>
    <cellStyle name="40% - Accent2 2 2" xfId="197" xr:uid="{00000000-0005-0000-0000-000033000000}"/>
    <cellStyle name="40% - Accent2 2 2 2" xfId="473" xr:uid="{00000000-0005-0000-0000-000034000000}"/>
    <cellStyle name="40% - Accent2 2 3" xfId="472" xr:uid="{00000000-0005-0000-0000-000035000000}"/>
    <cellStyle name="40% - Accent2 3" xfId="405" xr:uid="{00000000-0005-0000-0000-000036000000}"/>
    <cellStyle name="40% - Accent2 4" xfId="61" xr:uid="{00000000-0005-0000-0000-000037000000}"/>
    <cellStyle name="40% - Accent3" xfId="29" builtinId="39" customBuiltin="1"/>
    <cellStyle name="40% - Accent3 2" xfId="198" xr:uid="{00000000-0005-0000-0000-000039000000}"/>
    <cellStyle name="40% - Accent3 2 2" xfId="199" xr:uid="{00000000-0005-0000-0000-00003A000000}"/>
    <cellStyle name="40% - Accent3 2 2 2" xfId="475" xr:uid="{00000000-0005-0000-0000-00003B000000}"/>
    <cellStyle name="40% - Accent3 2 3" xfId="474" xr:uid="{00000000-0005-0000-0000-00003C000000}"/>
    <cellStyle name="40% - Accent3 3" xfId="407" xr:uid="{00000000-0005-0000-0000-00003D000000}"/>
    <cellStyle name="40% - Accent3 4" xfId="63" xr:uid="{00000000-0005-0000-0000-00003E000000}"/>
    <cellStyle name="40% - Accent4" xfId="33" builtinId="43" customBuiltin="1"/>
    <cellStyle name="40% - Accent4 2" xfId="200" xr:uid="{00000000-0005-0000-0000-000040000000}"/>
    <cellStyle name="40% - Accent4 2 2" xfId="201" xr:uid="{00000000-0005-0000-0000-000041000000}"/>
    <cellStyle name="40% - Accent4 2 2 2" xfId="477" xr:uid="{00000000-0005-0000-0000-000042000000}"/>
    <cellStyle name="40% - Accent4 2 3" xfId="476" xr:uid="{00000000-0005-0000-0000-000043000000}"/>
    <cellStyle name="40% - Accent4 3" xfId="409" xr:uid="{00000000-0005-0000-0000-000044000000}"/>
    <cellStyle name="40% - Accent4 4" xfId="65" xr:uid="{00000000-0005-0000-0000-000045000000}"/>
    <cellStyle name="40% - Accent5" xfId="37" builtinId="47" customBuiltin="1"/>
    <cellStyle name="40% - Accent5 2" xfId="202" xr:uid="{00000000-0005-0000-0000-000047000000}"/>
    <cellStyle name="40% - Accent5 2 2" xfId="203" xr:uid="{00000000-0005-0000-0000-000048000000}"/>
    <cellStyle name="40% - Accent5 2 2 2" xfId="479" xr:uid="{00000000-0005-0000-0000-000049000000}"/>
    <cellStyle name="40% - Accent5 2 3" xfId="478" xr:uid="{00000000-0005-0000-0000-00004A000000}"/>
    <cellStyle name="40% - Accent5 3" xfId="411" xr:uid="{00000000-0005-0000-0000-00004B000000}"/>
    <cellStyle name="40% - Accent5 4" xfId="67" xr:uid="{00000000-0005-0000-0000-00004C000000}"/>
    <cellStyle name="40% - Accent6" xfId="41" builtinId="51" customBuiltin="1"/>
    <cellStyle name="40% - Accent6 2" xfId="204" xr:uid="{00000000-0005-0000-0000-00004E000000}"/>
    <cellStyle name="40% - Accent6 2 2" xfId="205" xr:uid="{00000000-0005-0000-0000-00004F000000}"/>
    <cellStyle name="40% - Accent6 2 2 2" xfId="481" xr:uid="{00000000-0005-0000-0000-000050000000}"/>
    <cellStyle name="40% - Accent6 2 3" xfId="480" xr:uid="{00000000-0005-0000-0000-000051000000}"/>
    <cellStyle name="40% - Accent6 3" xfId="413" xr:uid="{00000000-0005-0000-0000-000052000000}"/>
    <cellStyle name="40% - Accent6 4" xfId="69" xr:uid="{00000000-0005-0000-0000-000053000000}"/>
    <cellStyle name="5x indented GHG Textfiels" xfId="103" xr:uid="{00000000-0005-0000-0000-000054000000}"/>
    <cellStyle name="60% - Accent1" xfId="22" builtinId="32" customBuiltin="1"/>
    <cellStyle name="60% - Accent1 2" xfId="206" xr:uid="{00000000-0005-0000-0000-000056000000}"/>
    <cellStyle name="60% - Accent2" xfId="26" builtinId="36" customBuiltin="1"/>
    <cellStyle name="60% - Accent2 2" xfId="207" xr:uid="{00000000-0005-0000-0000-000058000000}"/>
    <cellStyle name="60% - Accent3" xfId="30" builtinId="40" customBuiltin="1"/>
    <cellStyle name="60% - Accent3 2" xfId="208" xr:uid="{00000000-0005-0000-0000-00005A000000}"/>
    <cellStyle name="60% - Accent4" xfId="34" builtinId="44" customBuiltin="1"/>
    <cellStyle name="60% - Accent4 2" xfId="209" xr:uid="{00000000-0005-0000-0000-00005C000000}"/>
    <cellStyle name="60% - Accent5" xfId="38" builtinId="48" customBuiltin="1"/>
    <cellStyle name="60% - Accent5 2" xfId="210" xr:uid="{00000000-0005-0000-0000-00005E000000}"/>
    <cellStyle name="60% - Accent6" xfId="42" builtinId="52" customBuiltin="1"/>
    <cellStyle name="60% - Accent6 2" xfId="211" xr:uid="{00000000-0005-0000-0000-000060000000}"/>
    <cellStyle name="Accent1" xfId="19" builtinId="29" customBuiltin="1"/>
    <cellStyle name="Accent1 2" xfId="212" xr:uid="{00000000-0005-0000-0000-000062000000}"/>
    <cellStyle name="Accent2" xfId="23" builtinId="33" customBuiltin="1"/>
    <cellStyle name="Accent2 2" xfId="213" xr:uid="{00000000-0005-0000-0000-000064000000}"/>
    <cellStyle name="Accent3" xfId="27" builtinId="37" customBuiltin="1"/>
    <cellStyle name="Accent3 2" xfId="214" xr:uid="{00000000-0005-0000-0000-000066000000}"/>
    <cellStyle name="Accent4" xfId="31" builtinId="41" customBuiltin="1"/>
    <cellStyle name="Accent4 2" xfId="215" xr:uid="{00000000-0005-0000-0000-000068000000}"/>
    <cellStyle name="Accent5" xfId="35" builtinId="45" customBuiltin="1"/>
    <cellStyle name="Accent5 2" xfId="216" xr:uid="{00000000-0005-0000-0000-00006A000000}"/>
    <cellStyle name="Accent6" xfId="39" builtinId="49" customBuiltin="1"/>
    <cellStyle name="Accent6 2" xfId="217" xr:uid="{00000000-0005-0000-0000-00006C000000}"/>
    <cellStyle name="Bad" xfId="9" builtinId="27" customBuiltin="1"/>
    <cellStyle name="Bad 2" xfId="218" xr:uid="{00000000-0005-0000-0000-00006E000000}"/>
    <cellStyle name="Bad 3" xfId="219" xr:uid="{00000000-0005-0000-0000-00006F000000}"/>
    <cellStyle name="Bold GHG Numbers (0.00)" xfId="104" xr:uid="{00000000-0005-0000-0000-000070000000}"/>
    <cellStyle name="Calculation" xfId="13" builtinId="22" customBuiltin="1"/>
    <cellStyle name="Calculation 2" xfId="220" xr:uid="{00000000-0005-0000-0000-000072000000}"/>
    <cellStyle name="Check Cell" xfId="15" builtinId="23" customBuiltin="1"/>
    <cellStyle name="Check Cell 2" xfId="221" xr:uid="{00000000-0005-0000-0000-000074000000}"/>
    <cellStyle name="Comma 2" xfId="111" xr:uid="{00000000-0005-0000-0000-000075000000}"/>
    <cellStyle name="Comma 3" xfId="112" xr:uid="{00000000-0005-0000-0000-000076000000}"/>
    <cellStyle name="Comma 4" xfId="400" xr:uid="{00000000-0005-0000-0000-000077000000}"/>
    <cellStyle name="Cover" xfId="44" xr:uid="{00000000-0005-0000-0000-000078000000}"/>
    <cellStyle name="Cover 2" xfId="122" xr:uid="{00000000-0005-0000-0000-000079000000}"/>
    <cellStyle name="Cover 2 2" xfId="348" xr:uid="{00000000-0005-0000-0000-00007A000000}"/>
    <cellStyle name="Cover 2 3" xfId="374" xr:uid="{00000000-0005-0000-0000-00007B000000}"/>
    <cellStyle name="Cover 3" xfId="386" xr:uid="{00000000-0005-0000-0000-00007C000000}"/>
    <cellStyle name="Explanatory Text" xfId="17" builtinId="53" customBuiltin="1"/>
    <cellStyle name="Explanatory Text 2" xfId="222" xr:uid="{00000000-0005-0000-0000-00007E000000}"/>
    <cellStyle name="Good" xfId="8" builtinId="26" customBuiltin="1"/>
    <cellStyle name="Good 2" xfId="223" xr:uid="{00000000-0005-0000-0000-000080000000}"/>
    <cellStyle name="Good 3" xfId="224" xr:uid="{00000000-0005-0000-0000-000081000000}"/>
    <cellStyle name="Heading 1" xfId="4" builtinId="16" customBuiltin="1"/>
    <cellStyle name="Heading 1 2" xfId="225" xr:uid="{00000000-0005-0000-0000-000083000000}"/>
    <cellStyle name="Heading 2" xfId="5" builtinId="17" customBuiltin="1"/>
    <cellStyle name="Heading 2 2" xfId="226" xr:uid="{00000000-0005-0000-0000-000085000000}"/>
    <cellStyle name="Heading 3" xfId="6" builtinId="18" customBuiltin="1"/>
    <cellStyle name="Heading 3 2" xfId="227" xr:uid="{00000000-0005-0000-0000-000087000000}"/>
    <cellStyle name="Heading 4" xfId="7" builtinId="19" customBuiltin="1"/>
    <cellStyle name="Heading 4 2" xfId="228" xr:uid="{00000000-0005-0000-0000-000089000000}"/>
    <cellStyle name="Headline" xfId="105" xr:uid="{00000000-0005-0000-0000-00008A000000}"/>
    <cellStyle name="Hyperlink" xfId="1" builtinId="8"/>
    <cellStyle name="Hyperlink 2" xfId="45" xr:uid="{00000000-0005-0000-0000-00008C000000}"/>
    <cellStyle name="Hyperlink 2 2" xfId="74" xr:uid="{00000000-0005-0000-0000-00008D000000}"/>
    <cellStyle name="Hyperlink 2 2 2" xfId="229" xr:uid="{00000000-0005-0000-0000-00008E000000}"/>
    <cellStyle name="Hyperlink 2 2 3" xfId="373" xr:uid="{00000000-0005-0000-0000-00008F000000}"/>
    <cellStyle name="Hyperlink 2 3" xfId="340" xr:uid="{00000000-0005-0000-0000-000090000000}"/>
    <cellStyle name="Hyperlink 2 4" xfId="387" xr:uid="{00000000-0005-0000-0000-000091000000}"/>
    <cellStyle name="Hyperlink 3" xfId="230" xr:uid="{00000000-0005-0000-0000-000092000000}"/>
    <cellStyle name="Hyperlink 4" xfId="46" xr:uid="{00000000-0005-0000-0000-000093000000}"/>
    <cellStyle name="Hyperlink 5" xfId="550" xr:uid="{00000000-0005-0000-0000-000094000000}"/>
    <cellStyle name="Input" xfId="11" builtinId="20" customBuiltin="1"/>
    <cellStyle name="Input 2" xfId="231" xr:uid="{00000000-0005-0000-0000-000096000000}"/>
    <cellStyle name="Linked Cell" xfId="14" builtinId="24" customBuiltin="1"/>
    <cellStyle name="Linked Cell 2" xfId="232" xr:uid="{00000000-0005-0000-0000-000098000000}"/>
    <cellStyle name="Menu" xfId="47" xr:uid="{00000000-0005-0000-0000-000099000000}"/>
    <cellStyle name="Menu 2" xfId="346" xr:uid="{00000000-0005-0000-0000-00009A000000}"/>
    <cellStyle name="Neutral" xfId="10" builtinId="28" customBuiltin="1"/>
    <cellStyle name="Neutral 2" xfId="233" xr:uid="{00000000-0005-0000-0000-00009C000000}"/>
    <cellStyle name="Neutral 3" xfId="234" xr:uid="{00000000-0005-0000-0000-00009D000000}"/>
    <cellStyle name="Normal" xfId="0" builtinId="0"/>
    <cellStyle name="Normal 10" xfId="75" xr:uid="{00000000-0005-0000-0000-00009F000000}"/>
    <cellStyle name="Normal 10 2" xfId="76" xr:uid="{00000000-0005-0000-0000-0000A0000000}"/>
    <cellStyle name="Normal 10 2 2" xfId="121" xr:uid="{00000000-0005-0000-0000-0000A1000000}"/>
    <cellStyle name="Normal 10 2 2 2" xfId="115" xr:uid="{00000000-0005-0000-0000-0000A2000000}"/>
    <cellStyle name="Normal 10 2 2 2 2" xfId="235" xr:uid="{00000000-0005-0000-0000-0000A3000000}"/>
    <cellStyle name="Normal 10 2 2 2 2 2" xfId="482" xr:uid="{00000000-0005-0000-0000-0000A4000000}"/>
    <cellStyle name="Normal 10 2 2 2 3" xfId="417" xr:uid="{00000000-0005-0000-0000-0000A5000000}"/>
    <cellStyle name="Normal 10 2 2 3" xfId="236" xr:uid="{00000000-0005-0000-0000-0000A6000000}"/>
    <cellStyle name="Normal 10 2 2 3 2" xfId="483" xr:uid="{00000000-0005-0000-0000-0000A7000000}"/>
    <cellStyle name="Normal 10 2 2 4" xfId="420" xr:uid="{00000000-0005-0000-0000-0000A8000000}"/>
    <cellStyle name="Normal 10 2 2 5" xfId="549" xr:uid="{00000000-0005-0000-0000-0000A9000000}"/>
    <cellStyle name="Normal 10 2 2 5 2" xfId="553" xr:uid="{00000000-0005-0000-0000-0000AA000000}"/>
    <cellStyle name="Normal 10 2 3" xfId="120" xr:uid="{00000000-0005-0000-0000-0000AB000000}"/>
    <cellStyle name="Normal 10 2 3 2" xfId="237" xr:uid="{00000000-0005-0000-0000-0000AC000000}"/>
    <cellStyle name="Normal 10 2 3 2 2" xfId="484" xr:uid="{00000000-0005-0000-0000-0000AD000000}"/>
    <cellStyle name="Normal 10 2 3 3" xfId="419" xr:uid="{00000000-0005-0000-0000-0000AE000000}"/>
    <cellStyle name="Normal 10 2 4" xfId="238" xr:uid="{00000000-0005-0000-0000-0000AF000000}"/>
    <cellStyle name="Normal 10 2 4 2" xfId="485" xr:uid="{00000000-0005-0000-0000-0000B0000000}"/>
    <cellStyle name="Normal 10 2 5" xfId="147" xr:uid="{00000000-0005-0000-0000-0000B1000000}"/>
    <cellStyle name="Normal 10 2 5 2" xfId="435" xr:uid="{00000000-0005-0000-0000-0000B2000000}"/>
    <cellStyle name="Normal 10 2 6" xfId="356" xr:uid="{00000000-0005-0000-0000-0000B3000000}"/>
    <cellStyle name="Normal 10 3" xfId="119" xr:uid="{00000000-0005-0000-0000-0000B4000000}"/>
    <cellStyle name="Normal 10 3 2" xfId="151" xr:uid="{00000000-0005-0000-0000-0000B5000000}"/>
    <cellStyle name="Normal 10 3 2 2" xfId="239" xr:uid="{00000000-0005-0000-0000-0000B6000000}"/>
    <cellStyle name="Normal 10 3 2 2 2" xfId="486" xr:uid="{00000000-0005-0000-0000-0000B7000000}"/>
    <cellStyle name="Normal 10 3 2 3" xfId="437" xr:uid="{00000000-0005-0000-0000-0000B8000000}"/>
    <cellStyle name="Normal 10 3 3" xfId="240" xr:uid="{00000000-0005-0000-0000-0000B9000000}"/>
    <cellStyle name="Normal 10 3 3 2" xfId="487" xr:uid="{00000000-0005-0000-0000-0000BA000000}"/>
    <cellStyle name="Normal 10 3 4" xfId="418" xr:uid="{00000000-0005-0000-0000-0000BB000000}"/>
    <cellStyle name="Normal 10 4" xfId="130" xr:uid="{00000000-0005-0000-0000-0000BC000000}"/>
    <cellStyle name="Normal 10 4 2" xfId="241" xr:uid="{00000000-0005-0000-0000-0000BD000000}"/>
    <cellStyle name="Normal 10 4 2 2" xfId="488" xr:uid="{00000000-0005-0000-0000-0000BE000000}"/>
    <cellStyle name="Normal 10 4 3" xfId="423" xr:uid="{00000000-0005-0000-0000-0000BF000000}"/>
    <cellStyle name="Normal 10 5" xfId="242" xr:uid="{00000000-0005-0000-0000-0000C0000000}"/>
    <cellStyle name="Normal 10 5 2" xfId="489" xr:uid="{00000000-0005-0000-0000-0000C1000000}"/>
    <cellStyle name="Normal 10 6" xfId="129" xr:uid="{00000000-0005-0000-0000-0000C2000000}"/>
    <cellStyle name="Normal 10 6 2" xfId="422" xr:uid="{00000000-0005-0000-0000-0000C3000000}"/>
    <cellStyle name="Normal 10 7" xfId="368" xr:uid="{00000000-0005-0000-0000-0000C4000000}"/>
    <cellStyle name="Normal 11" xfId="77" xr:uid="{00000000-0005-0000-0000-0000C5000000}"/>
    <cellStyle name="Normal 11 2" xfId="78" xr:uid="{00000000-0005-0000-0000-0000C6000000}"/>
    <cellStyle name="Normal 12" xfId="79" xr:uid="{00000000-0005-0000-0000-0000C7000000}"/>
    <cellStyle name="Normal 12 2" xfId="80" xr:uid="{00000000-0005-0000-0000-0000C8000000}"/>
    <cellStyle name="Normal 12 2 2" xfId="154" xr:uid="{00000000-0005-0000-0000-0000C9000000}"/>
    <cellStyle name="Normal 12 2 3" xfId="369" xr:uid="{00000000-0005-0000-0000-0000CA000000}"/>
    <cellStyle name="Normal 12 3" xfId="116" xr:uid="{00000000-0005-0000-0000-0000CB000000}"/>
    <cellStyle name="Normal 12 4" xfId="365" xr:uid="{00000000-0005-0000-0000-0000CC000000}"/>
    <cellStyle name="Normal 13" xfId="81" xr:uid="{00000000-0005-0000-0000-0000CD000000}"/>
    <cellStyle name="Normal 13 2" xfId="82" xr:uid="{00000000-0005-0000-0000-0000CE000000}"/>
    <cellStyle name="Normal 13 3" xfId="125" xr:uid="{00000000-0005-0000-0000-0000CF000000}"/>
    <cellStyle name="Normal 13 4" xfId="354" xr:uid="{00000000-0005-0000-0000-0000D0000000}"/>
    <cellStyle name="Normal 14" xfId="83" xr:uid="{00000000-0005-0000-0000-0000D1000000}"/>
    <cellStyle name="Normal 14 2" xfId="84" xr:uid="{00000000-0005-0000-0000-0000D2000000}"/>
    <cellStyle name="Normal 14 2 2" xfId="243" xr:uid="{00000000-0005-0000-0000-0000D3000000}"/>
    <cellStyle name="Normal 14 2 2 2" xfId="490" xr:uid="{00000000-0005-0000-0000-0000D4000000}"/>
    <cellStyle name="Normal 14 2 3" xfId="361" xr:uid="{00000000-0005-0000-0000-0000D5000000}"/>
    <cellStyle name="Normal 14 3" xfId="174" xr:uid="{00000000-0005-0000-0000-0000D6000000}"/>
    <cellStyle name="Normal 14 3 2" xfId="454" xr:uid="{00000000-0005-0000-0000-0000D7000000}"/>
    <cellStyle name="Normal 14 4" xfId="351" xr:uid="{00000000-0005-0000-0000-0000D8000000}"/>
    <cellStyle name="Normal 15" xfId="73" xr:uid="{00000000-0005-0000-0000-0000D9000000}"/>
    <cellStyle name="Normal 15 2" xfId="102" xr:uid="{00000000-0005-0000-0000-0000DA000000}"/>
    <cellStyle name="Normal 15 2 2" xfId="244" xr:uid="{00000000-0005-0000-0000-0000DB000000}"/>
    <cellStyle name="Normal 15 2 2 2" xfId="491" xr:uid="{00000000-0005-0000-0000-0000DC000000}"/>
    <cellStyle name="Normal 15 2 3" xfId="124" xr:uid="{00000000-0005-0000-0000-0000DD000000}"/>
    <cellStyle name="Normal 15 3" xfId="175" xr:uid="{00000000-0005-0000-0000-0000DE000000}"/>
    <cellStyle name="Normal 15 3 2" xfId="455" xr:uid="{00000000-0005-0000-0000-0000DF000000}"/>
    <cellStyle name="Normal 15 4" xfId="364" xr:uid="{00000000-0005-0000-0000-0000E0000000}"/>
    <cellStyle name="Normal 16" xfId="176" xr:uid="{00000000-0005-0000-0000-0000E1000000}"/>
    <cellStyle name="Normal 16 2" xfId="246" xr:uid="{00000000-0005-0000-0000-0000E2000000}"/>
    <cellStyle name="Normal 16 3" xfId="247" xr:uid="{00000000-0005-0000-0000-0000E3000000}"/>
    <cellStyle name="Normal 16 4" xfId="245" xr:uid="{00000000-0005-0000-0000-0000E4000000}"/>
    <cellStyle name="Normal 16 5" xfId="342" xr:uid="{00000000-0005-0000-0000-0000E5000000}"/>
    <cellStyle name="Normal 16 5 2" xfId="543" xr:uid="{00000000-0005-0000-0000-0000E6000000}"/>
    <cellStyle name="Normal 16 6" xfId="341" xr:uid="{00000000-0005-0000-0000-0000E7000000}"/>
    <cellStyle name="Normal 16 7" xfId="456" xr:uid="{00000000-0005-0000-0000-0000E8000000}"/>
    <cellStyle name="Normal 17" xfId="177" xr:uid="{00000000-0005-0000-0000-0000E9000000}"/>
    <cellStyle name="Normal 17 2" xfId="248" xr:uid="{00000000-0005-0000-0000-0000EA000000}"/>
    <cellStyle name="Normal 17 3" xfId="339" xr:uid="{00000000-0005-0000-0000-0000EB000000}"/>
    <cellStyle name="Normal 17 3 2" xfId="542" xr:uid="{00000000-0005-0000-0000-0000EC000000}"/>
    <cellStyle name="Normal 17 4" xfId="343" xr:uid="{00000000-0005-0000-0000-0000ED000000}"/>
    <cellStyle name="Normal 17 5" xfId="457" xr:uid="{00000000-0005-0000-0000-0000EE000000}"/>
    <cellStyle name="Normal 18" xfId="148" xr:uid="{00000000-0005-0000-0000-0000EF000000}"/>
    <cellStyle name="Normal 18 2" xfId="345" xr:uid="{00000000-0005-0000-0000-0000F0000000}"/>
    <cellStyle name="Normal 18 3" xfId="337" xr:uid="{00000000-0005-0000-0000-0000F1000000}"/>
    <cellStyle name="Normal 18 4" xfId="380" xr:uid="{00000000-0005-0000-0000-0000F2000000}"/>
    <cellStyle name="Normal 18 4 2" xfId="546" xr:uid="{00000000-0005-0000-0000-0000F3000000}"/>
    <cellStyle name="Normal 18 5" xfId="555" xr:uid="{00000000-0005-0000-0000-0000F4000000}"/>
    <cellStyle name="Normal 19" xfId="249" xr:uid="{00000000-0005-0000-0000-0000F5000000}"/>
    <cellStyle name="Normal 2" xfId="48" xr:uid="{00000000-0005-0000-0000-0000F6000000}"/>
    <cellStyle name="Normal 2 2" xfId="49" xr:uid="{00000000-0005-0000-0000-0000F7000000}"/>
    <cellStyle name="Normal 2 2 2" xfId="50" xr:uid="{00000000-0005-0000-0000-0000F8000000}"/>
    <cellStyle name="Normal 2 2 3" xfId="152" xr:uid="{00000000-0005-0000-0000-0000F9000000}"/>
    <cellStyle name="Normal 2 2 4" xfId="388" xr:uid="{00000000-0005-0000-0000-0000FA000000}"/>
    <cellStyle name="Normal 2 3" xfId="51" xr:uid="{00000000-0005-0000-0000-0000FB000000}"/>
    <cellStyle name="Normal 2 3 2" xfId="113" xr:uid="{00000000-0005-0000-0000-0000FC000000}"/>
    <cellStyle name="Normal 2 3 2 2" xfId="166" xr:uid="{00000000-0005-0000-0000-0000FD000000}"/>
    <cellStyle name="Normal 2 3 2 3" xfId="357" xr:uid="{00000000-0005-0000-0000-0000FE000000}"/>
    <cellStyle name="Normal 2 3 2 3 2" xfId="544" xr:uid="{00000000-0005-0000-0000-0000FF000000}"/>
    <cellStyle name="Normal 2 3 2 4" xfId="416" xr:uid="{00000000-0005-0000-0000-000000010000}"/>
    <cellStyle name="Normal 2 3 3" xfId="338" xr:uid="{00000000-0005-0000-0000-000001010000}"/>
    <cellStyle name="Normal 2 3 3 2" xfId="117" xr:uid="{00000000-0005-0000-0000-000002010000}"/>
    <cellStyle name="Normal 2 3 3 3" xfId="372" xr:uid="{00000000-0005-0000-0000-000003010000}"/>
    <cellStyle name="Normal 2 3 3 3 2" xfId="545" xr:uid="{00000000-0005-0000-0000-000004010000}"/>
    <cellStyle name="Normal 2 3 3 4" xfId="541" xr:uid="{00000000-0005-0000-0000-000005010000}"/>
    <cellStyle name="Normal 2 3 4" xfId="389" xr:uid="{00000000-0005-0000-0000-000006010000}"/>
    <cellStyle name="Normal 2 4" xfId="85" xr:uid="{00000000-0005-0000-0000-000007010000}"/>
    <cellStyle name="Normal 2 4 2" xfId="178" xr:uid="{00000000-0005-0000-0000-000008010000}"/>
    <cellStyle name="Normal 2 4 3" xfId="114" xr:uid="{00000000-0005-0000-0000-000009010000}"/>
    <cellStyle name="Normal 2 4 4" xfId="362" xr:uid="{00000000-0005-0000-0000-00000A010000}"/>
    <cellStyle name="Normal 2 5" xfId="101" xr:uid="{00000000-0005-0000-0000-00000B010000}"/>
    <cellStyle name="Normal 2 5 2" xfId="415" xr:uid="{00000000-0005-0000-0000-00000C010000}"/>
    <cellStyle name="Normal 2 6" xfId="118" xr:uid="{00000000-0005-0000-0000-00000D010000}"/>
    <cellStyle name="Normal 2 7" xfId="385" xr:uid="{00000000-0005-0000-0000-00000E010000}"/>
    <cellStyle name="Normal 2 8" xfId="72" xr:uid="{00000000-0005-0000-0000-00000F010000}"/>
    <cellStyle name="Normal 2_STO" xfId="150" xr:uid="{00000000-0005-0000-0000-000010010000}"/>
    <cellStyle name="Normal 20" xfId="250" xr:uid="{00000000-0005-0000-0000-000011010000}"/>
    <cellStyle name="Normal 21" xfId="370" xr:uid="{00000000-0005-0000-0000-000012010000}"/>
    <cellStyle name="Normal 21 2" xfId="394" xr:uid="{00000000-0005-0000-0000-000013010000}"/>
    <cellStyle name="Normal 21 3" xfId="391" xr:uid="{00000000-0005-0000-0000-000014010000}"/>
    <cellStyle name="Normal 22" xfId="360" xr:uid="{00000000-0005-0000-0000-000015010000}"/>
    <cellStyle name="Normal 22 2" xfId="393" xr:uid="{00000000-0005-0000-0000-000016010000}"/>
    <cellStyle name="Normal 22 3" xfId="392" xr:uid="{00000000-0005-0000-0000-000017010000}"/>
    <cellStyle name="Normal 23" xfId="377" xr:uid="{00000000-0005-0000-0000-000018010000}"/>
    <cellStyle name="Normal 23 2" xfId="381" xr:uid="{00000000-0005-0000-0000-000019010000}"/>
    <cellStyle name="Normal 24" xfId="378" xr:uid="{00000000-0005-0000-0000-00001A010000}"/>
    <cellStyle name="Normal 24 2" xfId="382" xr:uid="{00000000-0005-0000-0000-00001B010000}"/>
    <cellStyle name="Normal 25" xfId="379" xr:uid="{00000000-0005-0000-0000-00001C010000}"/>
    <cellStyle name="Normal 25 2" xfId="383" xr:uid="{00000000-0005-0000-0000-00001D010000}"/>
    <cellStyle name="Normal 26" xfId="384" xr:uid="{00000000-0005-0000-0000-00001E010000}"/>
    <cellStyle name="Normal 26 2" xfId="397" xr:uid="{00000000-0005-0000-0000-00001F010000}"/>
    <cellStyle name="Normal 26 3" xfId="395" xr:uid="{00000000-0005-0000-0000-000020010000}"/>
    <cellStyle name="Normal 26 3 2" xfId="548" xr:uid="{00000000-0005-0000-0000-000021010000}"/>
    <cellStyle name="Normal 26 4" xfId="547" xr:uid="{00000000-0005-0000-0000-000022010000}"/>
    <cellStyle name="Normal 27" xfId="396" xr:uid="{00000000-0005-0000-0000-000023010000}"/>
    <cellStyle name="Normal 27 2" xfId="398" xr:uid="{00000000-0005-0000-0000-000024010000}"/>
    <cellStyle name="Normal 28" xfId="70" xr:uid="{00000000-0005-0000-0000-000025010000}"/>
    <cellStyle name="Normal 29" xfId="43" xr:uid="{00000000-0005-0000-0000-000026010000}"/>
    <cellStyle name="Normal 3" xfId="52" xr:uid="{00000000-0005-0000-0000-000027010000}"/>
    <cellStyle name="Normal 3 2" xfId="100" xr:uid="{00000000-0005-0000-0000-000028010000}"/>
    <cellStyle name="Normal 3 2 2" xfId="127" xr:uid="{00000000-0005-0000-0000-000029010000}"/>
    <cellStyle name="Normal 3 2 3" xfId="137" xr:uid="{00000000-0005-0000-0000-00002A010000}"/>
    <cellStyle name="Normal 3 2 4" xfId="359" xr:uid="{00000000-0005-0000-0000-00002B010000}"/>
    <cellStyle name="Normal 3 3" xfId="142" xr:uid="{00000000-0005-0000-0000-00002C010000}"/>
    <cellStyle name="Normal 3 3 2" xfId="168" xr:uid="{00000000-0005-0000-0000-00002D010000}"/>
    <cellStyle name="Normal 3 3 2 2" xfId="251" xr:uid="{00000000-0005-0000-0000-00002E010000}"/>
    <cellStyle name="Normal 3 3 2 2 2" xfId="492" xr:uid="{00000000-0005-0000-0000-00002F010000}"/>
    <cellStyle name="Normal 3 3 2 3" xfId="449" xr:uid="{00000000-0005-0000-0000-000030010000}"/>
    <cellStyle name="Normal 3 3 3" xfId="252" xr:uid="{00000000-0005-0000-0000-000031010000}"/>
    <cellStyle name="Normal 3 3 4" xfId="253" xr:uid="{00000000-0005-0000-0000-000032010000}"/>
    <cellStyle name="Normal 3 3 5" xfId="254" xr:uid="{00000000-0005-0000-0000-000033010000}"/>
    <cellStyle name="Normal 3 3 6" xfId="255" xr:uid="{00000000-0005-0000-0000-000034010000}"/>
    <cellStyle name="Normal 3 3 6 2" xfId="493" xr:uid="{00000000-0005-0000-0000-000035010000}"/>
    <cellStyle name="Normal 3 3 7" xfId="350" xr:uid="{00000000-0005-0000-0000-000036010000}"/>
    <cellStyle name="Normal 3 3 8" xfId="376" xr:uid="{00000000-0005-0000-0000-000037010000}"/>
    <cellStyle name="Normal 3 4" xfId="167" xr:uid="{00000000-0005-0000-0000-000038010000}"/>
    <cellStyle name="Normal 3 4 2" xfId="256" xr:uid="{00000000-0005-0000-0000-000039010000}"/>
    <cellStyle name="Normal 3 4 2 2" xfId="494" xr:uid="{00000000-0005-0000-0000-00003A010000}"/>
    <cellStyle name="Normal 3 4 3" xfId="448" xr:uid="{00000000-0005-0000-0000-00003B010000}"/>
    <cellStyle name="Normal 3 5" xfId="181" xr:uid="{00000000-0005-0000-0000-00003C010000}"/>
    <cellStyle name="Normal 3 6" xfId="180" xr:uid="{00000000-0005-0000-0000-00003D010000}"/>
    <cellStyle name="Normal 3 6 2" xfId="257" xr:uid="{00000000-0005-0000-0000-00003E010000}"/>
    <cellStyle name="Normal 3 7" xfId="258" xr:uid="{00000000-0005-0000-0000-00003F010000}"/>
    <cellStyle name="Normal 3 8" xfId="259" xr:uid="{00000000-0005-0000-0000-000040010000}"/>
    <cellStyle name="Normal 3 8 2" xfId="495" xr:uid="{00000000-0005-0000-0000-000041010000}"/>
    <cellStyle name="Normal 3 9" xfId="136" xr:uid="{00000000-0005-0000-0000-000042010000}"/>
    <cellStyle name="Normal 4" xfId="53" xr:uid="{00000000-0005-0000-0000-000043010000}"/>
    <cellStyle name="Normal 4 10" xfId="390" xr:uid="{00000000-0005-0000-0000-000044010000}"/>
    <cellStyle name="Normal 4 2" xfId="86" xr:uid="{00000000-0005-0000-0000-000045010000}"/>
    <cellStyle name="Normal 4 2 2" xfId="170" xr:uid="{00000000-0005-0000-0000-000046010000}"/>
    <cellStyle name="Normal 4 2 2 2" xfId="260" xr:uid="{00000000-0005-0000-0000-000047010000}"/>
    <cellStyle name="Normal 4 2 2 2 2" xfId="496" xr:uid="{00000000-0005-0000-0000-000048010000}"/>
    <cellStyle name="Normal 4 2 2 3" xfId="451" xr:uid="{00000000-0005-0000-0000-000049010000}"/>
    <cellStyle name="Normal 4 2 3" xfId="261" xr:uid="{00000000-0005-0000-0000-00004A010000}"/>
    <cellStyle name="Normal 4 2 4" xfId="262" xr:uid="{00000000-0005-0000-0000-00004B010000}"/>
    <cellStyle name="Normal 4 2 5" xfId="263" xr:uid="{00000000-0005-0000-0000-00004C010000}"/>
    <cellStyle name="Normal 4 2 6" xfId="264" xr:uid="{00000000-0005-0000-0000-00004D010000}"/>
    <cellStyle name="Normal 4 2 6 2" xfId="497" xr:uid="{00000000-0005-0000-0000-00004E010000}"/>
    <cellStyle name="Normal 4 2 7" xfId="131" xr:uid="{00000000-0005-0000-0000-00004F010000}"/>
    <cellStyle name="Normal 4 2 8" xfId="363" xr:uid="{00000000-0005-0000-0000-000050010000}"/>
    <cellStyle name="Normal 4 3" xfId="123" xr:uid="{00000000-0005-0000-0000-000051010000}"/>
    <cellStyle name="Normal 4 3 2" xfId="171" xr:uid="{00000000-0005-0000-0000-000052010000}"/>
    <cellStyle name="Normal 4 3 2 2" xfId="265" xr:uid="{00000000-0005-0000-0000-000053010000}"/>
    <cellStyle name="Normal 4 3 2 2 2" xfId="498" xr:uid="{00000000-0005-0000-0000-000054010000}"/>
    <cellStyle name="Normal 4 3 2 3" xfId="452" xr:uid="{00000000-0005-0000-0000-000055010000}"/>
    <cellStyle name="Normal 4 3 3" xfId="266" xr:uid="{00000000-0005-0000-0000-000056010000}"/>
    <cellStyle name="Normal 4 3 4" xfId="267" xr:uid="{00000000-0005-0000-0000-000057010000}"/>
    <cellStyle name="Normal 4 3 5" xfId="268" xr:uid="{00000000-0005-0000-0000-000058010000}"/>
    <cellStyle name="Normal 4 3 6" xfId="269" xr:uid="{00000000-0005-0000-0000-000059010000}"/>
    <cellStyle name="Normal 4 3 6 2" xfId="499" xr:uid="{00000000-0005-0000-0000-00005A010000}"/>
    <cellStyle name="Normal 4 3 7" xfId="128" xr:uid="{00000000-0005-0000-0000-00005B010000}"/>
    <cellStyle name="Normal 4 3 8" xfId="347" xr:uid="{00000000-0005-0000-0000-00005C010000}"/>
    <cellStyle name="Normal 4 3 9" xfId="358" xr:uid="{00000000-0005-0000-0000-00005D010000}"/>
    <cellStyle name="Normal 4 4" xfId="169" xr:uid="{00000000-0005-0000-0000-00005E010000}"/>
    <cellStyle name="Normal 4 4 2" xfId="270" xr:uid="{00000000-0005-0000-0000-00005F010000}"/>
    <cellStyle name="Normal 4 4 2 2" xfId="500" xr:uid="{00000000-0005-0000-0000-000060010000}"/>
    <cellStyle name="Normal 4 4 3" xfId="450" xr:uid="{00000000-0005-0000-0000-000061010000}"/>
    <cellStyle name="Normal 4 5" xfId="271" xr:uid="{00000000-0005-0000-0000-000062010000}"/>
    <cellStyle name="Normal 4 6" xfId="272" xr:uid="{00000000-0005-0000-0000-000063010000}"/>
    <cellStyle name="Normal 4 7" xfId="273" xr:uid="{00000000-0005-0000-0000-000064010000}"/>
    <cellStyle name="Normal 4 8" xfId="274" xr:uid="{00000000-0005-0000-0000-000065010000}"/>
    <cellStyle name="Normal 4 8 2" xfId="501" xr:uid="{00000000-0005-0000-0000-000066010000}"/>
    <cellStyle name="Normal 4 9" xfId="146" xr:uid="{00000000-0005-0000-0000-000067010000}"/>
    <cellStyle name="Normal 5" xfId="54" xr:uid="{00000000-0005-0000-0000-000068010000}"/>
    <cellStyle name="Normal 5 10" xfId="551" xr:uid="{00000000-0005-0000-0000-000069010000}"/>
    <cellStyle name="Normal 5 2" xfId="88" xr:uid="{00000000-0005-0000-0000-00006A010000}"/>
    <cellStyle name="Normal 5 2 2" xfId="275" xr:uid="{00000000-0005-0000-0000-00006B010000}"/>
    <cellStyle name="Normal 5 2 2 2" xfId="502" xr:uid="{00000000-0005-0000-0000-00006C010000}"/>
    <cellStyle name="Normal 5 2 3" xfId="172" xr:uid="{00000000-0005-0000-0000-00006D010000}"/>
    <cellStyle name="Normal 5 2 3 2" xfId="453" xr:uid="{00000000-0005-0000-0000-00006E010000}"/>
    <cellStyle name="Normal 5 2 4" xfId="367" xr:uid="{00000000-0005-0000-0000-00006F010000}"/>
    <cellStyle name="Normal 5 3" xfId="276" xr:uid="{00000000-0005-0000-0000-000070010000}"/>
    <cellStyle name="Normal 5 4" xfId="277" xr:uid="{00000000-0005-0000-0000-000071010000}"/>
    <cellStyle name="Normal 5 5" xfId="278" xr:uid="{00000000-0005-0000-0000-000072010000}"/>
    <cellStyle name="Normal 5 6" xfId="279" xr:uid="{00000000-0005-0000-0000-000073010000}"/>
    <cellStyle name="Normal 5 6 2" xfId="503" xr:uid="{00000000-0005-0000-0000-000074010000}"/>
    <cellStyle name="Normal 5 7" xfId="153" xr:uid="{00000000-0005-0000-0000-000075010000}"/>
    <cellStyle name="Normal 5 8" xfId="366" xr:uid="{00000000-0005-0000-0000-000076010000}"/>
    <cellStyle name="Normal 5 9" xfId="87" xr:uid="{00000000-0005-0000-0000-000077010000}"/>
    <cellStyle name="Normal 6" xfId="89" xr:uid="{00000000-0005-0000-0000-000078010000}"/>
    <cellStyle name="Normal 6 2" xfId="90" xr:uid="{00000000-0005-0000-0000-000079010000}"/>
    <cellStyle name="Normal 6 3" xfId="349" xr:uid="{00000000-0005-0000-0000-00007A010000}"/>
    <cellStyle name="Normal 6 4" xfId="375" xr:uid="{00000000-0005-0000-0000-00007B010000}"/>
    <cellStyle name="Normal 63" xfId="280" xr:uid="{00000000-0005-0000-0000-00007C010000}"/>
    <cellStyle name="Normal 7" xfId="91" xr:uid="{00000000-0005-0000-0000-00007D010000}"/>
    <cellStyle name="Normal 7 10" xfId="355" xr:uid="{00000000-0005-0000-0000-00007E010000}"/>
    <cellStyle name="Normal 7 11" xfId="554" xr:uid="{00000000-0005-0000-0000-00007F010000}"/>
    <cellStyle name="Normal 7 2" xfId="92" xr:uid="{00000000-0005-0000-0000-000080010000}"/>
    <cellStyle name="Normal 7 2 2" xfId="132" xr:uid="{00000000-0005-0000-0000-000081010000}"/>
    <cellStyle name="Normal 7 2 2 2" xfId="134" xr:uid="{00000000-0005-0000-0000-000082010000}"/>
    <cellStyle name="Normal 7 2 2 2 2" xfId="281" xr:uid="{00000000-0005-0000-0000-000083010000}"/>
    <cellStyle name="Normal 7 2 2 2 2 2" xfId="504" xr:uid="{00000000-0005-0000-0000-000084010000}"/>
    <cellStyle name="Normal 7 2 2 2 3" xfId="426" xr:uid="{00000000-0005-0000-0000-000085010000}"/>
    <cellStyle name="Normal 7 2 2 3" xfId="282" xr:uid="{00000000-0005-0000-0000-000086010000}"/>
    <cellStyle name="Normal 7 2 2 3 2" xfId="505" xr:uid="{00000000-0005-0000-0000-000087010000}"/>
    <cellStyle name="Normal 7 2 2 4" xfId="424" xr:uid="{00000000-0005-0000-0000-000088010000}"/>
    <cellStyle name="Normal 7 2 3" xfId="133" xr:uid="{00000000-0005-0000-0000-000089010000}"/>
    <cellStyle name="Normal 7 2 3 2" xfId="283" xr:uid="{00000000-0005-0000-0000-00008A010000}"/>
    <cellStyle name="Normal 7 2 3 2 2" xfId="506" xr:uid="{00000000-0005-0000-0000-00008B010000}"/>
    <cellStyle name="Normal 7 2 3 3" xfId="425" xr:uid="{00000000-0005-0000-0000-00008C010000}"/>
    <cellStyle name="Normal 7 2 4" xfId="284" xr:uid="{00000000-0005-0000-0000-00008D010000}"/>
    <cellStyle name="Normal 7 2 5" xfId="285" xr:uid="{00000000-0005-0000-0000-00008E010000}"/>
    <cellStyle name="Normal 7 2 5 2" xfId="286" xr:uid="{00000000-0005-0000-0000-00008F010000}"/>
    <cellStyle name="Normal 7 2 5 2 2" xfId="508" xr:uid="{00000000-0005-0000-0000-000090010000}"/>
    <cellStyle name="Normal 7 2 5 3" xfId="507" xr:uid="{00000000-0005-0000-0000-000091010000}"/>
    <cellStyle name="Normal 7 2 6" xfId="287" xr:uid="{00000000-0005-0000-0000-000092010000}"/>
    <cellStyle name="Normal 7 2 6 2" xfId="288" xr:uid="{00000000-0005-0000-0000-000093010000}"/>
    <cellStyle name="Normal 7 2 6 2 2" xfId="510" xr:uid="{00000000-0005-0000-0000-000094010000}"/>
    <cellStyle name="Normal 7 2 6 3" xfId="509" xr:uid="{00000000-0005-0000-0000-000095010000}"/>
    <cellStyle name="Normal 7 2 7" xfId="126" xr:uid="{00000000-0005-0000-0000-000096010000}"/>
    <cellStyle name="Normal 7 2 7 2" xfId="421" xr:uid="{00000000-0005-0000-0000-000097010000}"/>
    <cellStyle name="Normal 7 2 8" xfId="352" xr:uid="{00000000-0005-0000-0000-000098010000}"/>
    <cellStyle name="Normal 7 3" xfId="138" xr:uid="{00000000-0005-0000-0000-000099010000}"/>
    <cellStyle name="Normal 7 3 2" xfId="140" xr:uid="{00000000-0005-0000-0000-00009A010000}"/>
    <cellStyle name="Normal 7 3 2 2" xfId="289" xr:uid="{00000000-0005-0000-0000-00009B010000}"/>
    <cellStyle name="Normal 7 3 2 2 2" xfId="511" xr:uid="{00000000-0005-0000-0000-00009C010000}"/>
    <cellStyle name="Normal 7 3 2 3" xfId="430" xr:uid="{00000000-0005-0000-0000-00009D010000}"/>
    <cellStyle name="Normal 7 3 3" xfId="290" xr:uid="{00000000-0005-0000-0000-00009E010000}"/>
    <cellStyle name="Normal 7 3 3 2" xfId="512" xr:uid="{00000000-0005-0000-0000-00009F010000}"/>
    <cellStyle name="Normal 7 3 4" xfId="428" xr:uid="{00000000-0005-0000-0000-0000A0010000}"/>
    <cellStyle name="Normal 7 4" xfId="144" xr:uid="{00000000-0005-0000-0000-0000A1010000}"/>
    <cellStyle name="Normal 7 4 2" xfId="291" xr:uid="{00000000-0005-0000-0000-0000A2010000}"/>
    <cellStyle name="Normal 7 4 2 2" xfId="513" xr:uid="{00000000-0005-0000-0000-0000A3010000}"/>
    <cellStyle name="Normal 7 4 3" xfId="433" xr:uid="{00000000-0005-0000-0000-0000A4010000}"/>
    <cellStyle name="Normal 7 5" xfId="173" xr:uid="{00000000-0005-0000-0000-0000A5010000}"/>
    <cellStyle name="Normal 7 6" xfId="292" xr:uid="{00000000-0005-0000-0000-0000A6010000}"/>
    <cellStyle name="Normal 7 6 2" xfId="293" xr:uid="{00000000-0005-0000-0000-0000A7010000}"/>
    <cellStyle name="Normal 7 6 2 2" xfId="515" xr:uid="{00000000-0005-0000-0000-0000A8010000}"/>
    <cellStyle name="Normal 7 6 3" xfId="514" xr:uid="{00000000-0005-0000-0000-0000A9010000}"/>
    <cellStyle name="Normal 7 7" xfId="294" xr:uid="{00000000-0005-0000-0000-0000AA010000}"/>
    <cellStyle name="Normal 7 8" xfId="295" xr:uid="{00000000-0005-0000-0000-0000AB010000}"/>
    <cellStyle name="Normal 7 8 2" xfId="296" xr:uid="{00000000-0005-0000-0000-0000AC010000}"/>
    <cellStyle name="Normal 7 8 2 2" xfId="517" xr:uid="{00000000-0005-0000-0000-0000AD010000}"/>
    <cellStyle name="Normal 7 8 3" xfId="516" xr:uid="{00000000-0005-0000-0000-0000AE010000}"/>
    <cellStyle name="Normal 7 9" xfId="143" xr:uid="{00000000-0005-0000-0000-0000AF010000}"/>
    <cellStyle name="Normal 7 9 2" xfId="432" xr:uid="{00000000-0005-0000-0000-0000B0010000}"/>
    <cellStyle name="Normal 8" xfId="93" xr:uid="{00000000-0005-0000-0000-0000B1010000}"/>
    <cellStyle name="Normal 8 2" xfId="135" xr:uid="{00000000-0005-0000-0000-0000B2010000}"/>
    <cellStyle name="Normal 8 2 2" xfId="149" xr:uid="{00000000-0005-0000-0000-0000B3010000}"/>
    <cellStyle name="Normal 8 2 2 2" xfId="139" xr:uid="{00000000-0005-0000-0000-0000B4010000}"/>
    <cellStyle name="Normal 8 2 2 2 2" xfId="297" xr:uid="{00000000-0005-0000-0000-0000B5010000}"/>
    <cellStyle name="Normal 8 2 2 2 2 2" xfId="518" xr:uid="{00000000-0005-0000-0000-0000B6010000}"/>
    <cellStyle name="Normal 8 2 2 2 3" xfId="429" xr:uid="{00000000-0005-0000-0000-0000B7010000}"/>
    <cellStyle name="Normal 8 2 2 3" xfId="298" xr:uid="{00000000-0005-0000-0000-0000B8010000}"/>
    <cellStyle name="Normal 8 2 2 3 2" xfId="519" xr:uid="{00000000-0005-0000-0000-0000B9010000}"/>
    <cellStyle name="Normal 8 2 2 4" xfId="436" xr:uid="{00000000-0005-0000-0000-0000BA010000}"/>
    <cellStyle name="Normal 8 2 3" xfId="141" xr:uid="{00000000-0005-0000-0000-0000BB010000}"/>
    <cellStyle name="Normal 8 2 3 2" xfId="299" xr:uid="{00000000-0005-0000-0000-0000BC010000}"/>
    <cellStyle name="Normal 8 2 3 2 2" xfId="520" xr:uid="{00000000-0005-0000-0000-0000BD010000}"/>
    <cellStyle name="Normal 8 2 3 3" xfId="431" xr:uid="{00000000-0005-0000-0000-0000BE010000}"/>
    <cellStyle name="Normal 8 2 4" xfId="300" xr:uid="{00000000-0005-0000-0000-0000BF010000}"/>
    <cellStyle name="Normal 8 2 4 2" xfId="521" xr:uid="{00000000-0005-0000-0000-0000C0010000}"/>
    <cellStyle name="Normal 8 2 5" xfId="427" xr:uid="{00000000-0005-0000-0000-0000C1010000}"/>
    <cellStyle name="Normal 8 3" xfId="145" xr:uid="{00000000-0005-0000-0000-0000C2010000}"/>
    <cellStyle name="Normal 8 3 2" xfId="155" xr:uid="{00000000-0005-0000-0000-0000C3010000}"/>
    <cellStyle name="Normal 8 3 2 2" xfId="301" xr:uid="{00000000-0005-0000-0000-0000C4010000}"/>
    <cellStyle name="Normal 8 3 2 2 2" xfId="522" xr:uid="{00000000-0005-0000-0000-0000C5010000}"/>
    <cellStyle name="Normal 8 3 2 3" xfId="438" xr:uid="{00000000-0005-0000-0000-0000C6010000}"/>
    <cellStyle name="Normal 8 3 3" xfId="302" xr:uid="{00000000-0005-0000-0000-0000C7010000}"/>
    <cellStyle name="Normal 8 3 3 2" xfId="523" xr:uid="{00000000-0005-0000-0000-0000C8010000}"/>
    <cellStyle name="Normal 8 3 4" xfId="434" xr:uid="{00000000-0005-0000-0000-0000C9010000}"/>
    <cellStyle name="Normal 8 4" xfId="156" xr:uid="{00000000-0005-0000-0000-0000CA010000}"/>
    <cellStyle name="Normal 8 4 2" xfId="303" xr:uid="{00000000-0005-0000-0000-0000CB010000}"/>
    <cellStyle name="Normal 8 4 2 2" xfId="524" xr:uid="{00000000-0005-0000-0000-0000CC010000}"/>
    <cellStyle name="Normal 8 4 3" xfId="439" xr:uid="{00000000-0005-0000-0000-0000CD010000}"/>
    <cellStyle name="Normal 8 5" xfId="304" xr:uid="{00000000-0005-0000-0000-0000CE010000}"/>
    <cellStyle name="Normal 8 6" xfId="305" xr:uid="{00000000-0005-0000-0000-0000CF010000}"/>
    <cellStyle name="Normal 8 6 2" xfId="306" xr:uid="{00000000-0005-0000-0000-0000D0010000}"/>
    <cellStyle name="Normal 8 6 2 2" xfId="526" xr:uid="{00000000-0005-0000-0000-0000D1010000}"/>
    <cellStyle name="Normal 8 6 3" xfId="525" xr:uid="{00000000-0005-0000-0000-0000D2010000}"/>
    <cellStyle name="Normal 8 7" xfId="307" xr:uid="{00000000-0005-0000-0000-0000D3010000}"/>
    <cellStyle name="Normal 8 7 2" xfId="308" xr:uid="{00000000-0005-0000-0000-0000D4010000}"/>
    <cellStyle name="Normal 8 7 2 2" xfId="528" xr:uid="{00000000-0005-0000-0000-0000D5010000}"/>
    <cellStyle name="Normal 8 7 3" xfId="527" xr:uid="{00000000-0005-0000-0000-0000D6010000}"/>
    <cellStyle name="Normal 8 8" xfId="414" xr:uid="{00000000-0005-0000-0000-0000D7010000}"/>
    <cellStyle name="Normal 8 9" xfId="556" xr:uid="{00000000-0005-0000-0000-0000D8010000}"/>
    <cellStyle name="Normal 81" xfId="309" xr:uid="{00000000-0005-0000-0000-0000D9010000}"/>
    <cellStyle name="Normal 83" xfId="310" xr:uid="{00000000-0005-0000-0000-0000DA010000}"/>
    <cellStyle name="Normal 84" xfId="311" xr:uid="{00000000-0005-0000-0000-0000DB010000}"/>
    <cellStyle name="Normal 86" xfId="312" xr:uid="{00000000-0005-0000-0000-0000DC010000}"/>
    <cellStyle name="Normal 87" xfId="313" xr:uid="{00000000-0005-0000-0000-0000DD010000}"/>
    <cellStyle name="Normal 88" xfId="314" xr:uid="{00000000-0005-0000-0000-0000DE010000}"/>
    <cellStyle name="Normal 89" xfId="315" xr:uid="{00000000-0005-0000-0000-0000DF010000}"/>
    <cellStyle name="Normal 9" xfId="94" xr:uid="{00000000-0005-0000-0000-0000E0010000}"/>
    <cellStyle name="Normal 9 2" xfId="95" xr:uid="{00000000-0005-0000-0000-0000E1010000}"/>
    <cellStyle name="Normal 9 2 2" xfId="159" xr:uid="{00000000-0005-0000-0000-0000E2010000}"/>
    <cellStyle name="Normal 9 2 2 2" xfId="160" xr:uid="{00000000-0005-0000-0000-0000E3010000}"/>
    <cellStyle name="Normal 9 2 2 2 2" xfId="316" xr:uid="{00000000-0005-0000-0000-0000E4010000}"/>
    <cellStyle name="Normal 9 2 2 2 2 2" xfId="529" xr:uid="{00000000-0005-0000-0000-0000E5010000}"/>
    <cellStyle name="Normal 9 2 2 2 3" xfId="443" xr:uid="{00000000-0005-0000-0000-0000E6010000}"/>
    <cellStyle name="Normal 9 2 2 3" xfId="317" xr:uid="{00000000-0005-0000-0000-0000E7010000}"/>
    <cellStyle name="Normal 9 2 2 3 2" xfId="530" xr:uid="{00000000-0005-0000-0000-0000E8010000}"/>
    <cellStyle name="Normal 9 2 2 4" xfId="442" xr:uid="{00000000-0005-0000-0000-0000E9010000}"/>
    <cellStyle name="Normal 9 2 3" xfId="161" xr:uid="{00000000-0005-0000-0000-0000EA010000}"/>
    <cellStyle name="Normal 9 2 3 2" xfId="318" xr:uid="{00000000-0005-0000-0000-0000EB010000}"/>
    <cellStyle name="Normal 9 2 3 2 2" xfId="531" xr:uid="{00000000-0005-0000-0000-0000EC010000}"/>
    <cellStyle name="Normal 9 2 3 3" xfId="444" xr:uid="{00000000-0005-0000-0000-0000ED010000}"/>
    <cellStyle name="Normal 9 2 4" xfId="319" xr:uid="{00000000-0005-0000-0000-0000EE010000}"/>
    <cellStyle name="Normal 9 2 4 2" xfId="532" xr:uid="{00000000-0005-0000-0000-0000EF010000}"/>
    <cellStyle name="Normal 9 2 5" xfId="158" xr:uid="{00000000-0005-0000-0000-0000F0010000}"/>
    <cellStyle name="Normal 9 2 5 2" xfId="441" xr:uid="{00000000-0005-0000-0000-0000F1010000}"/>
    <cellStyle name="Normal 9 2 6" xfId="353" xr:uid="{00000000-0005-0000-0000-0000F2010000}"/>
    <cellStyle name="Normal 9 3" xfId="162" xr:uid="{00000000-0005-0000-0000-0000F3010000}"/>
    <cellStyle name="Normal 9 3 2" xfId="163" xr:uid="{00000000-0005-0000-0000-0000F4010000}"/>
    <cellStyle name="Normal 9 3 2 2" xfId="320" xr:uid="{00000000-0005-0000-0000-0000F5010000}"/>
    <cellStyle name="Normal 9 3 2 2 2" xfId="533" xr:uid="{00000000-0005-0000-0000-0000F6010000}"/>
    <cellStyle name="Normal 9 3 2 3" xfId="446" xr:uid="{00000000-0005-0000-0000-0000F7010000}"/>
    <cellStyle name="Normal 9 3 3" xfId="321" xr:uid="{00000000-0005-0000-0000-0000F8010000}"/>
    <cellStyle name="Normal 9 3 3 2" xfId="534" xr:uid="{00000000-0005-0000-0000-0000F9010000}"/>
    <cellStyle name="Normal 9 3 4" xfId="445" xr:uid="{00000000-0005-0000-0000-0000FA010000}"/>
    <cellStyle name="Normal 9 4" xfId="164" xr:uid="{00000000-0005-0000-0000-0000FB010000}"/>
    <cellStyle name="Normal 9 4 2" xfId="322" xr:uid="{00000000-0005-0000-0000-0000FC010000}"/>
    <cellStyle name="Normal 9 4 2 2" xfId="535" xr:uid="{00000000-0005-0000-0000-0000FD010000}"/>
    <cellStyle name="Normal 9 4 3" xfId="447" xr:uid="{00000000-0005-0000-0000-0000FE010000}"/>
    <cellStyle name="Normal 9 5" xfId="323" xr:uid="{00000000-0005-0000-0000-0000FF010000}"/>
    <cellStyle name="Normal 9 6" xfId="324" xr:uid="{00000000-0005-0000-0000-000000020000}"/>
    <cellStyle name="Normal 9 6 2" xfId="325" xr:uid="{00000000-0005-0000-0000-000001020000}"/>
    <cellStyle name="Normal 9 6 2 2" xfId="537" xr:uid="{00000000-0005-0000-0000-000002020000}"/>
    <cellStyle name="Normal 9 6 3" xfId="536" xr:uid="{00000000-0005-0000-0000-000003020000}"/>
    <cellStyle name="Normal 9 7" xfId="326" xr:uid="{00000000-0005-0000-0000-000004020000}"/>
    <cellStyle name="Normal 9 7 2" xfId="327" xr:uid="{00000000-0005-0000-0000-000005020000}"/>
    <cellStyle name="Normal 9 7 2 2" xfId="539" xr:uid="{00000000-0005-0000-0000-000006020000}"/>
    <cellStyle name="Normal 9 7 3" xfId="538" xr:uid="{00000000-0005-0000-0000-000007020000}"/>
    <cellStyle name="Normal 9 8" xfId="157" xr:uid="{00000000-0005-0000-0000-000008020000}"/>
    <cellStyle name="Normal 9 8 2" xfId="440" xr:uid="{00000000-0005-0000-0000-000009020000}"/>
    <cellStyle name="Normal 90" xfId="328" xr:uid="{00000000-0005-0000-0000-00000A020000}"/>
    <cellStyle name="Normal 91" xfId="329" xr:uid="{00000000-0005-0000-0000-00000B020000}"/>
    <cellStyle name="Normal 92" xfId="330" xr:uid="{00000000-0005-0000-0000-00000C020000}"/>
    <cellStyle name="Normal GHG Numbers (0.00)" xfId="106" xr:uid="{00000000-0005-0000-0000-00000D020000}"/>
    <cellStyle name="Normal GHG whole table" xfId="107" xr:uid="{00000000-0005-0000-0000-00000E020000}"/>
    <cellStyle name="Normal GHG-Shade" xfId="108" xr:uid="{00000000-0005-0000-0000-00000F020000}"/>
    <cellStyle name="Normal_OilQues" xfId="552" xr:uid="{00000000-0005-0000-0000-000010020000}"/>
    <cellStyle name="Note 2" xfId="331" xr:uid="{00000000-0005-0000-0000-000011020000}"/>
    <cellStyle name="Note 2 2" xfId="332" xr:uid="{00000000-0005-0000-0000-000012020000}"/>
    <cellStyle name="Note 2 3" xfId="333" xr:uid="{00000000-0005-0000-0000-000013020000}"/>
    <cellStyle name="Note 2 4" xfId="540" xr:uid="{00000000-0005-0000-0000-000014020000}"/>
    <cellStyle name="Note 3" xfId="71" xr:uid="{00000000-0005-0000-0000-000015020000}"/>
    <cellStyle name="Note 4" xfId="401" xr:uid="{00000000-0005-0000-0000-000016020000}"/>
    <cellStyle name="Output" xfId="12" builtinId="21" customBuiltin="1"/>
    <cellStyle name="Output 2" xfId="334" xr:uid="{00000000-0005-0000-0000-000018020000}"/>
    <cellStyle name="Pattern" xfId="109" xr:uid="{00000000-0005-0000-0000-000019020000}"/>
    <cellStyle name="Percent" xfId="2" builtinId="5"/>
    <cellStyle name="Percent 2" xfId="96" xr:uid="{00000000-0005-0000-0000-00001B020000}"/>
    <cellStyle name="Percent 3" xfId="97" xr:uid="{00000000-0005-0000-0000-00001C020000}"/>
    <cellStyle name="Standard_FI00EU01" xfId="110" xr:uid="{00000000-0005-0000-0000-00001D020000}"/>
    <cellStyle name="Style 1" xfId="165" xr:uid="{00000000-0005-0000-0000-00001E020000}"/>
    <cellStyle name="TableStyleLight1 5" xfId="399" xr:uid="{00000000-0005-0000-0000-00001F020000}"/>
    <cellStyle name="Title" xfId="3" builtinId="15" customBuiltin="1"/>
    <cellStyle name="Total" xfId="18" builtinId="25" customBuiltin="1"/>
    <cellStyle name="Total 2" xfId="335" xr:uid="{00000000-0005-0000-0000-000022020000}"/>
    <cellStyle name="Warning Text" xfId="16" builtinId="11" customBuiltin="1"/>
    <cellStyle name="Warning Text 2" xfId="336" xr:uid="{00000000-0005-0000-0000-000024020000}"/>
    <cellStyle name="Year" xfId="55" xr:uid="{00000000-0005-0000-0000-000025020000}"/>
    <cellStyle name="Year 2" xfId="56" xr:uid="{00000000-0005-0000-0000-000026020000}"/>
    <cellStyle name="Year 3" xfId="57" xr:uid="{00000000-0005-0000-0000-000027020000}"/>
    <cellStyle name="Year 4" xfId="99" xr:uid="{00000000-0005-0000-0000-000028020000}"/>
    <cellStyle name="Year 5" xfId="344" xr:uid="{00000000-0005-0000-0000-000029020000}"/>
    <cellStyle name="Year 6" xfId="371" xr:uid="{00000000-0005-0000-0000-00002A020000}"/>
    <cellStyle name="Year 7" xfId="98" xr:uid="{00000000-0005-0000-0000-00002B020000}"/>
    <cellStyle name="Κανονικό 2" xfId="179" xr:uid="{00000000-0005-0000-0000-00002C020000}"/>
  </cellStyles>
  <dxfs count="115">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9C6500"/>
      </font>
      <fill>
        <patternFill>
          <bgColor rgb="FFFFEB9C"/>
        </patternFill>
      </fill>
    </dxf>
    <dxf>
      <font>
        <color rgb="FF006100"/>
      </font>
      <fill>
        <patternFill>
          <bgColor rgb="FFC6EFCE"/>
        </patternFill>
      </fill>
    </dxf>
    <dxf>
      <font>
        <color rgb="FF006100"/>
      </font>
      <fill>
        <patternFill>
          <bgColor rgb="FFC6EFCE"/>
        </patternFill>
      </fill>
    </dxf>
    <dxf>
      <font>
        <color rgb="FFC00000"/>
      </font>
      <fill>
        <patternFill>
          <bgColor theme="5" tint="0.59996337778862885"/>
        </patternFill>
      </fill>
    </dxf>
    <dxf>
      <font>
        <color rgb="FFC00000"/>
      </font>
      <fill>
        <patternFill>
          <bgColor theme="5" tint="0.59996337778862885"/>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C00000"/>
      </font>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ont>
        <color rgb="FF9C6500"/>
      </font>
      <fill>
        <patternFill>
          <bgColor rgb="FFFFEB9C"/>
        </patternFill>
      </fill>
    </dxf>
    <dxf>
      <font>
        <color rgb="FFC00000"/>
      </font>
      <fill>
        <patternFill>
          <bgColor theme="5" tint="0.59996337778862885"/>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6500"/>
      </font>
      <fill>
        <patternFill>
          <bgColor rgb="FFFFEB9C"/>
        </patternFill>
      </fill>
    </dxf>
    <dxf>
      <font>
        <color rgb="FF006100"/>
      </font>
      <fill>
        <patternFill>
          <bgColor rgb="FFC6EFCE"/>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9" defaultPivotStyle="PivotStyleLight16"/>
  <colors>
    <mruColors>
      <color rgb="FF0044FF"/>
      <color rgb="FF0000FF"/>
      <color rgb="FF9C0006"/>
      <color rgb="FFFFC7CE"/>
      <color rgb="FF010101"/>
      <color rgb="FF58B552"/>
      <color rgb="FFC6EFCE"/>
      <color rgb="FF006100"/>
      <color rgb="FF9C6500"/>
      <color rgb="FFFFEB9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49640118514589E-2"/>
          <c:y val="0.16093411828166548"/>
          <c:w val="0.33954549798922318"/>
          <c:h val="0.69665411449248305"/>
        </c:manualLayout>
      </c:layout>
      <c:pieChart>
        <c:varyColors val="1"/>
        <c:ser>
          <c:idx val="0"/>
          <c:order val="0"/>
          <c:tx>
            <c:strRef>
              <c:f>'Balance Summary'!$AJ$2</c:f>
              <c:strCache>
                <c:ptCount val="1"/>
                <c:pt idx="0">
                  <c:v>Graph 1: Total primary energy supply by fuel¹</c:v>
                </c:pt>
              </c:strCache>
            </c:strRef>
          </c:tx>
          <c:spPr>
            <a:solidFill>
              <a:srgbClr val="7030A0"/>
            </a:solidFill>
            <a:ln>
              <a:solidFill>
                <a:schemeClr val="tx1"/>
              </a:solidFill>
            </a:ln>
          </c:spPr>
          <c:dPt>
            <c:idx val="0"/>
            <c:bubble3D val="0"/>
            <c:spPr>
              <a:solidFill>
                <a:srgbClr val="AA5A1C"/>
              </a:solidFill>
              <a:ln>
                <a:solidFill>
                  <a:schemeClr val="tx1"/>
                </a:solidFill>
              </a:ln>
            </c:spPr>
            <c:extLst>
              <c:ext xmlns:c16="http://schemas.microsoft.com/office/drawing/2014/chart" uri="{C3380CC4-5D6E-409C-BE32-E72D297353CC}">
                <c16:uniqueId val="{00000001-7B18-4145-9583-DB4CB126BFF8}"/>
              </c:ext>
            </c:extLst>
          </c:dPt>
          <c:dPt>
            <c:idx val="1"/>
            <c:bubble3D val="0"/>
            <c:spPr>
              <a:solidFill>
                <a:srgbClr val="00678E"/>
              </a:solidFill>
              <a:ln>
                <a:solidFill>
                  <a:schemeClr val="tx1"/>
                </a:solidFill>
              </a:ln>
            </c:spPr>
            <c:extLst>
              <c:ext xmlns:c16="http://schemas.microsoft.com/office/drawing/2014/chart" uri="{C3380CC4-5D6E-409C-BE32-E72D297353CC}">
                <c16:uniqueId val="{00000003-7B18-4145-9583-DB4CB126BFF8}"/>
              </c:ext>
            </c:extLst>
          </c:dPt>
          <c:dPt>
            <c:idx val="2"/>
            <c:bubble3D val="0"/>
            <c:spPr>
              <a:solidFill>
                <a:srgbClr val="00B3D2"/>
              </a:solidFill>
              <a:ln>
                <a:solidFill>
                  <a:schemeClr val="tx1"/>
                </a:solidFill>
              </a:ln>
            </c:spPr>
            <c:extLst>
              <c:ext xmlns:c16="http://schemas.microsoft.com/office/drawing/2014/chart" uri="{C3380CC4-5D6E-409C-BE32-E72D297353CC}">
                <c16:uniqueId val="{00000005-7B18-4145-9583-DB4CB126BFF8}"/>
              </c:ext>
            </c:extLst>
          </c:dPt>
          <c:dPt>
            <c:idx val="3"/>
            <c:bubble3D val="0"/>
            <c:spPr>
              <a:solidFill>
                <a:srgbClr val="FFC000"/>
              </a:solidFill>
              <a:ln>
                <a:solidFill>
                  <a:schemeClr val="tx1"/>
                </a:solidFill>
              </a:ln>
            </c:spPr>
            <c:extLst>
              <c:ext xmlns:c16="http://schemas.microsoft.com/office/drawing/2014/chart" uri="{C3380CC4-5D6E-409C-BE32-E72D297353CC}">
                <c16:uniqueId val="{00000007-7B18-4145-9583-DB4CB126BFF8}"/>
              </c:ext>
            </c:extLst>
          </c:dPt>
          <c:dPt>
            <c:idx val="4"/>
            <c:bubble3D val="0"/>
            <c:spPr>
              <a:solidFill>
                <a:srgbClr val="91547F"/>
              </a:solidFill>
              <a:ln>
                <a:solidFill>
                  <a:schemeClr val="tx1"/>
                </a:solidFill>
              </a:ln>
            </c:spPr>
            <c:extLst>
              <c:ext xmlns:c16="http://schemas.microsoft.com/office/drawing/2014/chart" uri="{C3380CC4-5D6E-409C-BE32-E72D297353CC}">
                <c16:uniqueId val="{00000009-7B18-4145-9583-DB4CB126BFF8}"/>
              </c:ext>
            </c:extLst>
          </c:dPt>
          <c:dPt>
            <c:idx val="5"/>
            <c:bubble3D val="0"/>
            <c:spPr>
              <a:solidFill>
                <a:srgbClr val="488652"/>
              </a:solidFill>
              <a:ln>
                <a:solidFill>
                  <a:schemeClr val="tx1"/>
                </a:solidFill>
              </a:ln>
            </c:spPr>
            <c:extLst>
              <c:ext xmlns:c16="http://schemas.microsoft.com/office/drawing/2014/chart" uri="{C3380CC4-5D6E-409C-BE32-E72D297353CC}">
                <c16:uniqueId val="{0000000B-7B18-4145-9583-DB4CB126BFF8}"/>
              </c:ext>
            </c:extLst>
          </c:dPt>
          <c:dPt>
            <c:idx val="6"/>
            <c:bubble3D val="0"/>
            <c:spPr>
              <a:solidFill>
                <a:srgbClr val="A7A9AC"/>
              </a:solidFill>
              <a:ln>
                <a:solidFill>
                  <a:schemeClr val="tx1"/>
                </a:solidFill>
              </a:ln>
            </c:spPr>
            <c:extLst>
              <c:ext xmlns:c16="http://schemas.microsoft.com/office/drawing/2014/chart" uri="{C3380CC4-5D6E-409C-BE32-E72D297353CC}">
                <c16:uniqueId val="{0000000D-7B18-4145-9583-DB4CB126BFF8}"/>
              </c:ext>
            </c:extLst>
          </c:dPt>
          <c:dLbls>
            <c:numFmt formatCode="0%;\-0%;&quot;&quot;;@" sourceLinked="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'Balance Summary'!$AH$3:$AH$9</c:f>
              <c:strCache>
                <c:ptCount val="7"/>
                <c:pt idx="0">
                  <c:v>Coal</c:v>
                </c:pt>
                <c:pt idx="1">
                  <c:v>Oil</c:v>
                </c:pt>
                <c:pt idx="2">
                  <c:v>Natural gas</c:v>
                </c:pt>
                <c:pt idx="3">
                  <c:v>Nuclear</c:v>
                </c:pt>
                <c:pt idx="4">
                  <c:v>Hydro</c:v>
                </c:pt>
                <c:pt idx="5">
                  <c:v>Biofuels and waste</c:v>
                </c:pt>
                <c:pt idx="6">
                  <c:v>Other ²</c:v>
                </c:pt>
              </c:strCache>
            </c:strRef>
          </c:cat>
          <c:val>
            <c:numRef>
              <c:f>'Balance Summary'!$AJ$3:$AJ$9</c:f>
              <c:numCache>
                <c:formatCode>0</c:formatCode>
                <c:ptCount val="7"/>
                <c:pt idx="0">
                  <c:v>4087995.4415419996</c:v>
                </c:pt>
                <c:pt idx="1">
                  <c:v>1722568.762150499</c:v>
                </c:pt>
                <c:pt idx="2">
                  <c:v>117672.17901916505</c:v>
                </c:pt>
                <c:pt idx="3">
                  <c:v>198135.20818181819</c:v>
                </c:pt>
                <c:pt idx="4">
                  <c:v>-56949.423599999995</c:v>
                </c:pt>
                <c:pt idx="5">
                  <c:v>0</c:v>
                </c:pt>
                <c:pt idx="6">
                  <c:v>44033.19</c:v>
                </c:pt>
              </c:numCache>
            </c:numRef>
          </c:val>
          <c:extLst>
            <c:ext xmlns:c16="http://schemas.microsoft.com/office/drawing/2014/chart" uri="{C3380CC4-5D6E-409C-BE32-E72D297353CC}">
              <c16:uniqueId val="{0000000E-7B18-4145-9583-DB4CB126BFF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45285141244149"/>
          <c:y val="8.0922961552883171E-2"/>
          <c:w val="0.5654714858755866"/>
          <c:h val="0.91907703844711763"/>
        </c:manualLayout>
      </c:layout>
      <c:overlay val="0"/>
      <c:txPr>
        <a:bodyPr/>
        <a:lstStyle/>
        <a:p>
          <a:pPr>
            <a:defRPr sz="800" baseline="0"/>
          </a:pPr>
          <a:endParaRPr lang="en-US"/>
        </a:p>
      </c:txPr>
    </c:legend>
    <c:plotVisOnly val="0"/>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471157003039771"/>
          <c:y val="5.1400725644588544E-2"/>
          <c:w val="0.79199191663034618"/>
          <c:h val="0.62749121744397662"/>
        </c:manualLayout>
      </c:layout>
      <c:areaChart>
        <c:grouping val="standard"/>
        <c:varyColors val="0"/>
        <c:ser>
          <c:idx val="1"/>
          <c:order val="0"/>
          <c:tx>
            <c:strRef>
              <c:f>CapacityFactor!$AA$39</c:f>
              <c:strCache>
                <c:ptCount val="1"/>
                <c:pt idx="0">
                  <c:v>Maximum possible production</c:v>
                </c:pt>
              </c:strCache>
            </c:strRef>
          </c:tx>
          <c:spPr>
            <a:solidFill>
              <a:schemeClr val="accent3"/>
            </a:solidFill>
            <a:ln w="25400">
              <a:noFill/>
            </a:ln>
          </c:spPr>
          <c:cat>
            <c:numRef>
              <c:f>CapacityFactor!$AB$37:$AM$37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CapacityFactor!$AB$39:$AM$39</c:f>
              <c:numCache>
                <c:formatCode>General</c:formatCode>
                <c:ptCount val="12"/>
                <c:pt idx="0">
                  <c:v>96.36</c:v>
                </c:pt>
                <c:pt idx="1">
                  <c:v>96.36</c:v>
                </c:pt>
                <c:pt idx="2">
                  <c:v>96.36</c:v>
                </c:pt>
                <c:pt idx="3">
                  <c:v>96.36</c:v>
                </c:pt>
                <c:pt idx="4">
                  <c:v>96.36</c:v>
                </c:pt>
                <c:pt idx="5">
                  <c:v>96.36</c:v>
                </c:pt>
                <c:pt idx="6">
                  <c:v>96.36</c:v>
                </c:pt>
                <c:pt idx="7">
                  <c:v>96.36</c:v>
                </c:pt>
                <c:pt idx="8">
                  <c:v>96.36</c:v>
                </c:pt>
                <c:pt idx="9">
                  <c:v>96.36</c:v>
                </c:pt>
                <c:pt idx="10">
                  <c:v>96.36</c:v>
                </c:pt>
                <c:pt idx="11">
                  <c:v>96.36</c:v>
                </c:pt>
              </c:numCache>
            </c:numRef>
          </c:val>
          <c:extLst>
            <c:ext xmlns:c16="http://schemas.microsoft.com/office/drawing/2014/chart" uri="{C3380CC4-5D6E-409C-BE32-E72D297353CC}">
              <c16:uniqueId val="{00000000-8EDD-4C4E-8EA7-B45BE50E07A6}"/>
            </c:ext>
          </c:extLst>
        </c:ser>
        <c:ser>
          <c:idx val="0"/>
          <c:order val="1"/>
          <c:tx>
            <c:strRef>
              <c:f>CapacityFactor!$AA$38</c:f>
              <c:strCache>
                <c:ptCount val="1"/>
                <c:pt idx="0">
                  <c:v>Actual production</c:v>
                </c:pt>
              </c:strCache>
            </c:strRef>
          </c:tx>
          <c:spPr>
            <a:solidFill>
              <a:schemeClr val="accent2"/>
            </a:solidFill>
          </c:spPr>
          <c:dPt>
            <c:idx val="1"/>
            <c:bubble3D val="0"/>
            <c:spPr>
              <a:solidFill>
                <a:schemeClr val="accent2"/>
              </a:solidFill>
              <a:ln>
                <a:solidFill>
                  <a:schemeClr val="tx1"/>
                </a:solidFill>
              </a:ln>
            </c:spPr>
            <c:extLst>
              <c:ext xmlns:c16="http://schemas.microsoft.com/office/drawing/2014/chart" uri="{C3380CC4-5D6E-409C-BE32-E72D297353CC}">
                <c16:uniqueId val="{00000002-8EDD-4C4E-8EA7-B45BE50E07A6}"/>
              </c:ext>
            </c:extLst>
          </c:dPt>
          <c:cat>
            <c:numRef>
              <c:f>CapacityFactor!$AB$37:$AM$37</c:f>
              <c:numCache>
                <c:formatCode>General</c:formatCode>
                <c:ptCount val="12"/>
                <c:pt idx="0">
                  <c:v>1</c:v>
                </c:pt>
                <c:pt idx="1">
                  <c:v>2</c:v>
                </c:pt>
                <c:pt idx="2">
                  <c:v>3</c:v>
                </c:pt>
                <c:pt idx="3">
                  <c:v>4</c:v>
                </c:pt>
                <c:pt idx="4">
                  <c:v>5</c:v>
                </c:pt>
                <c:pt idx="5">
                  <c:v>6</c:v>
                </c:pt>
                <c:pt idx="6">
                  <c:v>7</c:v>
                </c:pt>
                <c:pt idx="7">
                  <c:v>8</c:v>
                </c:pt>
                <c:pt idx="8">
                  <c:v>9</c:v>
                </c:pt>
                <c:pt idx="9">
                  <c:v>10</c:v>
                </c:pt>
                <c:pt idx="10">
                  <c:v>11</c:v>
                </c:pt>
                <c:pt idx="11">
                  <c:v>12</c:v>
                </c:pt>
              </c:numCache>
            </c:numRef>
          </c:cat>
          <c:val>
            <c:numRef>
              <c:f>CapacityFactor!$AB$38:$AM$38</c:f>
              <c:numCache>
                <c:formatCode>General</c:formatCode>
                <c:ptCount val="12"/>
                <c:pt idx="0">
                  <c:v>88.4</c:v>
                </c:pt>
                <c:pt idx="1">
                  <c:v>71.3</c:v>
                </c:pt>
                <c:pt idx="2">
                  <c:v>71.28</c:v>
                </c:pt>
                <c:pt idx="3">
                  <c:v>61.76</c:v>
                </c:pt>
                <c:pt idx="4">
                  <c:v>48.86</c:v>
                </c:pt>
                <c:pt idx="5">
                  <c:v>43.04</c:v>
                </c:pt>
                <c:pt idx="6">
                  <c:v>40.239999999999995</c:v>
                </c:pt>
                <c:pt idx="7">
                  <c:v>42.879999999999995</c:v>
                </c:pt>
                <c:pt idx="8">
                  <c:v>46.120000000000005</c:v>
                </c:pt>
                <c:pt idx="9">
                  <c:v>66.34</c:v>
                </c:pt>
                <c:pt idx="10">
                  <c:v>80.12</c:v>
                </c:pt>
                <c:pt idx="11">
                  <c:v>76.44</c:v>
                </c:pt>
              </c:numCache>
            </c:numRef>
          </c:val>
          <c:extLst>
            <c:ext xmlns:c16="http://schemas.microsoft.com/office/drawing/2014/chart" uri="{C3380CC4-5D6E-409C-BE32-E72D297353CC}">
              <c16:uniqueId val="{00000003-8EDD-4C4E-8EA7-B45BE50E07A6}"/>
            </c:ext>
          </c:extLst>
        </c:ser>
        <c:dLbls>
          <c:showLegendKey val="0"/>
          <c:showVal val="0"/>
          <c:showCatName val="0"/>
          <c:showSerName val="0"/>
          <c:showPercent val="0"/>
          <c:showBubbleSize val="0"/>
        </c:dLbls>
        <c:axId val="254747008"/>
        <c:axId val="254748928"/>
      </c:areaChart>
      <c:catAx>
        <c:axId val="254747008"/>
        <c:scaling>
          <c:orientation val="minMax"/>
        </c:scaling>
        <c:delete val="0"/>
        <c:axPos val="b"/>
        <c:title>
          <c:tx>
            <c:strRef>
              <c:f>CapacityFactor!$AB$33</c:f>
              <c:strCache>
                <c:ptCount val="1"/>
                <c:pt idx="0">
                  <c:v>Month</c:v>
                </c:pt>
              </c:strCache>
            </c:strRef>
          </c:tx>
          <c:layout>
            <c:manualLayout>
              <c:xMode val="edge"/>
              <c:yMode val="edge"/>
              <c:x val="0.51085018173203323"/>
              <c:y val="0.79417847769028915"/>
            </c:manualLayout>
          </c:layout>
          <c:overlay val="0"/>
          <c:txPr>
            <a:bodyPr/>
            <a:lstStyle/>
            <a:p>
              <a:pPr>
                <a:defRPr sz="800"/>
              </a:pPr>
              <a:endParaRPr lang="en-US"/>
            </a:p>
          </c:txPr>
        </c:title>
        <c:numFmt formatCode="General" sourceLinked="1"/>
        <c:majorTickMark val="none"/>
        <c:minorTickMark val="none"/>
        <c:tickLblPos val="nextTo"/>
        <c:spPr>
          <a:noFill/>
          <a:ln>
            <a:solidFill>
              <a:schemeClr val="tx1"/>
            </a:solidFill>
          </a:ln>
        </c:spPr>
        <c:txPr>
          <a:bodyPr/>
          <a:lstStyle/>
          <a:p>
            <a:pPr>
              <a:defRPr sz="1000" baseline="0"/>
            </a:pPr>
            <a:endParaRPr lang="en-US"/>
          </a:p>
        </c:txPr>
        <c:crossAx val="254748928"/>
        <c:crosses val="autoZero"/>
        <c:auto val="1"/>
        <c:lblAlgn val="ctr"/>
        <c:lblOffset val="100"/>
        <c:noMultiLvlLbl val="0"/>
      </c:catAx>
      <c:valAx>
        <c:axId val="254748928"/>
        <c:scaling>
          <c:orientation val="minMax"/>
          <c:max val="100"/>
          <c:min val="0"/>
        </c:scaling>
        <c:delete val="0"/>
        <c:axPos val="l"/>
        <c:majorGridlines>
          <c:spPr>
            <a:ln>
              <a:solidFill>
                <a:schemeClr val="bg1">
                  <a:lumMod val="50000"/>
                </a:schemeClr>
              </a:solidFill>
            </a:ln>
          </c:spPr>
        </c:majorGridlines>
        <c:title>
          <c:tx>
            <c:strRef>
              <c:f>CapacityFactor!$AB$34</c:f>
              <c:strCache>
                <c:ptCount val="1"/>
                <c:pt idx="0">
                  <c:v>Output</c:v>
                </c:pt>
              </c:strCache>
            </c:strRef>
          </c:tx>
          <c:overlay val="0"/>
          <c:txPr>
            <a:bodyPr rot="-5400000" vert="horz"/>
            <a:lstStyle/>
            <a:p>
              <a:pPr>
                <a:defRPr sz="1000" baseline="0"/>
              </a:pPr>
              <a:endParaRPr lang="en-US"/>
            </a:p>
          </c:txPr>
        </c:title>
        <c:numFmt formatCode="General" sourceLinked="1"/>
        <c:majorTickMark val="none"/>
        <c:minorTickMark val="none"/>
        <c:tickLblPos val="nextTo"/>
        <c:spPr>
          <a:ln>
            <a:solidFill>
              <a:schemeClr val="tx1"/>
            </a:solidFill>
          </a:ln>
        </c:spPr>
        <c:txPr>
          <a:bodyPr/>
          <a:lstStyle/>
          <a:p>
            <a:pPr>
              <a:defRPr sz="900" baseline="0"/>
            </a:pPr>
            <a:endParaRPr lang="en-US"/>
          </a:p>
        </c:txPr>
        <c:crossAx val="254747008"/>
        <c:crosses val="autoZero"/>
        <c:crossBetween val="midCat"/>
      </c:valAx>
      <c:spPr>
        <a:noFill/>
        <a:ln w="15875">
          <a:solidFill>
            <a:schemeClr val="tx1"/>
          </a:solidFill>
        </a:ln>
      </c:spPr>
    </c:plotArea>
    <c:legend>
      <c:legendPos val="r"/>
      <c:layout>
        <c:manualLayout>
          <c:xMode val="edge"/>
          <c:yMode val="edge"/>
          <c:x val="0.12044388750693574"/>
          <c:y val="0.85812396527357204"/>
          <c:w val="0.80671367385490111"/>
          <c:h val="0.12990591560670298"/>
        </c:manualLayout>
      </c:layout>
      <c:overlay val="0"/>
      <c:txPr>
        <a:bodyPr/>
        <a:lstStyle/>
        <a:p>
          <a:pPr>
            <a:defRPr sz="900"/>
          </a:pPr>
          <a:endParaRPr lang="en-US"/>
        </a:p>
      </c:txPr>
    </c:legend>
    <c:plotVisOnly val="0"/>
    <c:dispBlanksAs val="zero"/>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902531251390188"/>
          <c:y val="0.15805515341972423"/>
          <c:w val="0.63978824680813384"/>
          <c:h val="0.51121307871233013"/>
        </c:manualLayout>
      </c:layout>
      <c:barChart>
        <c:barDir val="bar"/>
        <c:grouping val="stacked"/>
        <c:varyColors val="0"/>
        <c:ser>
          <c:idx val="0"/>
          <c:order val="0"/>
          <c:tx>
            <c:strRef>
              <c:f>'Balance Summary'!$AH$84</c:f>
              <c:strCache>
                <c:ptCount val="1"/>
                <c:pt idx="0">
                  <c:v>Coal</c:v>
                </c:pt>
              </c:strCache>
            </c:strRef>
          </c:tx>
          <c:spPr>
            <a:solidFill>
              <a:srgbClr val="AA5A1C"/>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Summary'!$AI$84:$AM$84</c:f>
              <c:numCache>
                <c:formatCode>0</c:formatCode>
                <c:ptCount val="5"/>
                <c:pt idx="0">
                  <c:v>530349.58198600006</c:v>
                </c:pt>
                <c:pt idx="1">
                  <c:v>0</c:v>
                </c:pt>
                <c:pt idx="2">
                  <c:v>18193.927204</c:v>
                </c:pt>
                <c:pt idx="3">
                  <c:v>17856.180247999997</c:v>
                </c:pt>
                <c:pt idx="4">
                  <c:v>1903.75792</c:v>
                </c:pt>
              </c:numCache>
            </c:numRef>
          </c:val>
          <c:extLst>
            <c:ext xmlns:c16="http://schemas.microsoft.com/office/drawing/2014/chart" uri="{C3380CC4-5D6E-409C-BE32-E72D297353CC}">
              <c16:uniqueId val="{00000000-5B0E-40D9-909A-FEC283160F4D}"/>
            </c:ext>
          </c:extLst>
        </c:ser>
        <c:ser>
          <c:idx val="1"/>
          <c:order val="1"/>
          <c:tx>
            <c:strRef>
              <c:f>'Balance Summary'!$AH$85</c:f>
              <c:strCache>
                <c:ptCount val="1"/>
                <c:pt idx="0">
                  <c:v>Oil</c:v>
                </c:pt>
              </c:strCache>
            </c:strRef>
          </c:tx>
          <c:spPr>
            <a:solidFill>
              <a:srgbClr val="00678E"/>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Summary'!$AI$85:$AM$85</c:f>
              <c:numCache>
                <c:formatCode>0</c:formatCode>
                <c:ptCount val="5"/>
                <c:pt idx="0">
                  <c:v>90422.607692819933</c:v>
                </c:pt>
                <c:pt idx="1">
                  <c:v>560770.741133095</c:v>
                </c:pt>
                <c:pt idx="2">
                  <c:v>86.630227810339989</c:v>
                </c:pt>
                <c:pt idx="3">
                  <c:v>238026.96593246856</c:v>
                </c:pt>
                <c:pt idx="4">
                  <c:v>6983.9183885260009</c:v>
                </c:pt>
              </c:numCache>
            </c:numRef>
          </c:val>
          <c:extLst>
            <c:ext xmlns:c16="http://schemas.microsoft.com/office/drawing/2014/chart" uri="{C3380CC4-5D6E-409C-BE32-E72D297353CC}">
              <c16:uniqueId val="{00000001-5B0E-40D9-909A-FEC283160F4D}"/>
            </c:ext>
          </c:extLst>
        </c:ser>
        <c:ser>
          <c:idx val="2"/>
          <c:order val="2"/>
          <c:tx>
            <c:strRef>
              <c:f>'Balance Summary'!$AH$86</c:f>
              <c:strCache>
                <c:ptCount val="1"/>
                <c:pt idx="0">
                  <c:v>Natural gas</c:v>
                </c:pt>
              </c:strCache>
            </c:strRef>
          </c:tx>
          <c:spPr>
            <a:solidFill>
              <a:srgbClr val="00B3D2"/>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Summary'!$AI$86:$AM$86</c:f>
              <c:numCache>
                <c:formatCode>0</c:formatCode>
                <c:ptCount val="5"/>
                <c:pt idx="0">
                  <c:v>69571.799121093762</c:v>
                </c:pt>
                <c:pt idx="1">
                  <c:v>0</c:v>
                </c:pt>
                <c:pt idx="2">
                  <c:v>208.73699340820312</c:v>
                </c:pt>
                <c:pt idx="3">
                  <c:v>1110.6000000000001</c:v>
                </c:pt>
                <c:pt idx="4">
                  <c:v>0</c:v>
                </c:pt>
              </c:numCache>
            </c:numRef>
          </c:val>
          <c:extLst>
            <c:ext xmlns:c16="http://schemas.microsoft.com/office/drawing/2014/chart" uri="{C3380CC4-5D6E-409C-BE32-E72D297353CC}">
              <c16:uniqueId val="{00000002-5B0E-40D9-909A-FEC283160F4D}"/>
            </c:ext>
          </c:extLst>
        </c:ser>
        <c:ser>
          <c:idx val="3"/>
          <c:order val="3"/>
          <c:tx>
            <c:strRef>
              <c:f>'Balance Summary'!$AH$87</c:f>
              <c:strCache>
                <c:ptCount val="1"/>
                <c:pt idx="0">
                  <c:v>Biofuels and waste</c:v>
                </c:pt>
              </c:strCache>
            </c:strRef>
          </c:tx>
          <c:spPr>
            <a:solidFill>
              <a:srgbClr val="488652"/>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Summary'!$AI$87:$AM$87</c:f>
              <c:numCache>
                <c:formatCode>0</c:formatCode>
                <c:ptCount val="5"/>
                <c:pt idx="0">
                  <c:v>81176.2</c:v>
                </c:pt>
                <c:pt idx="1">
                  <c:v>0</c:v>
                </c:pt>
                <c:pt idx="2">
                  <c:v>344246.09</c:v>
                </c:pt>
                <c:pt idx="3">
                  <c:v>0</c:v>
                </c:pt>
                <c:pt idx="4">
                  <c:v>0</c:v>
                </c:pt>
              </c:numCache>
            </c:numRef>
          </c:val>
          <c:extLst>
            <c:ext xmlns:c16="http://schemas.microsoft.com/office/drawing/2014/chart" uri="{C3380CC4-5D6E-409C-BE32-E72D297353CC}">
              <c16:uniqueId val="{00000003-5B0E-40D9-909A-FEC283160F4D}"/>
            </c:ext>
          </c:extLst>
        </c:ser>
        <c:ser>
          <c:idx val="4"/>
          <c:order val="4"/>
          <c:tx>
            <c:strRef>
              <c:f>'Balance Summary'!$AH$88</c:f>
              <c:strCache>
                <c:ptCount val="1"/>
                <c:pt idx="0">
                  <c:v>Electricity</c:v>
                </c:pt>
              </c:strCache>
            </c:strRef>
          </c:tx>
          <c:spPr>
            <a:solidFill>
              <a:srgbClr val="D43633"/>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Summary'!$AI$88:$AM$88</c:f>
              <c:numCache>
                <c:formatCode>0</c:formatCode>
                <c:ptCount val="5"/>
                <c:pt idx="0">
                  <c:v>372905.17920000001</c:v>
                </c:pt>
                <c:pt idx="1">
                  <c:v>11526.505200000001</c:v>
                </c:pt>
                <c:pt idx="2">
                  <c:v>174682.80000000002</c:v>
                </c:pt>
                <c:pt idx="3">
                  <c:v>154684.79999999999</c:v>
                </c:pt>
                <c:pt idx="4">
                  <c:v>2685.6</c:v>
                </c:pt>
              </c:numCache>
            </c:numRef>
          </c:val>
          <c:extLst>
            <c:ext xmlns:c16="http://schemas.microsoft.com/office/drawing/2014/chart" uri="{C3380CC4-5D6E-409C-BE32-E72D297353CC}">
              <c16:uniqueId val="{00000004-5B0E-40D9-909A-FEC283160F4D}"/>
            </c:ext>
          </c:extLst>
        </c:ser>
        <c:ser>
          <c:idx val="5"/>
          <c:order val="5"/>
          <c:tx>
            <c:strRef>
              <c:f>'Balance Summary'!$AH$89</c:f>
              <c:strCache>
                <c:ptCount val="1"/>
                <c:pt idx="0">
                  <c:v>Heat</c:v>
                </c:pt>
              </c:strCache>
            </c:strRef>
          </c:tx>
          <c:spPr>
            <a:solidFill>
              <a:srgbClr val="A7A9AC"/>
            </a:solidFill>
          </c:spPr>
          <c:invertIfNegative val="0"/>
          <c:cat>
            <c:strRef>
              <c:f>'Balance Summary'!$AI$83:$AM$83</c:f>
              <c:strCache>
                <c:ptCount val="5"/>
                <c:pt idx="0">
                  <c:v>Industry</c:v>
                </c:pt>
                <c:pt idx="1">
                  <c:v>Transport</c:v>
                </c:pt>
                <c:pt idx="2">
                  <c:v>Residential</c:v>
                </c:pt>
                <c:pt idx="3">
                  <c:v>Services</c:v>
                </c:pt>
                <c:pt idx="4">
                  <c:v>Non-specified</c:v>
                </c:pt>
              </c:strCache>
            </c:strRef>
          </c:cat>
          <c:val>
            <c:numRef>
              <c:f>'Balance Summary'!$AI$89:$AM$89</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5-5B0E-40D9-909A-FEC283160F4D}"/>
            </c:ext>
          </c:extLst>
        </c:ser>
        <c:dLbls>
          <c:showLegendKey val="0"/>
          <c:showVal val="0"/>
          <c:showCatName val="0"/>
          <c:showSerName val="0"/>
          <c:showPercent val="0"/>
          <c:showBubbleSize val="0"/>
        </c:dLbls>
        <c:gapWidth val="100"/>
        <c:overlap val="100"/>
        <c:axId val="251851904"/>
        <c:axId val="251853440"/>
      </c:barChart>
      <c:catAx>
        <c:axId val="251851904"/>
        <c:scaling>
          <c:orientation val="maxMin"/>
        </c:scaling>
        <c:delete val="0"/>
        <c:axPos val="l"/>
        <c:numFmt formatCode="General" sourceLinked="1"/>
        <c:majorTickMark val="out"/>
        <c:minorTickMark val="none"/>
        <c:tickLblPos val="nextTo"/>
        <c:spPr>
          <a:ln>
            <a:solidFill>
              <a:schemeClr val="tx1"/>
            </a:solidFill>
          </a:ln>
        </c:spPr>
        <c:txPr>
          <a:bodyPr/>
          <a:lstStyle/>
          <a:p>
            <a:pPr>
              <a:defRPr sz="800" baseline="0"/>
            </a:pPr>
            <a:endParaRPr lang="en-US"/>
          </a:p>
        </c:txPr>
        <c:crossAx val="251853440"/>
        <c:crosses val="autoZero"/>
        <c:auto val="1"/>
        <c:lblAlgn val="ctr"/>
        <c:lblOffset val="100"/>
        <c:noMultiLvlLbl val="0"/>
      </c:catAx>
      <c:valAx>
        <c:axId val="251853440"/>
        <c:scaling>
          <c:orientation val="minMax"/>
        </c:scaling>
        <c:delete val="0"/>
        <c:axPos val="t"/>
        <c:majorGridlines/>
        <c:numFmt formatCode="0.0" sourceLinked="0"/>
        <c:majorTickMark val="out"/>
        <c:minorTickMark val="none"/>
        <c:tickLblPos val="nextTo"/>
        <c:spPr>
          <a:ln>
            <a:solidFill>
              <a:schemeClr val="tx1"/>
            </a:solidFill>
          </a:ln>
        </c:spPr>
        <c:txPr>
          <a:bodyPr/>
          <a:lstStyle/>
          <a:p>
            <a:pPr>
              <a:defRPr sz="900" baseline="0"/>
            </a:pPr>
            <a:endParaRPr lang="en-US"/>
          </a:p>
        </c:txPr>
        <c:crossAx val="251851904"/>
        <c:crosses val="autoZero"/>
        <c:crossBetween val="between"/>
        <c:dispUnits>
          <c:builtInUnit val="thousands"/>
        </c:dispUnits>
      </c:valAx>
      <c:spPr>
        <a:ln>
          <a:solidFill>
            <a:schemeClr val="tx1"/>
          </a:solidFill>
        </a:ln>
      </c:spPr>
    </c:plotArea>
    <c:legend>
      <c:legendPos val="r"/>
      <c:layout>
        <c:manualLayout>
          <c:xMode val="edge"/>
          <c:yMode val="edge"/>
          <c:x val="0"/>
          <c:y val="0.68182550041884582"/>
          <c:w val="1"/>
          <c:h val="0.31817449958115607"/>
        </c:manualLayout>
      </c:layout>
      <c:overlay val="0"/>
      <c:spPr>
        <a:noFill/>
      </c:spPr>
      <c:txPr>
        <a:bodyPr/>
        <a:lstStyle/>
        <a:p>
          <a:pPr>
            <a:defRPr sz="700" baseline="0"/>
          </a:pPr>
          <a:endParaRPr lang="en-US"/>
        </a:p>
      </c:txPr>
    </c:legend>
    <c:plotVisOnly val="0"/>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49640118514589E-2"/>
          <c:y val="0.16093411828166548"/>
          <c:w val="0.33954549798922318"/>
          <c:h val="0.69665411449248305"/>
        </c:manualLayout>
      </c:layout>
      <c:pieChart>
        <c:varyColors val="1"/>
        <c:ser>
          <c:idx val="0"/>
          <c:order val="0"/>
          <c:tx>
            <c:strRef>
              <c:f>'Balance Summary'!$AI$2</c:f>
              <c:strCache>
                <c:ptCount val="1"/>
                <c:pt idx="0">
                  <c:v>Graph 2: Energy production by fuel</c:v>
                </c:pt>
              </c:strCache>
            </c:strRef>
          </c:tx>
          <c:spPr>
            <a:solidFill>
              <a:srgbClr val="7030A0"/>
            </a:solidFill>
            <a:ln>
              <a:solidFill>
                <a:schemeClr val="tx1"/>
              </a:solidFill>
            </a:ln>
          </c:spPr>
          <c:dPt>
            <c:idx val="0"/>
            <c:bubble3D val="0"/>
            <c:spPr>
              <a:solidFill>
                <a:srgbClr val="AA5A1C"/>
              </a:solidFill>
              <a:ln>
                <a:solidFill>
                  <a:schemeClr val="tx1"/>
                </a:solidFill>
              </a:ln>
            </c:spPr>
            <c:extLst>
              <c:ext xmlns:c16="http://schemas.microsoft.com/office/drawing/2014/chart" uri="{C3380CC4-5D6E-409C-BE32-E72D297353CC}">
                <c16:uniqueId val="{00000001-C506-41E2-8C36-C6EE0EAD3126}"/>
              </c:ext>
            </c:extLst>
          </c:dPt>
          <c:dPt>
            <c:idx val="1"/>
            <c:bubble3D val="0"/>
            <c:spPr>
              <a:solidFill>
                <a:srgbClr val="00678E"/>
              </a:solidFill>
              <a:ln>
                <a:solidFill>
                  <a:schemeClr val="tx1"/>
                </a:solidFill>
              </a:ln>
            </c:spPr>
            <c:extLst>
              <c:ext xmlns:c16="http://schemas.microsoft.com/office/drawing/2014/chart" uri="{C3380CC4-5D6E-409C-BE32-E72D297353CC}">
                <c16:uniqueId val="{00000003-C506-41E2-8C36-C6EE0EAD3126}"/>
              </c:ext>
            </c:extLst>
          </c:dPt>
          <c:dPt>
            <c:idx val="2"/>
            <c:bubble3D val="0"/>
            <c:spPr>
              <a:solidFill>
                <a:srgbClr val="00B3D2"/>
              </a:solidFill>
              <a:ln>
                <a:solidFill>
                  <a:schemeClr val="tx1"/>
                </a:solidFill>
              </a:ln>
            </c:spPr>
            <c:extLst>
              <c:ext xmlns:c16="http://schemas.microsoft.com/office/drawing/2014/chart" uri="{C3380CC4-5D6E-409C-BE32-E72D297353CC}">
                <c16:uniqueId val="{00000005-C506-41E2-8C36-C6EE0EAD3126}"/>
              </c:ext>
            </c:extLst>
          </c:dPt>
          <c:dPt>
            <c:idx val="3"/>
            <c:bubble3D val="0"/>
            <c:spPr>
              <a:solidFill>
                <a:srgbClr val="FFC000"/>
              </a:solidFill>
              <a:ln>
                <a:solidFill>
                  <a:schemeClr val="tx1"/>
                </a:solidFill>
              </a:ln>
            </c:spPr>
            <c:extLst>
              <c:ext xmlns:c16="http://schemas.microsoft.com/office/drawing/2014/chart" uri="{C3380CC4-5D6E-409C-BE32-E72D297353CC}">
                <c16:uniqueId val="{00000007-C506-41E2-8C36-C6EE0EAD3126}"/>
              </c:ext>
            </c:extLst>
          </c:dPt>
          <c:dPt>
            <c:idx val="4"/>
            <c:bubble3D val="0"/>
            <c:spPr>
              <a:solidFill>
                <a:srgbClr val="91547F"/>
              </a:solidFill>
              <a:ln>
                <a:solidFill>
                  <a:schemeClr val="tx1"/>
                </a:solidFill>
              </a:ln>
            </c:spPr>
            <c:extLst>
              <c:ext xmlns:c16="http://schemas.microsoft.com/office/drawing/2014/chart" uri="{C3380CC4-5D6E-409C-BE32-E72D297353CC}">
                <c16:uniqueId val="{00000009-C506-41E2-8C36-C6EE0EAD3126}"/>
              </c:ext>
            </c:extLst>
          </c:dPt>
          <c:dPt>
            <c:idx val="5"/>
            <c:bubble3D val="0"/>
            <c:spPr>
              <a:solidFill>
                <a:srgbClr val="488652"/>
              </a:solidFill>
              <a:ln>
                <a:solidFill>
                  <a:schemeClr val="tx1"/>
                </a:solidFill>
              </a:ln>
            </c:spPr>
            <c:extLst>
              <c:ext xmlns:c16="http://schemas.microsoft.com/office/drawing/2014/chart" uri="{C3380CC4-5D6E-409C-BE32-E72D297353CC}">
                <c16:uniqueId val="{0000000B-C506-41E2-8C36-C6EE0EAD3126}"/>
              </c:ext>
            </c:extLst>
          </c:dPt>
          <c:dPt>
            <c:idx val="6"/>
            <c:bubble3D val="0"/>
            <c:spPr>
              <a:solidFill>
                <a:srgbClr val="A7A9AC"/>
              </a:solidFill>
              <a:ln>
                <a:solidFill>
                  <a:schemeClr val="tx1"/>
                </a:solidFill>
              </a:ln>
            </c:spPr>
            <c:extLst>
              <c:ext xmlns:c16="http://schemas.microsoft.com/office/drawing/2014/chart" uri="{C3380CC4-5D6E-409C-BE32-E72D297353CC}">
                <c16:uniqueId val="{0000000D-C506-41E2-8C36-C6EE0EAD3126}"/>
              </c:ext>
            </c:extLst>
          </c:dPt>
          <c:dLbls>
            <c:numFmt formatCode="0%;\-0%;&quot;&quot;;@" sourceLinked="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'Balance Summary'!$AH$3:$AH$9</c:f>
              <c:strCache>
                <c:ptCount val="7"/>
                <c:pt idx="0">
                  <c:v>Coal</c:v>
                </c:pt>
                <c:pt idx="1">
                  <c:v>Oil</c:v>
                </c:pt>
                <c:pt idx="2">
                  <c:v>Natural gas</c:v>
                </c:pt>
                <c:pt idx="3">
                  <c:v>Nuclear</c:v>
                </c:pt>
                <c:pt idx="4">
                  <c:v>Hydro</c:v>
                </c:pt>
                <c:pt idx="5">
                  <c:v>Biofuels and waste</c:v>
                </c:pt>
                <c:pt idx="6">
                  <c:v>Other ²</c:v>
                </c:pt>
              </c:strCache>
            </c:strRef>
          </c:cat>
          <c:val>
            <c:numRef>
              <c:f>'Balance Summary'!$AI$3:$AI$9</c:f>
              <c:numCache>
                <c:formatCode>0</c:formatCode>
                <c:ptCount val="7"/>
                <c:pt idx="0">
                  <c:v>6020866.3651390001</c:v>
                </c:pt>
                <c:pt idx="1">
                  <c:v>587143.76603205118</c:v>
                </c:pt>
                <c:pt idx="2">
                  <c:v>655</c:v>
                </c:pt>
                <c:pt idx="3">
                  <c:v>198135.20818181819</c:v>
                </c:pt>
                <c:pt idx="4">
                  <c:v>-56949.423599999995</c:v>
                </c:pt>
                <c:pt idx="5">
                  <c:v>0</c:v>
                </c:pt>
                <c:pt idx="6">
                  <c:v>44033.19</c:v>
                </c:pt>
              </c:numCache>
            </c:numRef>
          </c:val>
          <c:extLst>
            <c:ext xmlns:c16="http://schemas.microsoft.com/office/drawing/2014/chart" uri="{C3380CC4-5D6E-409C-BE32-E72D297353CC}">
              <c16:uniqueId val="{0000000E-C506-41E2-8C36-C6EE0EAD312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45285141244149"/>
          <c:y val="8.0922961552883171E-2"/>
          <c:w val="0.5654714858755866"/>
          <c:h val="0.91907703844711763"/>
        </c:manualLayout>
      </c:layout>
      <c:overlay val="0"/>
      <c:txPr>
        <a:bodyPr/>
        <a:lstStyle/>
        <a:p>
          <a:pPr>
            <a:defRPr sz="800" baseline="0"/>
          </a:pPr>
          <a:endParaRPr lang="en-US"/>
        </a:p>
      </c:txPr>
    </c:legend>
    <c:plotVisOnly val="0"/>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49640118514589E-2"/>
          <c:y val="0.16093411828166548"/>
          <c:w val="0.33954549798922318"/>
          <c:h val="0.69665411449248305"/>
        </c:manualLayout>
      </c:layout>
      <c:pieChart>
        <c:varyColors val="1"/>
        <c:ser>
          <c:idx val="0"/>
          <c:order val="0"/>
          <c:tx>
            <c:strRef>
              <c:f>'Balance Summary'!$AL$2</c:f>
              <c:strCache>
                <c:ptCount val="1"/>
                <c:pt idx="0">
                  <c:v>Graph 3: Electricity production by source</c:v>
                </c:pt>
              </c:strCache>
            </c:strRef>
          </c:tx>
          <c:spPr>
            <a:solidFill>
              <a:srgbClr val="7030A0"/>
            </a:solidFill>
            <a:ln>
              <a:solidFill>
                <a:schemeClr val="tx1"/>
              </a:solidFill>
            </a:ln>
          </c:spPr>
          <c:dPt>
            <c:idx val="0"/>
            <c:bubble3D val="0"/>
            <c:spPr>
              <a:solidFill>
                <a:srgbClr val="AA5A1C"/>
              </a:solidFill>
              <a:ln>
                <a:solidFill>
                  <a:schemeClr val="tx1"/>
                </a:solidFill>
              </a:ln>
            </c:spPr>
            <c:extLst>
              <c:ext xmlns:c16="http://schemas.microsoft.com/office/drawing/2014/chart" uri="{C3380CC4-5D6E-409C-BE32-E72D297353CC}">
                <c16:uniqueId val="{00000001-668C-471D-81BA-68726E87ECA6}"/>
              </c:ext>
            </c:extLst>
          </c:dPt>
          <c:dPt>
            <c:idx val="1"/>
            <c:bubble3D val="0"/>
            <c:spPr>
              <a:solidFill>
                <a:srgbClr val="00678E"/>
              </a:solidFill>
              <a:ln>
                <a:solidFill>
                  <a:schemeClr val="tx1"/>
                </a:solidFill>
              </a:ln>
            </c:spPr>
            <c:extLst>
              <c:ext xmlns:c16="http://schemas.microsoft.com/office/drawing/2014/chart" uri="{C3380CC4-5D6E-409C-BE32-E72D297353CC}">
                <c16:uniqueId val="{00000003-668C-471D-81BA-68726E87ECA6}"/>
              </c:ext>
            </c:extLst>
          </c:dPt>
          <c:dPt>
            <c:idx val="2"/>
            <c:bubble3D val="0"/>
            <c:spPr>
              <a:solidFill>
                <a:srgbClr val="00B3D2"/>
              </a:solidFill>
              <a:ln>
                <a:solidFill>
                  <a:schemeClr val="tx1"/>
                </a:solidFill>
              </a:ln>
            </c:spPr>
            <c:extLst>
              <c:ext xmlns:c16="http://schemas.microsoft.com/office/drawing/2014/chart" uri="{C3380CC4-5D6E-409C-BE32-E72D297353CC}">
                <c16:uniqueId val="{00000005-668C-471D-81BA-68726E87ECA6}"/>
              </c:ext>
            </c:extLst>
          </c:dPt>
          <c:dPt>
            <c:idx val="3"/>
            <c:bubble3D val="0"/>
            <c:spPr>
              <a:solidFill>
                <a:srgbClr val="FFC000"/>
              </a:solidFill>
              <a:ln>
                <a:solidFill>
                  <a:schemeClr val="tx1"/>
                </a:solidFill>
              </a:ln>
            </c:spPr>
            <c:extLst>
              <c:ext xmlns:c16="http://schemas.microsoft.com/office/drawing/2014/chart" uri="{C3380CC4-5D6E-409C-BE32-E72D297353CC}">
                <c16:uniqueId val="{00000007-668C-471D-81BA-68726E87ECA6}"/>
              </c:ext>
            </c:extLst>
          </c:dPt>
          <c:dPt>
            <c:idx val="4"/>
            <c:bubble3D val="0"/>
            <c:spPr>
              <a:solidFill>
                <a:srgbClr val="91547F"/>
              </a:solidFill>
              <a:ln>
                <a:solidFill>
                  <a:schemeClr val="tx1"/>
                </a:solidFill>
              </a:ln>
            </c:spPr>
            <c:extLst>
              <c:ext xmlns:c16="http://schemas.microsoft.com/office/drawing/2014/chart" uri="{C3380CC4-5D6E-409C-BE32-E72D297353CC}">
                <c16:uniqueId val="{00000009-668C-471D-81BA-68726E87ECA6}"/>
              </c:ext>
            </c:extLst>
          </c:dPt>
          <c:dPt>
            <c:idx val="5"/>
            <c:bubble3D val="0"/>
            <c:spPr>
              <a:solidFill>
                <a:srgbClr val="488652"/>
              </a:solidFill>
              <a:ln>
                <a:solidFill>
                  <a:schemeClr val="tx1"/>
                </a:solidFill>
              </a:ln>
            </c:spPr>
            <c:extLst>
              <c:ext xmlns:c16="http://schemas.microsoft.com/office/drawing/2014/chart" uri="{C3380CC4-5D6E-409C-BE32-E72D297353CC}">
                <c16:uniqueId val="{0000000B-668C-471D-81BA-68726E87ECA6}"/>
              </c:ext>
            </c:extLst>
          </c:dPt>
          <c:dPt>
            <c:idx val="6"/>
            <c:bubble3D val="0"/>
            <c:spPr>
              <a:solidFill>
                <a:srgbClr val="A7A9AC"/>
              </a:solidFill>
              <a:ln>
                <a:solidFill>
                  <a:schemeClr val="tx1"/>
                </a:solidFill>
              </a:ln>
            </c:spPr>
            <c:extLst>
              <c:ext xmlns:c16="http://schemas.microsoft.com/office/drawing/2014/chart" uri="{C3380CC4-5D6E-409C-BE32-E72D297353CC}">
                <c16:uniqueId val="{0000000D-668C-471D-81BA-68726E87ECA6}"/>
              </c:ext>
            </c:extLst>
          </c:dPt>
          <c:dLbls>
            <c:numFmt formatCode="0%;\-0%;&quot;&quot;;@" sourceLinked="0"/>
            <c:spPr>
              <a:solidFill>
                <a:schemeClr val="bg1"/>
              </a:solidFill>
              <a:ln>
                <a:noFill/>
              </a:ln>
            </c:spPr>
            <c:txPr>
              <a:bodyPr/>
              <a:lstStyle/>
              <a:p>
                <a:pPr>
                  <a:defRPr sz="800" b="0" i="0" u="none" strike="noStrike" baseline="0">
                    <a:solidFill>
                      <a:srgbClr val="000000"/>
                    </a:solidFill>
                    <a:latin typeface="Calibri"/>
                    <a:ea typeface="Calibri"/>
                    <a:cs typeface="Calibri"/>
                  </a:defRPr>
                </a:pPr>
                <a:endParaRPr lang="en-US"/>
              </a:p>
            </c:txPr>
            <c:dLblPos val="bestFit"/>
            <c:showLegendKey val="0"/>
            <c:showVal val="0"/>
            <c:showCatName val="0"/>
            <c:showSerName val="0"/>
            <c:showPercent val="1"/>
            <c:showBubbleSize val="0"/>
            <c:showLeaderLines val="1"/>
            <c:extLst>
              <c:ext xmlns:c15="http://schemas.microsoft.com/office/drawing/2012/chart" uri="{CE6537A1-D6FC-4f65-9D91-7224C49458BB}"/>
            </c:extLst>
          </c:dLbls>
          <c:cat>
            <c:strRef>
              <c:f>'Balance Summary'!$AH$3:$AH$9</c:f>
              <c:strCache>
                <c:ptCount val="7"/>
                <c:pt idx="0">
                  <c:v>Coal</c:v>
                </c:pt>
                <c:pt idx="1">
                  <c:v>Oil</c:v>
                </c:pt>
                <c:pt idx="2">
                  <c:v>Natural gas</c:v>
                </c:pt>
                <c:pt idx="3">
                  <c:v>Nuclear</c:v>
                </c:pt>
                <c:pt idx="4">
                  <c:v>Hydro</c:v>
                </c:pt>
                <c:pt idx="5">
                  <c:v>Biofuels and waste</c:v>
                </c:pt>
                <c:pt idx="6">
                  <c:v>Other ²</c:v>
                </c:pt>
              </c:strCache>
            </c:strRef>
          </c:cat>
          <c:val>
            <c:numRef>
              <c:f>'Balance Summary'!$AL$3:$AL$9</c:f>
              <c:numCache>
                <c:formatCode>0</c:formatCode>
                <c:ptCount val="7"/>
                <c:pt idx="0">
                  <c:v>200341.94</c:v>
                </c:pt>
                <c:pt idx="1">
                  <c:v>0</c:v>
                </c:pt>
                <c:pt idx="2">
                  <c:v>0</c:v>
                </c:pt>
                <c:pt idx="3">
                  <c:v>14214</c:v>
                </c:pt>
                <c:pt idx="4">
                  <c:v>-16036.450999999999</c:v>
                </c:pt>
                <c:pt idx="5">
                  <c:v>309.06</c:v>
                </c:pt>
                <c:pt idx="6">
                  <c:v>9507.7000000000007</c:v>
                </c:pt>
              </c:numCache>
            </c:numRef>
          </c:val>
          <c:extLst>
            <c:ext xmlns:c16="http://schemas.microsoft.com/office/drawing/2014/chart" uri="{C3380CC4-5D6E-409C-BE32-E72D297353CC}">
              <c16:uniqueId val="{0000000E-668C-471D-81BA-68726E87ECA6}"/>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45285141244149"/>
          <c:y val="8.0922961552883171E-2"/>
          <c:w val="0.5654714858755866"/>
          <c:h val="0.91907703844711763"/>
        </c:manualLayout>
      </c:layout>
      <c:overlay val="0"/>
      <c:txPr>
        <a:bodyPr/>
        <a:lstStyle/>
        <a:p>
          <a:pPr>
            <a:defRPr sz="800" baseline="0"/>
          </a:pPr>
          <a:endParaRPr lang="en-US"/>
        </a:p>
      </c:txPr>
    </c:legend>
    <c:plotVisOnly val="0"/>
    <c:dispBlanksAs val="zero"/>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6308936792736966E-2"/>
          <c:y val="2.0919136700269202E-2"/>
          <c:w val="0.56870599371799835"/>
          <c:h val="0.88951450299481749"/>
        </c:manualLayout>
      </c:layout>
      <c:pieChart>
        <c:varyColors val="1"/>
        <c:ser>
          <c:idx val="0"/>
          <c:order val="0"/>
          <c:tx>
            <c:strRef>
              <c:f>IronSteel_CokeOven!$A$37</c:f>
              <c:strCache>
                <c:ptCount val="1"/>
                <c:pt idx="0">
                  <c:v>Output(s)</c:v>
                </c:pt>
              </c:strCache>
            </c:strRef>
          </c:tx>
          <c:spPr>
            <a:ln>
              <a:solidFill>
                <a:schemeClr val="bg1"/>
              </a:solidFill>
            </a:ln>
          </c:spPr>
          <c:dLbls>
            <c:dLbl>
              <c:idx val="2"/>
              <c:layout>
                <c:manualLayout>
                  <c:x val="7.6154335333633957E-2"/>
                  <c:y val="7.7405750417561425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4F9-4318-9A75-B7177791D9C8}"/>
                </c:ext>
              </c:extLst>
            </c:dLbl>
            <c:spPr>
              <a:solidFill>
                <a:schemeClr val="bg1"/>
              </a:solidFill>
              <a:ln>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dLblPos val="ctr"/>
            <c:showLegendKey val="0"/>
            <c:showVal val="0"/>
            <c:showCatName val="0"/>
            <c:showSerName val="0"/>
            <c:showPercent val="1"/>
            <c:showBubbleSize val="0"/>
            <c:showLeaderLines val="1"/>
            <c:extLst>
              <c:ext xmlns:c15="http://schemas.microsoft.com/office/drawing/2012/chart" uri="{CE6537A1-D6FC-4f65-9D91-7224C49458BB}"/>
            </c:extLst>
          </c:dLbls>
          <c:cat>
            <c:strRef>
              <c:f>IronSteel_CokeOven!$B$37:$B$39</c:f>
              <c:strCache>
                <c:ptCount val="3"/>
                <c:pt idx="0">
                  <c:v>Coke oven coke</c:v>
                </c:pt>
                <c:pt idx="1">
                  <c:v>Coal tar</c:v>
                </c:pt>
                <c:pt idx="2">
                  <c:v>Coke oven gas</c:v>
                </c:pt>
              </c:strCache>
            </c:strRef>
          </c:cat>
          <c:val>
            <c:numRef>
              <c:f>IronSteel_CokeOven!$G$37:$G$39</c:f>
              <c:numCache>
                <c:formatCode>#,##0</c:formatCode>
                <c:ptCount val="3"/>
                <c:pt idx="0">
                  <c:v>790.9230226903602</c:v>
                </c:pt>
                <c:pt idx="1">
                  <c:v>0</c:v>
                </c:pt>
                <c:pt idx="2">
                  <c:v>0</c:v>
                </c:pt>
              </c:numCache>
            </c:numRef>
          </c:val>
          <c:extLst>
            <c:ext xmlns:c16="http://schemas.microsoft.com/office/drawing/2014/chart" uri="{C3380CC4-5D6E-409C-BE32-E72D297353CC}">
              <c16:uniqueId val="{00000001-84F9-4318-9A75-B7177791D9C8}"/>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0630024525622817"/>
          <c:y val="0.13892401911299587"/>
          <c:w val="0.38927929090830882"/>
          <c:h val="0.66431765260111908"/>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0"/>
    <c:dispBlanksAs val="zero"/>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546226762976942"/>
          <c:y val="4.1465981027083133E-2"/>
          <c:w val="0.76120945555962971"/>
          <c:h val="0.70919018934643618"/>
        </c:manualLayout>
      </c:layout>
      <c:barChart>
        <c:barDir val="col"/>
        <c:grouping val="stacked"/>
        <c:varyColors val="0"/>
        <c:ser>
          <c:idx val="1"/>
          <c:order val="0"/>
          <c:tx>
            <c:strRef>
              <c:f>IronSteel_CokeOven!$AB$48</c:f>
              <c:strCache>
                <c:ptCount val="1"/>
                <c:pt idx="0">
                  <c:v>Coke oven coke</c:v>
                </c:pt>
              </c:strCache>
            </c:strRef>
          </c:tx>
          <c:spPr>
            <a:solidFill>
              <a:schemeClr val="bg2">
                <a:lumMod val="75000"/>
              </a:schemeClr>
            </a:solidFill>
          </c:spPr>
          <c:invertIfNegative val="0"/>
          <c:cat>
            <c:strRef>
              <c:f>IronSteel_CokeOven!$AC$44:$AE$44</c:f>
              <c:strCache>
                <c:ptCount val="3"/>
                <c:pt idx="0">
                  <c:v>Input(s)</c:v>
                </c:pt>
                <c:pt idx="2">
                  <c:v>Output(s)</c:v>
                </c:pt>
              </c:strCache>
            </c:strRef>
          </c:cat>
          <c:val>
            <c:numRef>
              <c:f>IronSteel_CokeOven!$AC$48:$AE$48</c:f>
              <c:numCache>
                <c:formatCode>General</c:formatCode>
                <c:ptCount val="3"/>
                <c:pt idx="0">
                  <c:v>0</c:v>
                </c:pt>
                <c:pt idx="2" formatCode="#,##0">
                  <c:v>790.9230226903602</c:v>
                </c:pt>
              </c:numCache>
            </c:numRef>
          </c:val>
          <c:extLst>
            <c:ext xmlns:c16="http://schemas.microsoft.com/office/drawing/2014/chart" uri="{C3380CC4-5D6E-409C-BE32-E72D297353CC}">
              <c16:uniqueId val="{00000000-7CDC-4B14-BF32-B65AA1812BE2}"/>
            </c:ext>
          </c:extLst>
        </c:ser>
        <c:ser>
          <c:idx val="2"/>
          <c:order val="1"/>
          <c:tx>
            <c:strRef>
              <c:f>IronSteel_CokeOven!$AB$49</c:f>
              <c:strCache>
                <c:ptCount val="1"/>
                <c:pt idx="0">
                  <c:v>Coal tar</c:v>
                </c:pt>
              </c:strCache>
            </c:strRef>
          </c:tx>
          <c:spPr>
            <a:solidFill>
              <a:schemeClr val="tx1">
                <a:lumMod val="85000"/>
                <a:lumOff val="15000"/>
              </a:schemeClr>
            </a:solidFill>
          </c:spPr>
          <c:invertIfNegative val="0"/>
          <c:cat>
            <c:strRef>
              <c:f>IronSteel_CokeOven!$AC$44:$AE$44</c:f>
              <c:strCache>
                <c:ptCount val="3"/>
                <c:pt idx="0">
                  <c:v>Input(s)</c:v>
                </c:pt>
                <c:pt idx="2">
                  <c:v>Output(s)</c:v>
                </c:pt>
              </c:strCache>
            </c:strRef>
          </c:cat>
          <c:val>
            <c:numRef>
              <c:f>IronSteel_CokeOven!$AC$49:$AE$49</c:f>
              <c:numCache>
                <c:formatCode>General</c:formatCode>
                <c:ptCount val="3"/>
                <c:pt idx="0">
                  <c:v>0</c:v>
                </c:pt>
                <c:pt idx="2" formatCode="#,##0">
                  <c:v>0</c:v>
                </c:pt>
              </c:numCache>
            </c:numRef>
          </c:val>
          <c:extLst>
            <c:ext xmlns:c16="http://schemas.microsoft.com/office/drawing/2014/chart" uri="{C3380CC4-5D6E-409C-BE32-E72D297353CC}">
              <c16:uniqueId val="{00000001-7CDC-4B14-BF32-B65AA1812BE2}"/>
            </c:ext>
          </c:extLst>
        </c:ser>
        <c:ser>
          <c:idx val="3"/>
          <c:order val="2"/>
          <c:tx>
            <c:strRef>
              <c:f>IronSteel_CokeOven!$AB$50</c:f>
              <c:strCache>
                <c:ptCount val="1"/>
                <c:pt idx="0">
                  <c:v>Coke oven gas</c:v>
                </c:pt>
              </c:strCache>
            </c:strRef>
          </c:tx>
          <c:spPr>
            <a:solidFill>
              <a:schemeClr val="accent2"/>
            </a:solidFill>
          </c:spPr>
          <c:invertIfNegative val="0"/>
          <c:cat>
            <c:strRef>
              <c:f>IronSteel_CokeOven!$AC$44:$AE$44</c:f>
              <c:strCache>
                <c:ptCount val="3"/>
                <c:pt idx="0">
                  <c:v>Input(s)</c:v>
                </c:pt>
                <c:pt idx="2">
                  <c:v>Output(s)</c:v>
                </c:pt>
              </c:strCache>
            </c:strRef>
          </c:cat>
          <c:val>
            <c:numRef>
              <c:f>IronSteel_CokeOven!$AC$50:$AE$50</c:f>
              <c:numCache>
                <c:formatCode>General</c:formatCode>
                <c:ptCount val="3"/>
                <c:pt idx="0">
                  <c:v>0</c:v>
                </c:pt>
                <c:pt idx="2" formatCode="#,##0">
                  <c:v>0</c:v>
                </c:pt>
              </c:numCache>
            </c:numRef>
          </c:val>
          <c:extLst>
            <c:ext xmlns:c16="http://schemas.microsoft.com/office/drawing/2014/chart" uri="{C3380CC4-5D6E-409C-BE32-E72D297353CC}">
              <c16:uniqueId val="{00000002-7CDC-4B14-BF32-B65AA1812BE2}"/>
            </c:ext>
          </c:extLst>
        </c:ser>
        <c:ser>
          <c:idx val="8"/>
          <c:order val="3"/>
          <c:tx>
            <c:strRef>
              <c:f>IronSteel_CokeOven!$AB$47</c:f>
              <c:strCache>
                <c:ptCount val="1"/>
                <c:pt idx="0">
                  <c:v>Other inputs</c:v>
                </c:pt>
              </c:strCache>
            </c:strRef>
          </c:tx>
          <c:spPr>
            <a:solidFill>
              <a:schemeClr val="bg1">
                <a:lumMod val="75000"/>
              </a:schemeClr>
            </a:solidFill>
          </c:spPr>
          <c:invertIfNegative val="0"/>
          <c:cat>
            <c:strRef>
              <c:f>IronSteel_CokeOven!$AC$44:$AE$44</c:f>
              <c:strCache>
                <c:ptCount val="3"/>
                <c:pt idx="0">
                  <c:v>Input(s)</c:v>
                </c:pt>
                <c:pt idx="2">
                  <c:v>Output(s)</c:v>
                </c:pt>
              </c:strCache>
            </c:strRef>
          </c:cat>
          <c:val>
            <c:numRef>
              <c:f>IronSteel_CokeOven!$AC$47:$AE$47</c:f>
              <c:numCache>
                <c:formatCode>General</c:formatCode>
                <c:ptCount val="3"/>
                <c:pt idx="0" formatCode="#,##0">
                  <c:v>0</c:v>
                </c:pt>
                <c:pt idx="2">
                  <c:v>0</c:v>
                </c:pt>
              </c:numCache>
            </c:numRef>
          </c:val>
          <c:extLst>
            <c:ext xmlns:c16="http://schemas.microsoft.com/office/drawing/2014/chart" uri="{C3380CC4-5D6E-409C-BE32-E72D297353CC}">
              <c16:uniqueId val="{00000003-7CDC-4B14-BF32-B65AA1812BE2}"/>
            </c:ext>
          </c:extLst>
        </c:ser>
        <c:ser>
          <c:idx val="7"/>
          <c:order val="4"/>
          <c:tx>
            <c:strRef>
              <c:f>IronSteel_CokeOven!$AB$46</c:f>
              <c:strCache>
                <c:ptCount val="1"/>
                <c:pt idx="0">
                  <c:v>Other bituminous coal</c:v>
                </c:pt>
              </c:strCache>
            </c:strRef>
          </c:tx>
          <c:spPr>
            <a:solidFill>
              <a:schemeClr val="bg1">
                <a:lumMod val="75000"/>
              </a:schemeClr>
            </a:solidFill>
          </c:spPr>
          <c:invertIfNegative val="0"/>
          <c:cat>
            <c:strRef>
              <c:f>IronSteel_CokeOven!$AC$44:$AE$44</c:f>
              <c:strCache>
                <c:ptCount val="3"/>
                <c:pt idx="0">
                  <c:v>Input(s)</c:v>
                </c:pt>
                <c:pt idx="2">
                  <c:v>Output(s)</c:v>
                </c:pt>
              </c:strCache>
            </c:strRef>
          </c:cat>
          <c:val>
            <c:numRef>
              <c:f>IronSteel_CokeOven!$AC$46:$AE$46</c:f>
              <c:numCache>
                <c:formatCode>General</c:formatCode>
                <c:ptCount val="3"/>
                <c:pt idx="0" formatCode="#,##0">
                  <c:v>0</c:v>
                </c:pt>
                <c:pt idx="2">
                  <c:v>0</c:v>
                </c:pt>
              </c:numCache>
            </c:numRef>
          </c:val>
          <c:extLst>
            <c:ext xmlns:c16="http://schemas.microsoft.com/office/drawing/2014/chart" uri="{C3380CC4-5D6E-409C-BE32-E72D297353CC}">
              <c16:uniqueId val="{00000004-7CDC-4B14-BF32-B65AA1812BE2}"/>
            </c:ext>
          </c:extLst>
        </c:ser>
        <c:ser>
          <c:idx val="0"/>
          <c:order val="5"/>
          <c:tx>
            <c:strRef>
              <c:f>IronSteel_CokeOven!$AB$45</c:f>
              <c:strCache>
                <c:ptCount val="1"/>
                <c:pt idx="0">
                  <c:v>Coking coal</c:v>
                </c:pt>
              </c:strCache>
            </c:strRef>
          </c:tx>
          <c:spPr>
            <a:solidFill>
              <a:schemeClr val="bg1">
                <a:lumMod val="50000"/>
              </a:schemeClr>
            </a:solidFill>
          </c:spPr>
          <c:invertIfNegative val="0"/>
          <c:cat>
            <c:strRef>
              <c:f>IronSteel_CokeOven!$AC$44:$AE$44</c:f>
              <c:strCache>
                <c:ptCount val="3"/>
                <c:pt idx="0">
                  <c:v>Input(s)</c:v>
                </c:pt>
                <c:pt idx="2">
                  <c:v>Output(s)</c:v>
                </c:pt>
              </c:strCache>
            </c:strRef>
          </c:cat>
          <c:val>
            <c:numRef>
              <c:f>IronSteel_CokeOven!$AC$45:$AE$45</c:f>
              <c:numCache>
                <c:formatCode>General</c:formatCode>
                <c:ptCount val="3"/>
                <c:pt idx="0" formatCode="#,##0">
                  <c:v>763.11825033438424</c:v>
                </c:pt>
                <c:pt idx="2">
                  <c:v>0</c:v>
                </c:pt>
              </c:numCache>
            </c:numRef>
          </c:val>
          <c:extLst>
            <c:ext xmlns:c16="http://schemas.microsoft.com/office/drawing/2014/chart" uri="{C3380CC4-5D6E-409C-BE32-E72D297353CC}">
              <c16:uniqueId val="{00000005-7CDC-4B14-BF32-B65AA1812BE2}"/>
            </c:ext>
          </c:extLst>
        </c:ser>
        <c:dLbls>
          <c:showLegendKey val="0"/>
          <c:showVal val="0"/>
          <c:showCatName val="0"/>
          <c:showSerName val="0"/>
          <c:showPercent val="0"/>
          <c:showBubbleSize val="0"/>
        </c:dLbls>
        <c:gapWidth val="400"/>
        <c:overlap val="100"/>
        <c:axId val="252136064"/>
        <c:axId val="252141952"/>
      </c:barChart>
      <c:lineChart>
        <c:grouping val="standard"/>
        <c:varyColors val="0"/>
        <c:ser>
          <c:idx val="4"/>
          <c:order val="6"/>
          <c:tx>
            <c:strRef>
              <c:f>IronSteel_CokeOven!$AB$51</c:f>
              <c:strCache>
                <c:ptCount val="1"/>
                <c:pt idx="0">
                  <c:v>Efficiency range</c:v>
                </c:pt>
              </c:strCache>
            </c:strRef>
          </c:tx>
          <c:spPr>
            <a:ln w="28575">
              <a:solidFill>
                <a:schemeClr val="accent3">
                  <a:lumMod val="75000"/>
                </a:schemeClr>
              </a:solidFill>
              <a:prstDash val="dash"/>
            </a:ln>
          </c:spPr>
          <c:marker>
            <c:symbol val="none"/>
          </c:marker>
          <c:cat>
            <c:strRef>
              <c:f>IronSteel_CokeOven!$AC$44:$AE$44</c:f>
              <c:strCache>
                <c:ptCount val="3"/>
                <c:pt idx="0">
                  <c:v>Input(s)</c:v>
                </c:pt>
                <c:pt idx="2">
                  <c:v>Output(s)</c:v>
                </c:pt>
              </c:strCache>
            </c:strRef>
          </c:cat>
          <c:val>
            <c:numRef>
              <c:f>IronSteel_CokeOven!$AC$51:$AE$51</c:f>
              <c:numCache>
                <c:formatCode>#,##0</c:formatCode>
                <c:ptCount val="3"/>
                <c:pt idx="0">
                  <c:v>511.28922772403746</c:v>
                </c:pt>
                <c:pt idx="1">
                  <c:v>511.28922772403746</c:v>
                </c:pt>
                <c:pt idx="2">
                  <c:v>511.28922772403746</c:v>
                </c:pt>
              </c:numCache>
            </c:numRef>
          </c:val>
          <c:smooth val="0"/>
          <c:extLst>
            <c:ext xmlns:c16="http://schemas.microsoft.com/office/drawing/2014/chart" uri="{C3380CC4-5D6E-409C-BE32-E72D297353CC}">
              <c16:uniqueId val="{00000006-7CDC-4B14-BF32-B65AA1812BE2}"/>
            </c:ext>
          </c:extLst>
        </c:ser>
        <c:ser>
          <c:idx val="5"/>
          <c:order val="7"/>
          <c:tx>
            <c:strRef>
              <c:f>IronSteel_CokeOven!$AB$52</c:f>
              <c:strCache>
                <c:ptCount val="1"/>
                <c:pt idx="0">
                  <c:v>Efficiency range</c:v>
                </c:pt>
              </c:strCache>
            </c:strRef>
          </c:tx>
          <c:spPr>
            <a:ln>
              <a:solidFill>
                <a:schemeClr val="accent3">
                  <a:lumMod val="75000"/>
                </a:schemeClr>
              </a:solidFill>
              <a:prstDash val="dash"/>
            </a:ln>
          </c:spPr>
          <c:marker>
            <c:symbol val="none"/>
          </c:marker>
          <c:cat>
            <c:strRef>
              <c:f>IronSteel_CokeOven!$AC$44:$AE$44</c:f>
              <c:strCache>
                <c:ptCount val="3"/>
                <c:pt idx="0">
                  <c:v>Input(s)</c:v>
                </c:pt>
                <c:pt idx="2">
                  <c:v>Output(s)</c:v>
                </c:pt>
              </c:strCache>
            </c:strRef>
          </c:cat>
          <c:val>
            <c:numRef>
              <c:f>IronSteel_CokeOven!$AC$52:$AE$52</c:f>
              <c:numCache>
                <c:formatCode>#,##0</c:formatCode>
                <c:ptCount val="3"/>
                <c:pt idx="0">
                  <c:v>686.80642530094588</c:v>
                </c:pt>
                <c:pt idx="1">
                  <c:v>686.80642530094588</c:v>
                </c:pt>
                <c:pt idx="2">
                  <c:v>686.80642530094588</c:v>
                </c:pt>
              </c:numCache>
            </c:numRef>
          </c:val>
          <c:smooth val="0"/>
          <c:extLst>
            <c:ext xmlns:c16="http://schemas.microsoft.com/office/drawing/2014/chart" uri="{C3380CC4-5D6E-409C-BE32-E72D297353CC}">
              <c16:uniqueId val="{00000007-7CDC-4B14-BF32-B65AA1812BE2}"/>
            </c:ext>
          </c:extLst>
        </c:ser>
        <c:ser>
          <c:idx val="6"/>
          <c:order val="8"/>
          <c:tx>
            <c:strRef>
              <c:f>IronSteel_CokeOven!$AB$53</c:f>
              <c:strCache>
                <c:ptCount val="1"/>
                <c:pt idx="0">
                  <c:v>South Africa process efficiency</c:v>
                </c:pt>
              </c:strCache>
            </c:strRef>
          </c:tx>
          <c:spPr>
            <a:ln>
              <a:solidFill>
                <a:srgbClr val="FF0000"/>
              </a:solidFill>
              <a:prstDash val="dash"/>
            </a:ln>
          </c:spPr>
          <c:marker>
            <c:symbol val="none"/>
          </c:marker>
          <c:cat>
            <c:strRef>
              <c:f>IronSteel_CokeOven!$AC$44:$AE$44</c:f>
              <c:strCache>
                <c:ptCount val="3"/>
                <c:pt idx="0">
                  <c:v>Input(s)</c:v>
                </c:pt>
                <c:pt idx="2">
                  <c:v>Output(s)</c:v>
                </c:pt>
              </c:strCache>
            </c:strRef>
          </c:cat>
          <c:val>
            <c:numRef>
              <c:f>IronSteel_CokeOven!$AC$53:$AE$53</c:f>
              <c:numCache>
                <c:formatCode>#,##0</c:formatCode>
                <c:ptCount val="3"/>
                <c:pt idx="0">
                  <c:v>790.9230226903602</c:v>
                </c:pt>
                <c:pt idx="1">
                  <c:v>790.9230226903602</c:v>
                </c:pt>
                <c:pt idx="2">
                  <c:v>790.9230226903602</c:v>
                </c:pt>
              </c:numCache>
            </c:numRef>
          </c:val>
          <c:smooth val="0"/>
          <c:extLst>
            <c:ext xmlns:c16="http://schemas.microsoft.com/office/drawing/2014/chart" uri="{C3380CC4-5D6E-409C-BE32-E72D297353CC}">
              <c16:uniqueId val="{00000008-7CDC-4B14-BF32-B65AA1812BE2}"/>
            </c:ext>
          </c:extLst>
        </c:ser>
        <c:dLbls>
          <c:showLegendKey val="0"/>
          <c:showVal val="0"/>
          <c:showCatName val="0"/>
          <c:showSerName val="0"/>
          <c:showPercent val="0"/>
          <c:showBubbleSize val="0"/>
        </c:dLbls>
        <c:marker val="1"/>
        <c:smooth val="0"/>
        <c:axId val="252136064"/>
        <c:axId val="252141952"/>
      </c:lineChart>
      <c:catAx>
        <c:axId val="252136064"/>
        <c:scaling>
          <c:orientation val="minMax"/>
        </c:scaling>
        <c:delete val="0"/>
        <c:axPos val="b"/>
        <c:numFmt formatCode="General" sourceLinked="1"/>
        <c:majorTickMark val="out"/>
        <c:minorTickMark val="none"/>
        <c:tickLblPos val="nextTo"/>
        <c:spPr>
          <a:ln>
            <a:solidFill>
              <a:schemeClr val="tx1"/>
            </a:solidFill>
          </a:ln>
        </c:spPr>
        <c:txPr>
          <a:bodyPr/>
          <a:lstStyle/>
          <a:p>
            <a:pPr>
              <a:defRPr sz="900" b="1" i="0" baseline="0"/>
            </a:pPr>
            <a:endParaRPr lang="en-US"/>
          </a:p>
        </c:txPr>
        <c:crossAx val="252141952"/>
        <c:crosses val="autoZero"/>
        <c:auto val="1"/>
        <c:lblAlgn val="ctr"/>
        <c:lblOffset val="100"/>
        <c:noMultiLvlLbl val="0"/>
      </c:catAx>
      <c:valAx>
        <c:axId val="252141952"/>
        <c:scaling>
          <c:orientation val="minMax"/>
        </c:scaling>
        <c:delete val="0"/>
        <c:axPos val="l"/>
        <c:title>
          <c:tx>
            <c:strRef>
              <c:f>IronSteel_CokeOven!$AC$54</c:f>
              <c:strCache>
                <c:ptCount val="1"/>
                <c:pt idx="0">
                  <c:v>Energy quantity [ktoe]</c:v>
                </c:pt>
              </c:strCache>
            </c:strRef>
          </c:tx>
          <c:overlay val="0"/>
          <c:txPr>
            <a:bodyPr rot="-5400000" vert="horz"/>
            <a:lstStyle/>
            <a:p>
              <a:pPr>
                <a:defRPr/>
              </a:pPr>
              <a:endParaRPr lang="en-US"/>
            </a:p>
          </c:txPr>
        </c:title>
        <c:numFmt formatCode="#,##0" sourceLinked="0"/>
        <c:majorTickMark val="out"/>
        <c:minorTickMark val="none"/>
        <c:tickLblPos val="nextTo"/>
        <c:spPr>
          <a:ln>
            <a:solidFill>
              <a:schemeClr val="tx1"/>
            </a:solidFill>
          </a:ln>
        </c:spPr>
        <c:crossAx val="252136064"/>
        <c:crosses val="autoZero"/>
        <c:crossBetween val="between"/>
      </c:valAx>
      <c:spPr>
        <a:noFill/>
        <a:ln w="25400">
          <a:noFill/>
        </a:ln>
      </c:spPr>
    </c:plotArea>
    <c:legend>
      <c:legendPos val="r"/>
      <c:legendEntry>
        <c:idx val="7"/>
        <c:delete val="1"/>
      </c:legendEntry>
      <c:layout>
        <c:manualLayout>
          <c:xMode val="edge"/>
          <c:yMode val="edge"/>
          <c:x val="2.2155792723001718E-2"/>
          <c:y val="0.82191155609465261"/>
          <c:w val="0.96650647263599365"/>
          <c:h val="0.17460715582875894"/>
        </c:manualLayout>
      </c:layout>
      <c:overlay val="0"/>
      <c:txPr>
        <a:bodyPr/>
        <a:lstStyle/>
        <a:p>
          <a:pPr>
            <a:defRPr sz="800" baseline="0"/>
          </a:pPr>
          <a:endParaRPr lang="en-US"/>
        </a:p>
      </c:txPr>
    </c:legend>
    <c:plotVisOnly val="0"/>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793044840727187"/>
          <c:y val="8.982877140357455E-2"/>
          <c:w val="0.64862096285182036"/>
          <c:h val="0.73051662659814665"/>
        </c:manualLayout>
      </c:layout>
      <c:barChart>
        <c:barDir val="col"/>
        <c:grouping val="stacked"/>
        <c:varyColors val="0"/>
        <c:ser>
          <c:idx val="2"/>
          <c:order val="0"/>
          <c:tx>
            <c:strRef>
              <c:f>IronSteel_BlastFurnace!$AB$47</c:f>
              <c:strCache>
                <c:ptCount val="1"/>
                <c:pt idx="0">
                  <c:v>Other recovered gases</c:v>
                </c:pt>
              </c:strCache>
            </c:strRef>
          </c:tx>
          <c:spPr>
            <a:solidFill>
              <a:schemeClr val="accent2">
                <a:lumMod val="50000"/>
              </a:schemeClr>
            </a:solidFill>
          </c:spPr>
          <c:invertIfNegative val="0"/>
          <c:cat>
            <c:strRef>
              <c:f>IronSteel_BlastFurnace!$AC$43:$AE$43</c:f>
              <c:strCache>
                <c:ptCount val="3"/>
                <c:pt idx="0">
                  <c:v>Input(s)</c:v>
                </c:pt>
                <c:pt idx="2">
                  <c:v>Output(s)</c:v>
                </c:pt>
              </c:strCache>
            </c:strRef>
          </c:cat>
          <c:val>
            <c:numRef>
              <c:f>IronSteel_BlastFurnace!$AC$47:$AE$47</c:f>
              <c:numCache>
                <c:formatCode>General</c:formatCode>
                <c:ptCount val="3"/>
                <c:pt idx="0">
                  <c:v>0</c:v>
                </c:pt>
                <c:pt idx="2" formatCode="#,##0">
                  <c:v>0</c:v>
                </c:pt>
              </c:numCache>
            </c:numRef>
          </c:val>
          <c:extLst>
            <c:ext xmlns:c16="http://schemas.microsoft.com/office/drawing/2014/chart" uri="{C3380CC4-5D6E-409C-BE32-E72D297353CC}">
              <c16:uniqueId val="{00000000-A679-4B4A-AC31-9E8502026FAC}"/>
            </c:ext>
          </c:extLst>
        </c:ser>
        <c:ser>
          <c:idx val="3"/>
          <c:order val="1"/>
          <c:tx>
            <c:strRef>
              <c:f>IronSteel_BlastFurnace!$AB$46</c:f>
              <c:strCache>
                <c:ptCount val="1"/>
                <c:pt idx="0">
                  <c:v>Blast furnace gas</c:v>
                </c:pt>
              </c:strCache>
            </c:strRef>
          </c:tx>
          <c:spPr>
            <a:solidFill>
              <a:schemeClr val="accent2"/>
            </a:solidFill>
          </c:spPr>
          <c:invertIfNegative val="0"/>
          <c:cat>
            <c:strRef>
              <c:f>IronSteel_BlastFurnace!$AC$43:$AE$43</c:f>
              <c:strCache>
                <c:ptCount val="3"/>
                <c:pt idx="0">
                  <c:v>Input(s)</c:v>
                </c:pt>
                <c:pt idx="2">
                  <c:v>Output(s)</c:v>
                </c:pt>
              </c:strCache>
            </c:strRef>
          </c:cat>
          <c:val>
            <c:numRef>
              <c:f>IronSteel_BlastFurnace!$AC$46:$AE$46</c:f>
              <c:numCache>
                <c:formatCode>General</c:formatCode>
                <c:ptCount val="3"/>
                <c:pt idx="0">
                  <c:v>0</c:v>
                </c:pt>
                <c:pt idx="2" formatCode="#,##0">
                  <c:v>0</c:v>
                </c:pt>
              </c:numCache>
            </c:numRef>
          </c:val>
          <c:extLst>
            <c:ext xmlns:c16="http://schemas.microsoft.com/office/drawing/2014/chart" uri="{C3380CC4-5D6E-409C-BE32-E72D297353CC}">
              <c16:uniqueId val="{00000001-A679-4B4A-AC31-9E8502026FAC}"/>
            </c:ext>
          </c:extLst>
        </c:ser>
        <c:ser>
          <c:idx val="0"/>
          <c:order val="2"/>
          <c:tx>
            <c:strRef>
              <c:f>IronSteel_BlastFurnace!$AB$45</c:f>
              <c:strCache>
                <c:ptCount val="1"/>
                <c:pt idx="0">
                  <c:v>Pulverized coal injection</c:v>
                </c:pt>
              </c:strCache>
            </c:strRef>
          </c:tx>
          <c:spPr>
            <a:solidFill>
              <a:schemeClr val="bg2">
                <a:lumMod val="25000"/>
              </a:schemeClr>
            </a:solidFill>
          </c:spPr>
          <c:invertIfNegative val="0"/>
          <c:cat>
            <c:strRef>
              <c:f>IronSteel_BlastFurnace!$AC$43:$AE$43</c:f>
              <c:strCache>
                <c:ptCount val="3"/>
                <c:pt idx="0">
                  <c:v>Input(s)</c:v>
                </c:pt>
                <c:pt idx="2">
                  <c:v>Output(s)</c:v>
                </c:pt>
              </c:strCache>
            </c:strRef>
          </c:cat>
          <c:val>
            <c:numRef>
              <c:f>IronSteel_BlastFurnace!$AC$45:$AE$45</c:f>
              <c:numCache>
                <c:formatCode>General</c:formatCode>
                <c:ptCount val="3"/>
                <c:pt idx="0" formatCode="#,##0">
                  <c:v>0</c:v>
                </c:pt>
                <c:pt idx="2" formatCode="#,##0">
                  <c:v>0</c:v>
                </c:pt>
              </c:numCache>
            </c:numRef>
          </c:val>
          <c:extLst>
            <c:ext xmlns:c16="http://schemas.microsoft.com/office/drawing/2014/chart" uri="{C3380CC4-5D6E-409C-BE32-E72D297353CC}">
              <c16:uniqueId val="{00000002-A679-4B4A-AC31-9E8502026FAC}"/>
            </c:ext>
          </c:extLst>
        </c:ser>
        <c:ser>
          <c:idx val="1"/>
          <c:order val="3"/>
          <c:tx>
            <c:strRef>
              <c:f>IronSteel_BlastFurnace!$AB$44</c:f>
              <c:strCache>
                <c:ptCount val="1"/>
                <c:pt idx="0">
                  <c:v>Coke oven coke</c:v>
                </c:pt>
              </c:strCache>
            </c:strRef>
          </c:tx>
          <c:spPr>
            <a:solidFill>
              <a:schemeClr val="bg2">
                <a:lumMod val="75000"/>
              </a:schemeClr>
            </a:solidFill>
          </c:spPr>
          <c:invertIfNegative val="0"/>
          <c:cat>
            <c:strRef>
              <c:f>IronSteel_BlastFurnace!$AC$43:$AE$43</c:f>
              <c:strCache>
                <c:ptCount val="3"/>
                <c:pt idx="0">
                  <c:v>Input(s)</c:v>
                </c:pt>
                <c:pt idx="2">
                  <c:v>Output(s)</c:v>
                </c:pt>
              </c:strCache>
            </c:strRef>
          </c:cat>
          <c:val>
            <c:numRef>
              <c:f>IronSteel_BlastFurnace!$AC$44:$AE$44</c:f>
              <c:numCache>
                <c:formatCode>General</c:formatCode>
                <c:ptCount val="3"/>
                <c:pt idx="0" formatCode="#,##0">
                  <c:v>664.37526311263969</c:v>
                </c:pt>
                <c:pt idx="2">
                  <c:v>0</c:v>
                </c:pt>
              </c:numCache>
            </c:numRef>
          </c:val>
          <c:extLst>
            <c:ext xmlns:c16="http://schemas.microsoft.com/office/drawing/2014/chart" uri="{C3380CC4-5D6E-409C-BE32-E72D297353CC}">
              <c16:uniqueId val="{00000003-A679-4B4A-AC31-9E8502026FAC}"/>
            </c:ext>
          </c:extLst>
        </c:ser>
        <c:dLbls>
          <c:showLegendKey val="0"/>
          <c:showVal val="0"/>
          <c:showCatName val="0"/>
          <c:showSerName val="0"/>
          <c:showPercent val="0"/>
          <c:showBubbleSize val="0"/>
        </c:dLbls>
        <c:gapWidth val="400"/>
        <c:overlap val="100"/>
        <c:axId val="253668736"/>
        <c:axId val="253670528"/>
      </c:barChart>
      <c:lineChart>
        <c:grouping val="standard"/>
        <c:varyColors val="0"/>
        <c:ser>
          <c:idx val="4"/>
          <c:order val="4"/>
          <c:tx>
            <c:strRef>
              <c:f>IronSteel_BlastFurnace!$AB$48</c:f>
              <c:strCache>
                <c:ptCount val="1"/>
                <c:pt idx="0">
                  <c:v>Range, blast furnace ratio</c:v>
                </c:pt>
              </c:strCache>
            </c:strRef>
          </c:tx>
          <c:spPr>
            <a:ln w="28575">
              <a:solidFill>
                <a:schemeClr val="accent3">
                  <a:lumMod val="75000"/>
                </a:schemeClr>
              </a:solidFill>
              <a:prstDash val="dash"/>
            </a:ln>
          </c:spPr>
          <c:marker>
            <c:symbol val="none"/>
          </c:marker>
          <c:cat>
            <c:strRef>
              <c:f>IronSteel_BlastFurnace!$AC$43:$AE$43</c:f>
              <c:strCache>
                <c:ptCount val="3"/>
                <c:pt idx="0">
                  <c:v>Input(s)</c:v>
                </c:pt>
                <c:pt idx="2">
                  <c:v>Output(s)</c:v>
                </c:pt>
              </c:strCache>
            </c:strRef>
          </c:cat>
          <c:val>
            <c:numRef>
              <c:f>IronSteel_BlastFurnace!$AC$48:$AE$48</c:f>
              <c:numCache>
                <c:formatCode>#,##0</c:formatCode>
                <c:ptCount val="3"/>
                <c:pt idx="0">
                  <c:v>232.53134208942387</c:v>
                </c:pt>
                <c:pt idx="1">
                  <c:v>232.53134208942387</c:v>
                </c:pt>
                <c:pt idx="2">
                  <c:v>232.53134208942387</c:v>
                </c:pt>
              </c:numCache>
            </c:numRef>
          </c:val>
          <c:smooth val="0"/>
          <c:extLst>
            <c:ext xmlns:c16="http://schemas.microsoft.com/office/drawing/2014/chart" uri="{C3380CC4-5D6E-409C-BE32-E72D297353CC}">
              <c16:uniqueId val="{00000004-A679-4B4A-AC31-9E8502026FAC}"/>
            </c:ext>
          </c:extLst>
        </c:ser>
        <c:ser>
          <c:idx val="5"/>
          <c:order val="5"/>
          <c:tx>
            <c:strRef>
              <c:f>IronSteel_BlastFurnace!$AB$49</c:f>
              <c:strCache>
                <c:ptCount val="1"/>
                <c:pt idx="0">
                  <c:v>Range, blast furnace ratio</c:v>
                </c:pt>
              </c:strCache>
            </c:strRef>
          </c:tx>
          <c:spPr>
            <a:ln>
              <a:solidFill>
                <a:schemeClr val="accent3">
                  <a:lumMod val="75000"/>
                </a:schemeClr>
              </a:solidFill>
              <a:prstDash val="dash"/>
            </a:ln>
          </c:spPr>
          <c:marker>
            <c:symbol val="none"/>
          </c:marker>
          <c:cat>
            <c:strRef>
              <c:f>IronSteel_BlastFurnace!$AC$43:$AE$43</c:f>
              <c:strCache>
                <c:ptCount val="3"/>
                <c:pt idx="0">
                  <c:v>Input(s)</c:v>
                </c:pt>
                <c:pt idx="2">
                  <c:v>Output(s)</c:v>
                </c:pt>
              </c:strCache>
            </c:strRef>
          </c:cat>
          <c:val>
            <c:numRef>
              <c:f>IronSteel_BlastFurnace!$AC$49:$AE$49</c:f>
              <c:numCache>
                <c:formatCode>#,##0</c:formatCode>
                <c:ptCount val="3"/>
                <c:pt idx="0">
                  <c:v>298.96886840068788</c:v>
                </c:pt>
                <c:pt idx="1">
                  <c:v>298.96886840068788</c:v>
                </c:pt>
                <c:pt idx="2">
                  <c:v>298.96886840068788</c:v>
                </c:pt>
              </c:numCache>
            </c:numRef>
          </c:val>
          <c:smooth val="0"/>
          <c:extLst>
            <c:ext xmlns:c16="http://schemas.microsoft.com/office/drawing/2014/chart" uri="{C3380CC4-5D6E-409C-BE32-E72D297353CC}">
              <c16:uniqueId val="{00000005-A679-4B4A-AC31-9E8502026FAC}"/>
            </c:ext>
          </c:extLst>
        </c:ser>
        <c:ser>
          <c:idx val="6"/>
          <c:order val="6"/>
          <c:tx>
            <c:strRef>
              <c:f>IronSteel_BlastFurnace!$AB$50</c:f>
              <c:strCache>
                <c:ptCount val="1"/>
                <c:pt idx="0">
                  <c:v>South Africa Blast furnace ratio</c:v>
                </c:pt>
              </c:strCache>
            </c:strRef>
          </c:tx>
          <c:spPr>
            <a:ln>
              <a:solidFill>
                <a:srgbClr val="FF0000"/>
              </a:solidFill>
              <a:prstDash val="dash"/>
            </a:ln>
          </c:spPr>
          <c:marker>
            <c:symbol val="none"/>
          </c:marker>
          <c:cat>
            <c:strRef>
              <c:f>IronSteel_BlastFurnace!$AC$43:$AE$43</c:f>
              <c:strCache>
                <c:ptCount val="3"/>
                <c:pt idx="0">
                  <c:v>Input(s)</c:v>
                </c:pt>
                <c:pt idx="2">
                  <c:v>Output(s)</c:v>
                </c:pt>
              </c:strCache>
            </c:strRef>
          </c:cat>
          <c:val>
            <c:numRef>
              <c:f>IronSteel_BlastFurnace!$AC$50:$AE$50</c:f>
              <c:numCache>
                <c:formatCode>#,##0</c:formatCode>
                <c:ptCount val="3"/>
                <c:pt idx="0">
                  <c:v>0</c:v>
                </c:pt>
                <c:pt idx="1">
                  <c:v>0</c:v>
                </c:pt>
                <c:pt idx="2">
                  <c:v>0</c:v>
                </c:pt>
              </c:numCache>
            </c:numRef>
          </c:val>
          <c:smooth val="0"/>
          <c:extLst>
            <c:ext xmlns:c16="http://schemas.microsoft.com/office/drawing/2014/chart" uri="{C3380CC4-5D6E-409C-BE32-E72D297353CC}">
              <c16:uniqueId val="{00000006-A679-4B4A-AC31-9E8502026FAC}"/>
            </c:ext>
          </c:extLst>
        </c:ser>
        <c:dLbls>
          <c:showLegendKey val="0"/>
          <c:showVal val="0"/>
          <c:showCatName val="0"/>
          <c:showSerName val="0"/>
          <c:showPercent val="0"/>
          <c:showBubbleSize val="0"/>
        </c:dLbls>
        <c:marker val="1"/>
        <c:smooth val="0"/>
        <c:axId val="253668736"/>
        <c:axId val="253670528"/>
      </c:lineChart>
      <c:catAx>
        <c:axId val="253668736"/>
        <c:scaling>
          <c:orientation val="minMax"/>
        </c:scaling>
        <c:delete val="0"/>
        <c:axPos val="t"/>
        <c:numFmt formatCode="General" sourceLinked="1"/>
        <c:majorTickMark val="out"/>
        <c:minorTickMark val="none"/>
        <c:tickLblPos val="nextTo"/>
        <c:spPr>
          <a:ln>
            <a:solidFill>
              <a:schemeClr val="tx1"/>
            </a:solidFill>
          </a:ln>
        </c:spPr>
        <c:txPr>
          <a:bodyPr/>
          <a:lstStyle/>
          <a:p>
            <a:pPr>
              <a:defRPr sz="900" b="1" i="0" baseline="0"/>
            </a:pPr>
            <a:endParaRPr lang="en-US"/>
          </a:p>
        </c:txPr>
        <c:crossAx val="253670528"/>
        <c:crosses val="autoZero"/>
        <c:auto val="1"/>
        <c:lblAlgn val="ctr"/>
        <c:lblOffset val="100"/>
        <c:noMultiLvlLbl val="0"/>
      </c:catAx>
      <c:valAx>
        <c:axId val="253670528"/>
        <c:scaling>
          <c:orientation val="maxMin"/>
        </c:scaling>
        <c:delete val="0"/>
        <c:axPos val="l"/>
        <c:title>
          <c:tx>
            <c:strRef>
              <c:f>IronSteel_CokeOven!$AC$54</c:f>
              <c:strCache>
                <c:ptCount val="1"/>
                <c:pt idx="0">
                  <c:v>Energy quantity [ktoe]</c:v>
                </c:pt>
              </c:strCache>
            </c:strRef>
          </c:tx>
          <c:overlay val="0"/>
          <c:txPr>
            <a:bodyPr rot="-5400000" vert="horz"/>
            <a:lstStyle/>
            <a:p>
              <a:pPr>
                <a:defRPr/>
              </a:pPr>
              <a:endParaRPr lang="en-US"/>
            </a:p>
          </c:txPr>
        </c:title>
        <c:numFmt formatCode="#,##0" sourceLinked="0"/>
        <c:majorTickMark val="out"/>
        <c:minorTickMark val="none"/>
        <c:tickLblPos val="nextTo"/>
        <c:spPr>
          <a:ln>
            <a:solidFill>
              <a:schemeClr val="tx1"/>
            </a:solidFill>
          </a:ln>
        </c:spPr>
        <c:crossAx val="253668736"/>
        <c:crosses val="autoZero"/>
        <c:crossBetween val="between"/>
      </c:valAx>
      <c:spPr>
        <a:noFill/>
        <a:ln w="25400">
          <a:noFill/>
        </a:ln>
      </c:spPr>
    </c:plotArea>
    <c:legend>
      <c:legendPos val="r"/>
      <c:legendEntry>
        <c:idx val="5"/>
        <c:delete val="1"/>
      </c:legendEntry>
      <c:layout>
        <c:manualLayout>
          <c:xMode val="edge"/>
          <c:yMode val="edge"/>
          <c:x val="0.72084803902041905"/>
          <c:y val="0.2454122646433908"/>
          <c:w val="0.24842426737130088"/>
          <c:h val="0.70027070145643555"/>
        </c:manualLayout>
      </c:layout>
      <c:overlay val="0"/>
      <c:spPr>
        <a:noFill/>
      </c:spPr>
      <c:txPr>
        <a:bodyPr/>
        <a:lstStyle/>
        <a:p>
          <a:pPr>
            <a:defRPr sz="800"/>
          </a:pPr>
          <a:endParaRPr lang="en-US"/>
        </a:p>
      </c:txPr>
    </c:legend>
    <c:plotVisOnly val="0"/>
    <c:dispBlanksAs val="gap"/>
    <c:showDLblsOverMax val="0"/>
  </c:chart>
  <c:spPr>
    <a:noFill/>
    <a:ln>
      <a:noFill/>
    </a:ln>
  </c:spPr>
  <c:printSettings>
    <c:headerFooter/>
    <c:pageMargins b="0.75000000000000133" l="0.70000000000000062" r="0.70000000000000062" t="0.75000000000000133" header="0.30000000000000032" footer="0.30000000000000032"/>
    <c:pageSetup paperSize="9" orientation="landscape" verticalDpi="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323312663488732"/>
          <c:y val="5.1400767211790828E-2"/>
          <c:w val="0.79199191663034618"/>
          <c:h val="0.79843134992741127"/>
        </c:manualLayout>
      </c:layout>
      <c:barChart>
        <c:barDir val="col"/>
        <c:grouping val="clustered"/>
        <c:varyColors val="0"/>
        <c:ser>
          <c:idx val="0"/>
          <c:order val="0"/>
          <c:tx>
            <c:strRef>
              <c:f>Refinery!$AC$55:$AC$57</c:f>
              <c:strCache>
                <c:ptCount val="3"/>
                <c:pt idx="0">
                  <c:v>Input(s)</c:v>
                </c:pt>
                <c:pt idx="1">
                  <c:v>Refining losses (mass)</c:v>
                </c:pt>
                <c:pt idx="2">
                  <c:v>Output(s)</c:v>
                </c:pt>
              </c:strCache>
            </c:strRef>
          </c:tx>
          <c:spPr>
            <a:solidFill>
              <a:schemeClr val="accent6">
                <a:lumMod val="50000"/>
              </a:schemeClr>
            </a:solidFill>
          </c:spPr>
          <c:invertIfNegative val="0"/>
          <c:dPt>
            <c:idx val="0"/>
            <c:invertIfNegative val="0"/>
            <c:bubble3D val="0"/>
            <c:spPr>
              <a:solidFill>
                <a:schemeClr val="accent6">
                  <a:lumMod val="75000"/>
                </a:schemeClr>
              </a:solidFill>
            </c:spPr>
            <c:extLst>
              <c:ext xmlns:c16="http://schemas.microsoft.com/office/drawing/2014/chart" uri="{C3380CC4-5D6E-409C-BE32-E72D297353CC}">
                <c16:uniqueId val="{00000001-F042-4748-9401-CB02B6124887}"/>
              </c:ext>
            </c:extLst>
          </c:dPt>
          <c:dPt>
            <c:idx val="1"/>
            <c:invertIfNegative val="0"/>
            <c:bubble3D val="0"/>
            <c:spPr>
              <a:noFill/>
              <a:ln>
                <a:solidFill>
                  <a:schemeClr val="tx1"/>
                </a:solidFill>
              </a:ln>
            </c:spPr>
            <c:extLst>
              <c:ext xmlns:c16="http://schemas.microsoft.com/office/drawing/2014/chart" uri="{C3380CC4-5D6E-409C-BE32-E72D297353CC}">
                <c16:uniqueId val="{00000003-F042-4748-9401-CB02B6124887}"/>
              </c:ext>
            </c:extLst>
          </c:dPt>
          <c:dPt>
            <c:idx val="2"/>
            <c:invertIfNegative val="0"/>
            <c:bubble3D val="0"/>
            <c:spPr>
              <a:solidFill>
                <a:schemeClr val="accent6">
                  <a:lumMod val="60000"/>
                  <a:lumOff val="40000"/>
                </a:schemeClr>
              </a:solidFill>
            </c:spPr>
            <c:extLst>
              <c:ext xmlns:c16="http://schemas.microsoft.com/office/drawing/2014/chart" uri="{C3380CC4-5D6E-409C-BE32-E72D297353CC}">
                <c16:uniqueId val="{00000005-F042-4748-9401-CB02B6124887}"/>
              </c:ext>
            </c:extLst>
          </c:dPt>
          <c:dLbls>
            <c:dLbl>
              <c:idx val="0"/>
              <c:spPr>
                <a:solidFill>
                  <a:schemeClr val="bg1"/>
                </a:solidFill>
                <a:ln>
                  <a:solidFill>
                    <a:schemeClr val="tx1"/>
                  </a:solidFill>
                </a:ln>
              </c:spPr>
              <c:txPr>
                <a:bodyPr/>
                <a:lstStyle/>
                <a:p>
                  <a:pPr>
                    <a:defRPr sz="900" baseline="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042-4748-9401-CB02B6124887}"/>
                </c:ext>
              </c:extLst>
            </c:dLbl>
            <c:dLbl>
              <c:idx val="2"/>
              <c:spPr>
                <a:solidFill>
                  <a:schemeClr val="bg1"/>
                </a:solidFill>
                <a:ln>
                  <a:solidFill>
                    <a:schemeClr val="tx1"/>
                  </a:solidFill>
                </a:ln>
              </c:spPr>
              <c:txPr>
                <a:bodyPr/>
                <a:lstStyle/>
                <a:p>
                  <a:pPr>
                    <a:defRPr sz="900" baseline="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042-4748-9401-CB02B6124887}"/>
                </c:ext>
              </c:extLst>
            </c:dLbl>
            <c:spPr>
              <a:noFill/>
              <a:ln>
                <a:noFill/>
              </a:ln>
              <a:effectLst/>
            </c:spPr>
            <c:txPr>
              <a:bodyPr/>
              <a:lstStyle/>
              <a:p>
                <a:pPr>
                  <a:defRPr sz="900"/>
                </a:pPr>
                <a:endParaRPr lang="en-US"/>
              </a:p>
            </c:txPr>
            <c:showLegendKey val="0"/>
            <c:showVal val="0"/>
            <c:showCatName val="0"/>
            <c:showSerName val="0"/>
            <c:showPercent val="0"/>
            <c:showBubbleSize val="0"/>
            <c:extLst>
              <c:ext xmlns:c15="http://schemas.microsoft.com/office/drawing/2012/chart" uri="{CE6537A1-D6FC-4f65-9D91-7224C49458BB}">
                <c15:showLeaderLines val="0"/>
              </c:ext>
            </c:extLst>
          </c:dLbls>
          <c:cat>
            <c:strRef>
              <c:f>Refinery!$AC$55:$AC$57</c:f>
              <c:strCache>
                <c:ptCount val="3"/>
                <c:pt idx="0">
                  <c:v>Input(s)</c:v>
                </c:pt>
                <c:pt idx="1">
                  <c:v>Refining losses (mass)</c:v>
                </c:pt>
                <c:pt idx="2">
                  <c:v>Output(s)</c:v>
                </c:pt>
              </c:strCache>
            </c:strRef>
          </c:cat>
          <c:val>
            <c:numRef>
              <c:f>Refinery!$AD$55:$AD$57</c:f>
              <c:numCache>
                <c:formatCode>#,##0</c:formatCode>
                <c:ptCount val="3"/>
                <c:pt idx="0">
                  <c:v>19624.32</c:v>
                </c:pt>
                <c:pt idx="1">
                  <c:v>2369.6607212497802</c:v>
                </c:pt>
                <c:pt idx="2">
                  <c:v>17254.65927875022</c:v>
                </c:pt>
              </c:numCache>
            </c:numRef>
          </c:val>
          <c:extLst>
            <c:ext xmlns:c16="http://schemas.microsoft.com/office/drawing/2014/chart" uri="{C3380CC4-5D6E-409C-BE32-E72D297353CC}">
              <c16:uniqueId val="{00000006-F042-4748-9401-CB02B6124887}"/>
            </c:ext>
          </c:extLst>
        </c:ser>
        <c:dLbls>
          <c:showLegendKey val="0"/>
          <c:showVal val="0"/>
          <c:showCatName val="0"/>
          <c:showSerName val="0"/>
          <c:showPercent val="0"/>
          <c:showBubbleSize val="0"/>
        </c:dLbls>
        <c:gapWidth val="500"/>
        <c:axId val="254678528"/>
        <c:axId val="254680064"/>
      </c:barChart>
      <c:catAx>
        <c:axId val="254678528"/>
        <c:scaling>
          <c:orientation val="minMax"/>
        </c:scaling>
        <c:delete val="0"/>
        <c:axPos val="b"/>
        <c:numFmt formatCode="General" sourceLinked="1"/>
        <c:majorTickMark val="none"/>
        <c:minorTickMark val="none"/>
        <c:tickLblPos val="nextTo"/>
        <c:spPr>
          <a:noFill/>
          <a:ln>
            <a:solidFill>
              <a:schemeClr val="tx1"/>
            </a:solidFill>
          </a:ln>
        </c:spPr>
        <c:txPr>
          <a:bodyPr/>
          <a:lstStyle/>
          <a:p>
            <a:pPr>
              <a:defRPr sz="800" baseline="0"/>
            </a:pPr>
            <a:endParaRPr lang="en-US"/>
          </a:p>
        </c:txPr>
        <c:crossAx val="254680064"/>
        <c:crosses val="autoZero"/>
        <c:auto val="1"/>
        <c:lblAlgn val="ctr"/>
        <c:lblOffset val="100"/>
        <c:noMultiLvlLbl val="0"/>
      </c:catAx>
      <c:valAx>
        <c:axId val="254680064"/>
        <c:scaling>
          <c:orientation val="minMax"/>
          <c:min val="0"/>
        </c:scaling>
        <c:delete val="0"/>
        <c:axPos val="l"/>
        <c:majorGridlines>
          <c:spPr>
            <a:ln>
              <a:solidFill>
                <a:schemeClr val="bg1">
                  <a:lumMod val="50000"/>
                </a:schemeClr>
              </a:solidFill>
            </a:ln>
          </c:spPr>
        </c:majorGridlines>
        <c:title>
          <c:tx>
            <c:strRef>
              <c:f>Refinery!$AD$58</c:f>
              <c:strCache>
                <c:ptCount val="1"/>
                <c:pt idx="0">
                  <c:v>Physical quantity [kt]</c:v>
                </c:pt>
              </c:strCache>
            </c:strRef>
          </c:tx>
          <c:overlay val="0"/>
          <c:txPr>
            <a:bodyPr rot="-5400000" vert="horz"/>
            <a:lstStyle/>
            <a:p>
              <a:pPr>
                <a:defRPr sz="900" baseline="0"/>
              </a:pPr>
              <a:endParaRPr lang="en-US"/>
            </a:p>
          </c:txPr>
        </c:title>
        <c:numFmt formatCode="#,##0" sourceLinked="1"/>
        <c:majorTickMark val="none"/>
        <c:minorTickMark val="none"/>
        <c:tickLblPos val="nextTo"/>
        <c:spPr>
          <a:ln>
            <a:solidFill>
              <a:schemeClr val="tx1"/>
            </a:solidFill>
          </a:ln>
        </c:spPr>
        <c:txPr>
          <a:bodyPr/>
          <a:lstStyle/>
          <a:p>
            <a:pPr>
              <a:defRPr sz="1000" baseline="0"/>
            </a:pPr>
            <a:endParaRPr lang="en-US"/>
          </a:p>
        </c:txPr>
        <c:crossAx val="254678528"/>
        <c:crosses val="autoZero"/>
        <c:crossBetween val="between"/>
      </c:valAx>
      <c:spPr>
        <a:noFill/>
        <a:ln w="15875">
          <a:solidFill>
            <a:schemeClr val="tx1"/>
          </a:solidFill>
        </a:ln>
      </c:spPr>
    </c:plotArea>
    <c:plotVisOnly val="0"/>
    <c:dispBlanksAs val="gap"/>
    <c:showDLblsOverMax val="0"/>
  </c:chart>
  <c:spPr>
    <a:noFill/>
    <a:ln>
      <a:noFill/>
    </a:ln>
  </c:spPr>
  <c:printSettings>
    <c:headerFooter/>
    <c:pageMargins b="0.75000000000000133" l="0.70000000000000062" r="0.70000000000000062" t="0.75000000000000133"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706078740157484"/>
          <c:y val="4.6560936256905695E-2"/>
          <c:w val="0.78785490813648362"/>
          <c:h val="0.61203449568804036"/>
        </c:manualLayout>
      </c:layout>
      <c:barChart>
        <c:barDir val="col"/>
        <c:grouping val="stacked"/>
        <c:varyColors val="0"/>
        <c:ser>
          <c:idx val="0"/>
          <c:order val="0"/>
          <c:spPr>
            <a:noFill/>
            <a:ln w="25400">
              <a:noFill/>
            </a:ln>
          </c:spPr>
          <c:invertIfNegative val="0"/>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Refinery!$AD$71:$AK$71</c:f>
              <c:numCache>
                <c:formatCode>General</c:formatCode>
                <c:ptCount val="8"/>
                <c:pt idx="0">
                  <c:v>0</c:v>
                </c:pt>
                <c:pt idx="1">
                  <c:v>17254.65927875022</c:v>
                </c:pt>
                <c:pt idx="2">
                  <c:v>16680.243582500218</c:v>
                </c:pt>
                <c:pt idx="3">
                  <c:v>15337.213143750219</c:v>
                </c:pt>
                <c:pt idx="4">
                  <c:v>8900.2940822102191</c:v>
                </c:pt>
                <c:pt idx="5">
                  <c:v>3377.7456923117188</c:v>
                </c:pt>
                <c:pt idx="6">
                  <c:v>584.68394231171885</c:v>
                </c:pt>
                <c:pt idx="7">
                  <c:v>0</c:v>
                </c:pt>
              </c:numCache>
            </c:numRef>
          </c:val>
          <c:extLst>
            <c:ext xmlns:c16="http://schemas.microsoft.com/office/drawing/2014/chart" uri="{C3380CC4-5D6E-409C-BE32-E72D297353CC}">
              <c16:uniqueId val="{00000000-D277-4E72-B5D5-151672D2FB23}"/>
            </c:ext>
          </c:extLst>
        </c:ser>
        <c:ser>
          <c:idx val="1"/>
          <c:order val="1"/>
          <c:invertIfNegative val="0"/>
          <c:dPt>
            <c:idx val="0"/>
            <c:invertIfNegative val="0"/>
            <c:bubble3D val="0"/>
            <c:spPr>
              <a:solidFill>
                <a:schemeClr val="accent6">
                  <a:lumMod val="75000"/>
                </a:schemeClr>
              </a:solidFill>
            </c:spPr>
            <c:extLst>
              <c:ext xmlns:c16="http://schemas.microsoft.com/office/drawing/2014/chart" uri="{C3380CC4-5D6E-409C-BE32-E72D297353CC}">
                <c16:uniqueId val="{00000002-D277-4E72-B5D5-151672D2FB23}"/>
              </c:ext>
            </c:extLst>
          </c:dPt>
          <c:dPt>
            <c:idx val="1"/>
            <c:invertIfNegative val="0"/>
            <c:bubble3D val="0"/>
            <c:spPr>
              <a:noFill/>
              <a:ln w="12700">
                <a:solidFill>
                  <a:schemeClr val="tx1"/>
                </a:solidFill>
                <a:prstDash val="dash"/>
              </a:ln>
            </c:spPr>
            <c:extLst>
              <c:ext xmlns:c16="http://schemas.microsoft.com/office/drawing/2014/chart" uri="{C3380CC4-5D6E-409C-BE32-E72D297353CC}">
                <c16:uniqueId val="{00000004-D277-4E72-B5D5-151672D2FB23}"/>
              </c:ext>
            </c:extLst>
          </c:dPt>
          <c:dPt>
            <c:idx val="2"/>
            <c:invertIfNegative val="0"/>
            <c:bubble3D val="0"/>
            <c:spPr>
              <a:solidFill>
                <a:srgbClr val="D43633"/>
              </a:solidFill>
            </c:spPr>
            <c:extLst>
              <c:ext xmlns:c16="http://schemas.microsoft.com/office/drawing/2014/chart" uri="{C3380CC4-5D6E-409C-BE32-E72D297353CC}">
                <c16:uniqueId val="{00000006-D277-4E72-B5D5-151672D2FB23}"/>
              </c:ext>
            </c:extLst>
          </c:dPt>
          <c:dPt>
            <c:idx val="3"/>
            <c:invertIfNegative val="0"/>
            <c:bubble3D val="0"/>
            <c:spPr>
              <a:solidFill>
                <a:srgbClr val="00678E"/>
              </a:solidFill>
            </c:spPr>
            <c:extLst>
              <c:ext xmlns:c16="http://schemas.microsoft.com/office/drawing/2014/chart" uri="{C3380CC4-5D6E-409C-BE32-E72D297353CC}">
                <c16:uniqueId val="{00000008-D277-4E72-B5D5-151672D2FB23}"/>
              </c:ext>
            </c:extLst>
          </c:dPt>
          <c:dPt>
            <c:idx val="4"/>
            <c:invertIfNegative val="0"/>
            <c:bubble3D val="0"/>
            <c:spPr>
              <a:solidFill>
                <a:srgbClr val="FFC000"/>
              </a:solidFill>
            </c:spPr>
            <c:extLst>
              <c:ext xmlns:c16="http://schemas.microsoft.com/office/drawing/2014/chart" uri="{C3380CC4-5D6E-409C-BE32-E72D297353CC}">
                <c16:uniqueId val="{0000000A-D277-4E72-B5D5-151672D2FB23}"/>
              </c:ext>
            </c:extLst>
          </c:dPt>
          <c:dPt>
            <c:idx val="5"/>
            <c:invertIfNegative val="0"/>
            <c:bubble3D val="0"/>
            <c:spPr>
              <a:solidFill>
                <a:srgbClr val="488652"/>
              </a:solidFill>
            </c:spPr>
            <c:extLst>
              <c:ext xmlns:c16="http://schemas.microsoft.com/office/drawing/2014/chart" uri="{C3380CC4-5D6E-409C-BE32-E72D297353CC}">
                <c16:uniqueId val="{0000000C-D277-4E72-B5D5-151672D2FB23}"/>
              </c:ext>
            </c:extLst>
          </c:dPt>
          <c:dPt>
            <c:idx val="6"/>
            <c:invertIfNegative val="0"/>
            <c:bubble3D val="0"/>
            <c:spPr>
              <a:solidFill>
                <a:srgbClr val="8BC669"/>
              </a:solidFill>
            </c:spPr>
            <c:extLst>
              <c:ext xmlns:c16="http://schemas.microsoft.com/office/drawing/2014/chart" uri="{C3380CC4-5D6E-409C-BE32-E72D297353CC}">
                <c16:uniqueId val="{0000000E-D277-4E72-B5D5-151672D2FB23}"/>
              </c:ext>
            </c:extLst>
          </c:dPt>
          <c:dPt>
            <c:idx val="7"/>
            <c:invertIfNegative val="0"/>
            <c:bubble3D val="0"/>
            <c:spPr>
              <a:solidFill>
                <a:srgbClr val="A7A7AC"/>
              </a:solidFill>
            </c:spPr>
            <c:extLst>
              <c:ext xmlns:c16="http://schemas.microsoft.com/office/drawing/2014/chart" uri="{C3380CC4-5D6E-409C-BE32-E72D297353CC}">
                <c16:uniqueId val="{00000010-D277-4E72-B5D5-151672D2FB23}"/>
              </c:ext>
            </c:extLst>
          </c:dPt>
          <c:dLbls>
            <c:spPr>
              <a:noFill/>
              <a:ln>
                <a:noFill/>
              </a:ln>
              <a:effectLst/>
            </c:spPr>
            <c:txPr>
              <a:bodyPr/>
              <a:lstStyle/>
              <a:p>
                <a:pPr>
                  <a:defRPr sz="850" b="1" i="0" baseline="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Refinery!$AD$72:$AK$72</c:f>
              <c:numCache>
                <c:formatCode>General</c:formatCode>
                <c:ptCount val="8"/>
                <c:pt idx="0">
                  <c:v>19624.32</c:v>
                </c:pt>
                <c:pt idx="1">
                  <c:v>2369.6607212497802</c:v>
                </c:pt>
                <c:pt idx="2">
                  <c:v>574.41569625</c:v>
                </c:pt>
                <c:pt idx="3">
                  <c:v>1343.03043875</c:v>
                </c:pt>
                <c:pt idx="4">
                  <c:v>6436.9190615400003</c:v>
                </c:pt>
                <c:pt idx="5">
                  <c:v>5522.5483898985003</c:v>
                </c:pt>
                <c:pt idx="6">
                  <c:v>2793.0617499999998</c:v>
                </c:pt>
                <c:pt idx="7">
                  <c:v>584.68394231171885</c:v>
                </c:pt>
              </c:numCache>
            </c:numRef>
          </c:val>
          <c:extLst>
            <c:ext xmlns:c16="http://schemas.microsoft.com/office/drawing/2014/chart" uri="{C3380CC4-5D6E-409C-BE32-E72D297353CC}">
              <c16:uniqueId val="{00000011-D277-4E72-B5D5-151672D2FB23}"/>
            </c:ext>
          </c:extLst>
        </c:ser>
        <c:dLbls>
          <c:showLegendKey val="0"/>
          <c:showVal val="0"/>
          <c:showCatName val="0"/>
          <c:showSerName val="0"/>
          <c:showPercent val="0"/>
          <c:showBubbleSize val="0"/>
        </c:dLbls>
        <c:gapWidth val="150"/>
        <c:overlap val="100"/>
        <c:axId val="254312832"/>
        <c:axId val="254314368"/>
      </c:barChart>
      <c:lineChart>
        <c:grouping val="standard"/>
        <c:varyColors val="0"/>
        <c:ser>
          <c:idx val="2"/>
          <c:order val="2"/>
          <c:spPr>
            <a:ln w="12700">
              <a:solidFill>
                <a:srgbClr val="000000"/>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Refinery!$AD$73:$AK$73</c:f>
              <c:numCache>
                <c:formatCode>General</c:formatCode>
                <c:ptCount val="8"/>
                <c:pt idx="0">
                  <c:v>19624.32</c:v>
                </c:pt>
                <c:pt idx="1">
                  <c:v>19624.32</c:v>
                </c:pt>
              </c:numCache>
            </c:numRef>
          </c:val>
          <c:smooth val="0"/>
          <c:extLst>
            <c:ext xmlns:c16="http://schemas.microsoft.com/office/drawing/2014/chart" uri="{C3380CC4-5D6E-409C-BE32-E72D297353CC}">
              <c16:uniqueId val="{00000012-D277-4E72-B5D5-151672D2FB23}"/>
            </c:ext>
          </c:extLst>
        </c:ser>
        <c:ser>
          <c:idx val="3"/>
          <c:order val="3"/>
          <c:spPr>
            <a:ln w="12700">
              <a:solidFill>
                <a:srgbClr val="000000"/>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Refinery!$AD$74:$AK$74</c:f>
              <c:numCache>
                <c:formatCode>General</c:formatCode>
                <c:ptCount val="8"/>
                <c:pt idx="1">
                  <c:v>17254.65927875022</c:v>
                </c:pt>
                <c:pt idx="2">
                  <c:v>17254.65927875022</c:v>
                </c:pt>
              </c:numCache>
            </c:numRef>
          </c:val>
          <c:smooth val="0"/>
          <c:extLst>
            <c:ext xmlns:c16="http://schemas.microsoft.com/office/drawing/2014/chart" uri="{C3380CC4-5D6E-409C-BE32-E72D297353CC}">
              <c16:uniqueId val="{00000013-D277-4E72-B5D5-151672D2FB23}"/>
            </c:ext>
          </c:extLst>
        </c:ser>
        <c:ser>
          <c:idx val="4"/>
          <c:order val="4"/>
          <c:spPr>
            <a:ln w="12700">
              <a:solidFill>
                <a:srgbClr val="000000"/>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Refinery!$AD$75:$AK$75</c:f>
              <c:numCache>
                <c:formatCode>General</c:formatCode>
                <c:ptCount val="8"/>
                <c:pt idx="2">
                  <c:v>16680.243582500218</c:v>
                </c:pt>
                <c:pt idx="3">
                  <c:v>16680.243582500218</c:v>
                </c:pt>
              </c:numCache>
            </c:numRef>
          </c:val>
          <c:smooth val="0"/>
          <c:extLst>
            <c:ext xmlns:c16="http://schemas.microsoft.com/office/drawing/2014/chart" uri="{C3380CC4-5D6E-409C-BE32-E72D297353CC}">
              <c16:uniqueId val="{00000014-D277-4E72-B5D5-151672D2FB23}"/>
            </c:ext>
          </c:extLst>
        </c:ser>
        <c:ser>
          <c:idx val="5"/>
          <c:order val="5"/>
          <c:spPr>
            <a:ln w="15875">
              <a:solidFill>
                <a:schemeClr val="tx1"/>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Refinery!$AD$76:$AK$76</c:f>
              <c:numCache>
                <c:formatCode>General</c:formatCode>
                <c:ptCount val="8"/>
                <c:pt idx="3">
                  <c:v>15337.213143750219</c:v>
                </c:pt>
                <c:pt idx="4">
                  <c:v>15337.213143750219</c:v>
                </c:pt>
              </c:numCache>
            </c:numRef>
          </c:val>
          <c:smooth val="0"/>
          <c:extLst>
            <c:ext xmlns:c16="http://schemas.microsoft.com/office/drawing/2014/chart" uri="{C3380CC4-5D6E-409C-BE32-E72D297353CC}">
              <c16:uniqueId val="{00000015-D277-4E72-B5D5-151672D2FB23}"/>
            </c:ext>
          </c:extLst>
        </c:ser>
        <c:ser>
          <c:idx val="6"/>
          <c:order val="6"/>
          <c:spPr>
            <a:ln w="15875">
              <a:solidFill>
                <a:schemeClr val="tx1"/>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Refinery!$AD$77:$AK$77</c:f>
              <c:numCache>
                <c:formatCode>General</c:formatCode>
                <c:ptCount val="8"/>
                <c:pt idx="4">
                  <c:v>8900.2940822102191</c:v>
                </c:pt>
                <c:pt idx="5">
                  <c:v>8900.2940822102191</c:v>
                </c:pt>
              </c:numCache>
            </c:numRef>
          </c:val>
          <c:smooth val="0"/>
          <c:extLst>
            <c:ext xmlns:c16="http://schemas.microsoft.com/office/drawing/2014/chart" uri="{C3380CC4-5D6E-409C-BE32-E72D297353CC}">
              <c16:uniqueId val="{00000016-D277-4E72-B5D5-151672D2FB23}"/>
            </c:ext>
          </c:extLst>
        </c:ser>
        <c:ser>
          <c:idx val="7"/>
          <c:order val="7"/>
          <c:spPr>
            <a:ln w="15875">
              <a:solidFill>
                <a:schemeClr val="tx1"/>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Refinery!$AD$78:$AK$78</c:f>
              <c:numCache>
                <c:formatCode>General</c:formatCode>
                <c:ptCount val="8"/>
                <c:pt idx="5">
                  <c:v>3377.7456923117188</c:v>
                </c:pt>
                <c:pt idx="6">
                  <c:v>3377.7456923117188</c:v>
                </c:pt>
              </c:numCache>
            </c:numRef>
          </c:val>
          <c:smooth val="0"/>
          <c:extLst>
            <c:ext xmlns:c16="http://schemas.microsoft.com/office/drawing/2014/chart" uri="{C3380CC4-5D6E-409C-BE32-E72D297353CC}">
              <c16:uniqueId val="{00000017-D277-4E72-B5D5-151672D2FB23}"/>
            </c:ext>
          </c:extLst>
        </c:ser>
        <c:ser>
          <c:idx val="8"/>
          <c:order val="8"/>
          <c:spPr>
            <a:ln w="15875">
              <a:solidFill>
                <a:schemeClr val="tx1"/>
              </a:solidFill>
              <a:prstDash val="sysDash"/>
            </a:ln>
          </c:spPr>
          <c:marker>
            <c:symbol val="none"/>
          </c:marker>
          <c:cat>
            <c:strRef>
              <c:f>Refinery!$AD$70:$AK$70</c:f>
              <c:strCache>
                <c:ptCount val="8"/>
                <c:pt idx="0">
                  <c:v>Input(s)</c:v>
                </c:pt>
                <c:pt idx="1">
                  <c:v>Refining losses (mass)</c:v>
                </c:pt>
                <c:pt idx="2">
                  <c:v>LPG</c:v>
                </c:pt>
                <c:pt idx="3">
                  <c:v>Aviation fuels</c:v>
                </c:pt>
                <c:pt idx="4">
                  <c:v>Motor gasoline</c:v>
                </c:pt>
                <c:pt idx="5">
                  <c:v>Middle distillates</c:v>
                </c:pt>
                <c:pt idx="6">
                  <c:v>Fuel oil</c:v>
                </c:pt>
                <c:pt idx="7">
                  <c:v>Other</c:v>
                </c:pt>
              </c:strCache>
            </c:strRef>
          </c:cat>
          <c:val>
            <c:numRef>
              <c:f>Refinery!$AD$79:$AK$79</c:f>
              <c:numCache>
                <c:formatCode>General</c:formatCode>
                <c:ptCount val="8"/>
                <c:pt idx="6">
                  <c:v>584.68394231171885</c:v>
                </c:pt>
                <c:pt idx="7">
                  <c:v>584.68394231171885</c:v>
                </c:pt>
              </c:numCache>
            </c:numRef>
          </c:val>
          <c:smooth val="0"/>
          <c:extLst>
            <c:ext xmlns:c16="http://schemas.microsoft.com/office/drawing/2014/chart" uri="{C3380CC4-5D6E-409C-BE32-E72D297353CC}">
              <c16:uniqueId val="{00000018-D277-4E72-B5D5-151672D2FB23}"/>
            </c:ext>
          </c:extLst>
        </c:ser>
        <c:dLbls>
          <c:showLegendKey val="0"/>
          <c:showVal val="0"/>
          <c:showCatName val="0"/>
          <c:showSerName val="0"/>
          <c:showPercent val="0"/>
          <c:showBubbleSize val="0"/>
        </c:dLbls>
        <c:marker val="1"/>
        <c:smooth val="0"/>
        <c:axId val="254312832"/>
        <c:axId val="254314368"/>
      </c:lineChart>
      <c:catAx>
        <c:axId val="254312832"/>
        <c:scaling>
          <c:orientation val="minMax"/>
        </c:scaling>
        <c:delete val="0"/>
        <c:axPos val="b"/>
        <c:numFmt formatCode="General" sourceLinked="1"/>
        <c:majorTickMark val="out"/>
        <c:minorTickMark val="none"/>
        <c:tickLblPos val="nextTo"/>
        <c:spPr>
          <a:ln>
            <a:solidFill>
              <a:schemeClr val="tx1"/>
            </a:solidFill>
          </a:ln>
        </c:spPr>
        <c:txPr>
          <a:bodyPr rot="-1800000" vert="horz"/>
          <a:lstStyle/>
          <a:p>
            <a:pPr>
              <a:defRPr sz="800" b="0" i="0" u="none" strike="noStrike" baseline="0">
                <a:solidFill>
                  <a:srgbClr val="000000"/>
                </a:solidFill>
                <a:latin typeface="Calibri"/>
                <a:ea typeface="Calibri"/>
                <a:cs typeface="Calibri"/>
              </a:defRPr>
            </a:pPr>
            <a:endParaRPr lang="en-US"/>
          </a:p>
        </c:txPr>
        <c:crossAx val="254314368"/>
        <c:crosses val="autoZero"/>
        <c:auto val="1"/>
        <c:lblAlgn val="ctr"/>
        <c:lblOffset val="200"/>
        <c:noMultiLvlLbl val="0"/>
      </c:catAx>
      <c:valAx>
        <c:axId val="254314368"/>
        <c:scaling>
          <c:orientation val="minMax"/>
        </c:scaling>
        <c:delete val="0"/>
        <c:axPos val="l"/>
        <c:title>
          <c:tx>
            <c:strRef>
              <c:f>Refinery!$D$33</c:f>
              <c:strCache>
                <c:ptCount val="1"/>
                <c:pt idx="0">
                  <c:v>kt</c:v>
                </c:pt>
              </c:strCache>
            </c:strRef>
          </c:tx>
          <c:layout>
            <c:manualLayout>
              <c:xMode val="edge"/>
              <c:yMode val="edge"/>
              <c:x val="4.0000000000000022E-2"/>
              <c:y val="0.2574980110489023"/>
            </c:manualLayout>
          </c:layout>
          <c:overlay val="0"/>
          <c:txPr>
            <a:bodyPr rot="-5400000" vert="horz"/>
            <a:lstStyle/>
            <a:p>
              <a:pPr algn="ctr">
                <a:defRPr sz="1100" b="1" i="0" u="none" strike="noStrike" baseline="0">
                  <a:solidFill>
                    <a:srgbClr val="000000"/>
                  </a:solidFill>
                  <a:latin typeface="Calibri"/>
                  <a:ea typeface="Calibri"/>
                  <a:cs typeface="Calibri"/>
                </a:defRPr>
              </a:pPr>
              <a:endParaRPr lang="en-US"/>
            </a:p>
          </c:txPr>
        </c:title>
        <c:numFmt formatCode="General" sourceLinked="1"/>
        <c:majorTickMark val="out"/>
        <c:minorTickMark val="none"/>
        <c:tickLblPos val="nextTo"/>
        <c:spPr>
          <a:ln>
            <a:solidFill>
              <a:schemeClr val="tx1"/>
            </a:solidFill>
          </a:ln>
        </c:spPr>
        <c:txPr>
          <a:bodyPr rot="0" vert="horz"/>
          <a:lstStyle/>
          <a:p>
            <a:pPr>
              <a:defRPr sz="900" b="0" i="0" u="none" strike="noStrike" baseline="0">
                <a:solidFill>
                  <a:srgbClr val="000000"/>
                </a:solidFill>
                <a:latin typeface="Calibri"/>
                <a:ea typeface="Calibri"/>
                <a:cs typeface="Calibri"/>
              </a:defRPr>
            </a:pPr>
            <a:endParaRPr lang="en-US"/>
          </a:p>
        </c:txPr>
        <c:crossAx val="254312832"/>
        <c:crosses val="autoZero"/>
        <c:crossBetween val="between"/>
      </c:valAx>
      <c:spPr>
        <a:noFill/>
        <a:ln w="12700">
          <a:solidFill>
            <a:schemeClr val="tx1"/>
          </a:solidFill>
          <a:prstDash val="solid"/>
        </a:ln>
      </c:spPr>
    </c:plotArea>
    <c:plotVisOnly val="0"/>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89" l="0.70000000000000062" r="0.70000000000000062" t="0.75000000000000289" header="0.30000000000000032" footer="0.30000000000000032"/>
    <c:pageSetup paperSize="9" orientation="landscape"/>
  </c:printSettings>
</c:chartSpace>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8.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9.png"/><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2.xml.rels><?xml version="1.0" encoding="UTF-8" standalone="yes"?>
<Relationships xmlns="http://schemas.openxmlformats.org/package/2006/relationships"><Relationship Id="rId2" Type="http://schemas.microsoft.com/office/2007/relationships/hdphoto" Target="../media/hdphoto1.wdp"/><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hyperlink" Target="#'Main Menu'!A1"/></Relationships>
</file>

<file path=xl/drawings/_rels/drawing5.xml.rels><?xml version="1.0" encoding="UTF-8" standalone="yes"?>
<Relationships xmlns="http://schemas.openxmlformats.org/package/2006/relationships"><Relationship Id="rId1" Type="http://schemas.openxmlformats.org/officeDocument/2006/relationships/hyperlink" Target="#'Main Menu'!A1"/></Relationships>
</file>

<file path=xl/drawings/_rels/drawing6.xml.rels><?xml version="1.0" encoding="UTF-8" standalone="yes"?>
<Relationships xmlns="http://schemas.openxmlformats.org/package/2006/relationships"><Relationship Id="rId1" Type="http://schemas.openxmlformats.org/officeDocument/2006/relationships/hyperlink" Target="#'Main Menu'!A1"/></Relationships>
</file>

<file path=xl/drawings/_rels/drawing7.xml.rels><?xml version="1.0" encoding="UTF-8" standalone="yes"?>
<Relationships xmlns="http://schemas.openxmlformats.org/package/2006/relationships"><Relationship Id="rId1" Type="http://schemas.openxmlformats.org/officeDocument/2006/relationships/hyperlink" Target="#'Main Menu'!A1"/></Relationships>
</file>

<file path=xl/drawings/_rels/drawing8.xml.rels><?xml version="1.0" encoding="UTF-8" standalone="yes"?>
<Relationships xmlns="http://schemas.openxmlformats.org/package/2006/relationships"><Relationship Id="rId1" Type="http://schemas.openxmlformats.org/officeDocument/2006/relationships/hyperlink" Target="#'Main Menu'!A1"/></Relationships>
</file>

<file path=xl/drawings/_rels/drawing9.xml.rels><?xml version="1.0" encoding="UTF-8" standalone="yes"?>
<Relationships xmlns="http://schemas.openxmlformats.org/package/2006/relationships"><Relationship Id="rId1" Type="http://schemas.openxmlformats.org/officeDocument/2006/relationships/hyperlink" Target="#'Main Menu'!A1"/></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18</xdr:row>
      <xdr:rowOff>0</xdr:rowOff>
    </xdr:from>
    <xdr:to>
      <xdr:col>2</xdr:col>
      <xdr:colOff>547575</xdr:colOff>
      <xdr:row>19</xdr:row>
      <xdr:rowOff>0</xdr:rowOff>
    </xdr:to>
    <xdr:sp macro="[0]!upload_coal_file" textlink="$AA$22">
      <xdr:nvSpPr>
        <xdr:cNvPr id="3" name="Rectangle 13">
          <a:extLst>
            <a:ext uri="{FF2B5EF4-FFF2-40B4-BE49-F238E27FC236}">
              <a16:creationId xmlns:a16="http://schemas.microsoft.com/office/drawing/2014/main" id="{00000000-0008-0000-0000-000003000000}"/>
            </a:ext>
          </a:extLst>
        </xdr:cNvPr>
        <xdr:cNvSpPr>
          <a:spLocks noChangeArrowheads="1"/>
        </xdr:cNvSpPr>
      </xdr:nvSpPr>
      <xdr:spPr bwMode="auto">
        <a:xfrm>
          <a:off x="314325" y="4229100"/>
          <a:ext cx="900000" cy="2286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fld id="{7895A043-5266-4003-A624-6976CC50D435}" type="TxLink">
            <a:rPr lang="en-US" sz="1000" b="0" i="0" u="none" strike="noStrike">
              <a:solidFill>
                <a:sysClr val="windowText" lastClr="000000"/>
              </a:solidFill>
              <a:latin typeface="Arial"/>
              <a:cs typeface="Arial"/>
            </a:rPr>
            <a:pPr algn="ctr" rtl="0">
              <a:defRPr sz="1000"/>
            </a:pPr>
            <a:t>Load COAL</a:t>
          </a:fld>
          <a:endParaRPr lang="en-GB" sz="1000" b="0" i="0" strike="noStrike">
            <a:solidFill>
              <a:sysClr val="windowText" lastClr="000000"/>
            </a:solidFill>
            <a:latin typeface="Arial"/>
            <a:cs typeface="Arial"/>
          </a:endParaRPr>
        </a:p>
      </xdr:txBody>
    </xdr:sp>
    <xdr:clientData/>
  </xdr:twoCellAnchor>
  <xdr:twoCellAnchor editAs="oneCell">
    <xdr:from>
      <xdr:col>1</xdr:col>
      <xdr:colOff>104775</xdr:colOff>
      <xdr:row>19</xdr:row>
      <xdr:rowOff>0</xdr:rowOff>
    </xdr:from>
    <xdr:to>
      <xdr:col>2</xdr:col>
      <xdr:colOff>547575</xdr:colOff>
      <xdr:row>20</xdr:row>
      <xdr:rowOff>0</xdr:rowOff>
    </xdr:to>
    <xdr:sp macro="[0]!upload_oil_file" textlink="$AA$23">
      <xdr:nvSpPr>
        <xdr:cNvPr id="4" name="Rectangle 13">
          <a:extLst>
            <a:ext uri="{FF2B5EF4-FFF2-40B4-BE49-F238E27FC236}">
              <a16:creationId xmlns:a16="http://schemas.microsoft.com/office/drawing/2014/main" id="{00000000-0008-0000-0000-000004000000}"/>
            </a:ext>
          </a:extLst>
        </xdr:cNvPr>
        <xdr:cNvSpPr>
          <a:spLocks noChangeArrowheads="1"/>
        </xdr:cNvSpPr>
      </xdr:nvSpPr>
      <xdr:spPr bwMode="auto">
        <a:xfrm>
          <a:off x="314325" y="4457700"/>
          <a:ext cx="900000" cy="2286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fld id="{17EC7A8A-7973-4912-BF4E-117DA163F85C}" type="TxLink">
            <a:rPr lang="en-US" sz="1000" b="0" i="0" u="none" strike="noStrike">
              <a:solidFill>
                <a:sysClr val="windowText" lastClr="000000"/>
              </a:solidFill>
              <a:latin typeface="Arial"/>
              <a:cs typeface="Arial"/>
            </a:rPr>
            <a:pPr algn="ctr" rtl="0">
              <a:defRPr sz="1000"/>
            </a:pPr>
            <a:t>Load OIL</a:t>
          </a:fld>
          <a:endParaRPr lang="en-GB" sz="1000" b="0" i="0" strike="noStrike">
            <a:solidFill>
              <a:sysClr val="windowText" lastClr="000000"/>
            </a:solidFill>
            <a:latin typeface="Arial"/>
            <a:cs typeface="Arial"/>
          </a:endParaRPr>
        </a:p>
      </xdr:txBody>
    </xdr:sp>
    <xdr:clientData/>
  </xdr:twoCellAnchor>
  <xdr:twoCellAnchor editAs="oneCell">
    <xdr:from>
      <xdr:col>1</xdr:col>
      <xdr:colOff>104775</xdr:colOff>
      <xdr:row>20</xdr:row>
      <xdr:rowOff>0</xdr:rowOff>
    </xdr:from>
    <xdr:to>
      <xdr:col>2</xdr:col>
      <xdr:colOff>547575</xdr:colOff>
      <xdr:row>21</xdr:row>
      <xdr:rowOff>0</xdr:rowOff>
    </xdr:to>
    <xdr:sp macro="[0]!upload_gas_file" textlink="$AA$24">
      <xdr:nvSpPr>
        <xdr:cNvPr id="5" name="Rectangle 13">
          <a:extLst>
            <a:ext uri="{FF2B5EF4-FFF2-40B4-BE49-F238E27FC236}">
              <a16:creationId xmlns:a16="http://schemas.microsoft.com/office/drawing/2014/main" id="{00000000-0008-0000-0000-000005000000}"/>
            </a:ext>
          </a:extLst>
        </xdr:cNvPr>
        <xdr:cNvSpPr>
          <a:spLocks noChangeArrowheads="1"/>
        </xdr:cNvSpPr>
      </xdr:nvSpPr>
      <xdr:spPr bwMode="auto">
        <a:xfrm>
          <a:off x="314325" y="4686300"/>
          <a:ext cx="900000" cy="2286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fld id="{32D9DFB1-F2A2-44FA-B5CB-D653D514A81D}" type="TxLink">
            <a:rPr lang="en-US" sz="1000" b="0" i="0" u="none" strike="noStrike">
              <a:solidFill>
                <a:sysClr val="windowText" lastClr="000000"/>
              </a:solidFill>
              <a:latin typeface="Arial"/>
              <a:cs typeface="Arial"/>
            </a:rPr>
            <a:pPr algn="ctr" rtl="0">
              <a:defRPr sz="1000"/>
            </a:pPr>
            <a:t>Load GAS</a:t>
          </a:fld>
          <a:endParaRPr lang="en-GB" sz="1000" b="0" i="0" strike="noStrike">
            <a:solidFill>
              <a:sysClr val="windowText" lastClr="000000"/>
            </a:solidFill>
            <a:latin typeface="Arial"/>
            <a:cs typeface="Arial"/>
          </a:endParaRPr>
        </a:p>
      </xdr:txBody>
    </xdr:sp>
    <xdr:clientData/>
  </xdr:twoCellAnchor>
  <xdr:twoCellAnchor editAs="oneCell">
    <xdr:from>
      <xdr:col>1</xdr:col>
      <xdr:colOff>104775</xdr:colOff>
      <xdr:row>22</xdr:row>
      <xdr:rowOff>0</xdr:rowOff>
    </xdr:from>
    <xdr:to>
      <xdr:col>2</xdr:col>
      <xdr:colOff>547575</xdr:colOff>
      <xdr:row>23</xdr:row>
      <xdr:rowOff>0</xdr:rowOff>
    </xdr:to>
    <xdr:sp macro="[0]!upload_ele_file" textlink="$AA$26">
      <xdr:nvSpPr>
        <xdr:cNvPr id="6" name="Rectangle 13">
          <a:extLst>
            <a:ext uri="{FF2B5EF4-FFF2-40B4-BE49-F238E27FC236}">
              <a16:creationId xmlns:a16="http://schemas.microsoft.com/office/drawing/2014/main" id="{00000000-0008-0000-0000-000006000000}"/>
            </a:ext>
          </a:extLst>
        </xdr:cNvPr>
        <xdr:cNvSpPr>
          <a:spLocks noChangeArrowheads="1"/>
        </xdr:cNvSpPr>
      </xdr:nvSpPr>
      <xdr:spPr bwMode="auto">
        <a:xfrm>
          <a:off x="314325" y="5143500"/>
          <a:ext cx="900000" cy="2286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fld id="{220A6684-F9CB-476B-8234-A51065234378}" type="TxLink">
            <a:rPr lang="en-US" sz="1000" b="0" i="0" u="none" strike="noStrike">
              <a:solidFill>
                <a:sysClr val="windowText" lastClr="000000"/>
              </a:solidFill>
              <a:latin typeface="Arial"/>
              <a:cs typeface="Arial"/>
            </a:rPr>
            <a:pPr algn="ctr" rtl="0">
              <a:defRPr sz="1000"/>
            </a:pPr>
            <a:t>Load ELE</a:t>
          </a:fld>
          <a:endParaRPr lang="en-GB" sz="1000" b="0" i="0" strike="noStrike">
            <a:solidFill>
              <a:sysClr val="windowText" lastClr="000000"/>
            </a:solidFill>
            <a:latin typeface="Arial"/>
            <a:cs typeface="Arial"/>
          </a:endParaRPr>
        </a:p>
      </xdr:txBody>
    </xdr:sp>
    <xdr:clientData/>
  </xdr:twoCellAnchor>
  <xdr:twoCellAnchor editAs="oneCell">
    <xdr:from>
      <xdr:col>1</xdr:col>
      <xdr:colOff>104775</xdr:colOff>
      <xdr:row>21</xdr:row>
      <xdr:rowOff>0</xdr:rowOff>
    </xdr:from>
    <xdr:to>
      <xdr:col>2</xdr:col>
      <xdr:colOff>547575</xdr:colOff>
      <xdr:row>22</xdr:row>
      <xdr:rowOff>0</xdr:rowOff>
    </xdr:to>
    <xdr:sp macro="[0]!upload_ren_file" textlink="$AA$25">
      <xdr:nvSpPr>
        <xdr:cNvPr id="7" name="Rectangle 13">
          <a:extLst>
            <a:ext uri="{FF2B5EF4-FFF2-40B4-BE49-F238E27FC236}">
              <a16:creationId xmlns:a16="http://schemas.microsoft.com/office/drawing/2014/main" id="{00000000-0008-0000-0000-000007000000}"/>
            </a:ext>
          </a:extLst>
        </xdr:cNvPr>
        <xdr:cNvSpPr>
          <a:spLocks noChangeArrowheads="1"/>
        </xdr:cNvSpPr>
      </xdr:nvSpPr>
      <xdr:spPr bwMode="auto">
        <a:xfrm>
          <a:off x="314325" y="4914900"/>
          <a:ext cx="900000" cy="2286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fld id="{562E2BBE-A026-4BA0-8BD1-36CEE69B3154}" type="TxLink">
            <a:rPr lang="en-US" sz="1000" b="0" i="0" u="none" strike="noStrike">
              <a:solidFill>
                <a:sysClr val="windowText" lastClr="000000"/>
              </a:solidFill>
              <a:latin typeface="Arial"/>
              <a:cs typeface="Arial"/>
            </a:rPr>
            <a:pPr algn="ctr" rtl="0">
              <a:defRPr sz="1000"/>
            </a:pPr>
            <a:t>Load REN</a:t>
          </a:fld>
          <a:endParaRPr lang="en-GB" sz="1000" b="0" i="0" strike="noStrike">
            <a:solidFill>
              <a:sysClr val="windowText" lastClr="000000"/>
            </a:solidFill>
            <a:latin typeface="Arial"/>
            <a:cs typeface="Arial"/>
          </a:endParaRPr>
        </a:p>
      </xdr:txBody>
    </xdr:sp>
    <xdr:clientData/>
  </xdr:twoCellAnchor>
  <mc:AlternateContent xmlns:mc="http://schemas.openxmlformats.org/markup-compatibility/2006">
    <mc:Choice xmlns:a14="http://schemas.microsoft.com/office/drawing/2010/main" Requires="a14">
      <xdr:twoCellAnchor editAs="oneCell">
        <xdr:from>
          <xdr:col>12</xdr:col>
          <xdr:colOff>76200</xdr:colOff>
          <xdr:row>17</xdr:row>
          <xdr:rowOff>123825</xdr:rowOff>
        </xdr:from>
        <xdr:to>
          <xdr:col>13</xdr:col>
          <xdr:colOff>352425</xdr:colOff>
          <xdr:row>22</xdr:row>
          <xdr:rowOff>200025</xdr:rowOff>
        </xdr:to>
        <xdr:sp macro="" textlink="">
          <xdr:nvSpPr>
            <xdr:cNvPr id="7861229" name="Button 5101" hidden="1">
              <a:extLst>
                <a:ext uri="{63B3BB69-23CF-44E3-9099-C40C66FF867C}">
                  <a14:compatExt spid="_x0000_s7861229"/>
                </a:ext>
                <a:ext uri="{FF2B5EF4-FFF2-40B4-BE49-F238E27FC236}">
                  <a16:creationId xmlns:a16="http://schemas.microsoft.com/office/drawing/2014/main" id="{00000000-0008-0000-0000-0000EDF377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800" b="1" i="0" u="none" strike="noStrike" baseline="0">
                  <a:solidFill>
                    <a:srgbClr val="000000"/>
                  </a:solidFill>
                  <a:latin typeface="Arial"/>
                  <a:cs typeface="Arial"/>
                </a:rPr>
                <a:t>Create a PDF-report!</a:t>
              </a:r>
            </a:p>
            <a:p>
              <a:pPr algn="ctr" rtl="0">
                <a:defRPr sz="1000"/>
              </a:pPr>
              <a:endParaRPr lang="en-ZA" sz="800" b="1" i="0" u="none" strike="noStrike" baseline="0">
                <a:solidFill>
                  <a:srgbClr val="000000"/>
                </a:solidFill>
                <a:latin typeface="Arial"/>
                <a:cs typeface="Arial"/>
              </a:endParaRPr>
            </a:p>
            <a:p>
              <a:pPr algn="ctr" rtl="0">
                <a:defRPr sz="1000"/>
              </a:pPr>
              <a:r>
                <a:rPr lang="en-ZA" sz="800" b="1" i="0" u="none" strike="noStrike" baseline="0">
                  <a:solidFill>
                    <a:srgbClr val="000000"/>
                  </a:solidFill>
                  <a:latin typeface="Arial"/>
                  <a:cs typeface="Arial"/>
                </a:rPr>
                <a:t>(Saved to user desktop)</a:t>
              </a:r>
            </a:p>
          </xdr:txBody>
        </xdr:sp>
        <xdr:clientData/>
      </xdr:twoCellAnchor>
    </mc:Choice>
    <mc:Fallback/>
  </mc:AlternateContent>
  <xdr:twoCellAnchor editAs="oneCell">
    <xdr:from>
      <xdr:col>0</xdr:col>
      <xdr:colOff>0</xdr:colOff>
      <xdr:row>0</xdr:row>
      <xdr:rowOff>295275</xdr:rowOff>
    </xdr:from>
    <xdr:to>
      <xdr:col>2</xdr:col>
      <xdr:colOff>558445</xdr:colOff>
      <xdr:row>2</xdr:row>
      <xdr:rowOff>301708</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biLevel thresh="25000"/>
          <a:extLst>
            <a:ext uri="{28A0092B-C50C-407E-A947-70E740481C1C}">
              <a14:useLocalDpi xmlns:a14="http://schemas.microsoft.com/office/drawing/2010/main" val="0"/>
            </a:ext>
          </a:extLst>
        </a:blip>
        <a:stretch>
          <a:fillRect/>
        </a:stretch>
      </xdr:blipFill>
      <xdr:spPr>
        <a:xfrm>
          <a:off x="0" y="295275"/>
          <a:ext cx="1225195" cy="53030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1762125</xdr:colOff>
      <xdr:row>3</xdr:row>
      <xdr:rowOff>57151</xdr:rowOff>
    </xdr:from>
    <xdr:to>
      <xdr:col>8</xdr:col>
      <xdr:colOff>314325</xdr:colOff>
      <xdr:row>10</xdr:row>
      <xdr:rowOff>1</xdr:rowOff>
    </xdr:to>
    <xdr:graphicFrame macro="">
      <xdr:nvGraphicFramePr>
        <xdr:cNvPr id="10845695" name="Chart 11">
          <a:extLst>
            <a:ext uri="{FF2B5EF4-FFF2-40B4-BE49-F238E27FC236}">
              <a16:creationId xmlns:a16="http://schemas.microsoft.com/office/drawing/2014/main" id="{00000000-0008-0000-1100-0000FF7DA5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26</xdr:row>
      <xdr:rowOff>38099</xdr:rowOff>
    </xdr:from>
    <xdr:to>
      <xdr:col>8</xdr:col>
      <xdr:colOff>276225</xdr:colOff>
      <xdr:row>36</xdr:row>
      <xdr:rowOff>9525</xdr:rowOff>
    </xdr:to>
    <xdr:graphicFrame macro="">
      <xdr:nvGraphicFramePr>
        <xdr:cNvPr id="10845698" name="Chart 3">
          <a:extLst>
            <a:ext uri="{FF2B5EF4-FFF2-40B4-BE49-F238E27FC236}">
              <a16:creationId xmlns:a16="http://schemas.microsoft.com/office/drawing/2014/main" id="{00000000-0008-0000-1100-0000027EA5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1762125</xdr:colOff>
      <xdr:row>11</xdr:row>
      <xdr:rowOff>0</xdr:rowOff>
    </xdr:from>
    <xdr:to>
      <xdr:col>8</xdr:col>
      <xdr:colOff>314325</xdr:colOff>
      <xdr:row>17</xdr:row>
      <xdr:rowOff>19050</xdr:rowOff>
    </xdr:to>
    <xdr:graphicFrame macro="">
      <xdr:nvGraphicFramePr>
        <xdr:cNvPr id="13" name="Chart 11">
          <a:extLst>
            <a:ext uri="{FF2B5EF4-FFF2-40B4-BE49-F238E27FC236}">
              <a16:creationId xmlns:a16="http://schemas.microsoft.com/office/drawing/2014/main" id="{00000000-0008-0000-1100-00000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1762125</xdr:colOff>
      <xdr:row>18</xdr:row>
      <xdr:rowOff>0</xdr:rowOff>
    </xdr:from>
    <xdr:to>
      <xdr:col>8</xdr:col>
      <xdr:colOff>314325</xdr:colOff>
      <xdr:row>24</xdr:row>
      <xdr:rowOff>19050</xdr:rowOff>
    </xdr:to>
    <xdr:graphicFrame macro="">
      <xdr:nvGraphicFramePr>
        <xdr:cNvPr id="14" name="Chart 13">
          <a:extLst>
            <a:ext uri="{FF2B5EF4-FFF2-40B4-BE49-F238E27FC236}">
              <a16:creationId xmlns:a16="http://schemas.microsoft.com/office/drawing/2014/main" id="{00000000-0008-0000-11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9525</xdr:colOff>
      <xdr:row>31</xdr:row>
      <xdr:rowOff>257175</xdr:rowOff>
    </xdr:from>
    <xdr:to>
      <xdr:col>12</xdr:col>
      <xdr:colOff>390525</xdr:colOff>
      <xdr:row>42</xdr:row>
      <xdr:rowOff>85725</xdr:rowOff>
    </xdr:to>
    <xdr:graphicFrame macro="">
      <xdr:nvGraphicFramePr>
        <xdr:cNvPr id="11664885" name="Chart 11">
          <a:extLst>
            <a:ext uri="{FF2B5EF4-FFF2-40B4-BE49-F238E27FC236}">
              <a16:creationId xmlns:a16="http://schemas.microsoft.com/office/drawing/2014/main" id="{00000000-0008-0000-2600-0000F5FDB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333375</xdr:colOff>
      <xdr:row>7</xdr:row>
      <xdr:rowOff>38100</xdr:rowOff>
    </xdr:from>
    <xdr:to>
      <xdr:col>10</xdr:col>
      <xdr:colOff>0</xdr:colOff>
      <xdr:row>29</xdr:row>
      <xdr:rowOff>238125</xdr:rowOff>
    </xdr:to>
    <xdr:graphicFrame macro="">
      <xdr:nvGraphicFramePr>
        <xdr:cNvPr id="11664886" name="Chart 48">
          <a:extLst>
            <a:ext uri="{FF2B5EF4-FFF2-40B4-BE49-F238E27FC236}">
              <a16:creationId xmlns:a16="http://schemas.microsoft.com/office/drawing/2014/main" id="{00000000-0008-0000-2600-0000F6FDB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266700</xdr:colOff>
      <xdr:row>7</xdr:row>
      <xdr:rowOff>133350</xdr:rowOff>
    </xdr:from>
    <xdr:to>
      <xdr:col>9</xdr:col>
      <xdr:colOff>1104900</xdr:colOff>
      <xdr:row>24</xdr:row>
      <xdr:rowOff>161923</xdr:rowOff>
    </xdr:to>
    <xdr:grpSp>
      <xdr:nvGrpSpPr>
        <xdr:cNvPr id="11664887" name="Group 3">
          <a:extLst>
            <a:ext uri="{FF2B5EF4-FFF2-40B4-BE49-F238E27FC236}">
              <a16:creationId xmlns:a16="http://schemas.microsoft.com/office/drawing/2014/main" id="{00000000-0008-0000-2600-0000F7FDB100}"/>
            </a:ext>
          </a:extLst>
        </xdr:cNvPr>
        <xdr:cNvGrpSpPr>
          <a:grpSpLocks/>
        </xdr:cNvGrpSpPr>
      </xdr:nvGrpSpPr>
      <xdr:grpSpPr bwMode="auto">
        <a:xfrm>
          <a:off x="1114425" y="2438400"/>
          <a:ext cx="4476750" cy="2676523"/>
          <a:chOff x="1543037" y="1581155"/>
          <a:chExt cx="4401364" cy="2781619"/>
        </a:xfrm>
      </xdr:grpSpPr>
      <xdr:grpSp>
        <xdr:nvGrpSpPr>
          <xdr:cNvPr id="11664888" name="Group 2">
            <a:extLst>
              <a:ext uri="{FF2B5EF4-FFF2-40B4-BE49-F238E27FC236}">
                <a16:creationId xmlns:a16="http://schemas.microsoft.com/office/drawing/2014/main" id="{00000000-0008-0000-2600-0000F8FDB100}"/>
              </a:ext>
            </a:extLst>
          </xdr:cNvPr>
          <xdr:cNvGrpSpPr>
            <a:grpSpLocks/>
          </xdr:cNvGrpSpPr>
        </xdr:nvGrpSpPr>
        <xdr:grpSpPr bwMode="auto">
          <a:xfrm>
            <a:off x="1543037" y="1584228"/>
            <a:ext cx="4401364" cy="2778546"/>
            <a:chOff x="1543037" y="1184178"/>
            <a:chExt cx="4401364" cy="2778546"/>
          </a:xfrm>
        </xdr:grpSpPr>
        <xdr:pic>
          <xdr:nvPicPr>
            <xdr:cNvPr id="11664890" name="Picture 43">
              <a:extLst>
                <a:ext uri="{FF2B5EF4-FFF2-40B4-BE49-F238E27FC236}">
                  <a16:creationId xmlns:a16="http://schemas.microsoft.com/office/drawing/2014/main" id="{00000000-0008-0000-2600-0000FAFDB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627717" y="1526365"/>
              <a:ext cx="670494" cy="5562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664891" name="Group 5">
              <a:extLst>
                <a:ext uri="{FF2B5EF4-FFF2-40B4-BE49-F238E27FC236}">
                  <a16:creationId xmlns:a16="http://schemas.microsoft.com/office/drawing/2014/main" id="{00000000-0008-0000-2600-0000FBFDB100}"/>
                </a:ext>
              </a:extLst>
            </xdr:cNvPr>
            <xdr:cNvGrpSpPr>
              <a:grpSpLocks/>
            </xdr:cNvGrpSpPr>
          </xdr:nvGrpSpPr>
          <xdr:grpSpPr bwMode="auto">
            <a:xfrm>
              <a:off x="1543037" y="1184178"/>
              <a:ext cx="4401364" cy="2778546"/>
              <a:chOff x="11086064" y="4950646"/>
              <a:chExt cx="5009063" cy="3182554"/>
            </a:xfrm>
          </xdr:grpSpPr>
          <xdr:sp macro="" textlink="">
            <xdr:nvSpPr>
              <xdr:cNvPr id="13" name="Snip Same Side Corner Rectangle 12">
                <a:extLst>
                  <a:ext uri="{FF2B5EF4-FFF2-40B4-BE49-F238E27FC236}">
                    <a16:creationId xmlns:a16="http://schemas.microsoft.com/office/drawing/2014/main" id="{00000000-0008-0000-2600-00000D000000}"/>
                  </a:ext>
                </a:extLst>
              </xdr:cNvPr>
              <xdr:cNvSpPr/>
            </xdr:nvSpPr>
            <xdr:spPr bwMode="auto">
              <a:xfrm>
                <a:off x="12706951" y="6103715"/>
                <a:ext cx="1495399" cy="523738"/>
              </a:xfrm>
              <a:prstGeom prst="snip2SameRect">
                <a:avLst>
                  <a:gd name="adj1" fmla="val 50000"/>
                  <a:gd name="adj2" fmla="val 0"/>
                </a:avLst>
              </a:prstGeom>
              <a:solidFill>
                <a:schemeClr val="tx1">
                  <a:lumMod val="85000"/>
                  <a:lumOff val="15000"/>
                </a:schemeClr>
              </a:solidFill>
              <a:ln w="12700" cap="sq" cmpd="sng" algn="ctr">
                <a:no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endParaRPr lang="en-GB"/>
              </a:p>
            </xdr:txBody>
          </xdr:sp>
          <xdr:grpSp>
            <xdr:nvGrpSpPr>
              <xdr:cNvPr id="11664893" name="Group 8">
                <a:extLst>
                  <a:ext uri="{FF2B5EF4-FFF2-40B4-BE49-F238E27FC236}">
                    <a16:creationId xmlns:a16="http://schemas.microsoft.com/office/drawing/2014/main" id="{00000000-0008-0000-2600-0000FDFDB100}"/>
                  </a:ext>
                </a:extLst>
              </xdr:cNvPr>
              <xdr:cNvGrpSpPr>
                <a:grpSpLocks/>
              </xdr:cNvGrpSpPr>
            </xdr:nvGrpSpPr>
            <xdr:grpSpPr bwMode="auto">
              <a:xfrm>
                <a:off x="11086064" y="4950646"/>
                <a:ext cx="5009063" cy="3182554"/>
                <a:chOff x="11094723" y="4950646"/>
                <a:chExt cx="5009063" cy="3182554"/>
              </a:xfrm>
            </xdr:grpSpPr>
            <xdr:grpSp>
              <xdr:nvGrpSpPr>
                <xdr:cNvPr id="11664894" name="Group 9">
                  <a:extLst>
                    <a:ext uri="{FF2B5EF4-FFF2-40B4-BE49-F238E27FC236}">
                      <a16:creationId xmlns:a16="http://schemas.microsoft.com/office/drawing/2014/main" id="{00000000-0008-0000-2600-0000FEFDB100}"/>
                    </a:ext>
                  </a:extLst>
                </xdr:cNvPr>
                <xdr:cNvGrpSpPr>
                  <a:grpSpLocks/>
                </xdr:cNvGrpSpPr>
              </xdr:nvGrpSpPr>
              <xdr:grpSpPr bwMode="auto">
                <a:xfrm>
                  <a:off x="11094723" y="5088950"/>
                  <a:ext cx="5009063" cy="3044250"/>
                  <a:chOff x="11094723" y="5088950"/>
                  <a:chExt cx="5009063" cy="3044250"/>
                </a:xfrm>
              </xdr:grpSpPr>
              <xdr:grpSp>
                <xdr:nvGrpSpPr>
                  <xdr:cNvPr id="11664899" name="Group 31">
                    <a:extLst>
                      <a:ext uri="{FF2B5EF4-FFF2-40B4-BE49-F238E27FC236}">
                        <a16:creationId xmlns:a16="http://schemas.microsoft.com/office/drawing/2014/main" id="{00000000-0008-0000-2600-000003FEB100}"/>
                      </a:ext>
                    </a:extLst>
                  </xdr:cNvPr>
                  <xdr:cNvGrpSpPr>
                    <a:grpSpLocks/>
                  </xdr:cNvGrpSpPr>
                </xdr:nvGrpSpPr>
                <xdr:grpSpPr bwMode="auto">
                  <a:xfrm>
                    <a:off x="14489622" y="6059453"/>
                    <a:ext cx="441986" cy="765661"/>
                    <a:chOff x="5689755" y="3240032"/>
                    <a:chExt cx="350981" cy="603311"/>
                  </a:xfrm>
                </xdr:grpSpPr>
                <xdr:grpSp>
                  <xdr:nvGrpSpPr>
                    <xdr:cNvPr id="11664913" name="Group 32">
                      <a:extLst>
                        <a:ext uri="{FF2B5EF4-FFF2-40B4-BE49-F238E27FC236}">
                          <a16:creationId xmlns:a16="http://schemas.microsoft.com/office/drawing/2014/main" id="{00000000-0008-0000-2600-000011FEB100}"/>
                        </a:ext>
                      </a:extLst>
                    </xdr:cNvPr>
                    <xdr:cNvGrpSpPr>
                      <a:grpSpLocks/>
                    </xdr:cNvGrpSpPr>
                  </xdr:nvGrpSpPr>
                  <xdr:grpSpPr bwMode="auto">
                    <a:xfrm>
                      <a:off x="5689755" y="3240032"/>
                      <a:ext cx="350981" cy="599390"/>
                      <a:chOff x="5863576" y="2110934"/>
                      <a:chExt cx="511507" cy="873531"/>
                    </a:xfrm>
                  </xdr:grpSpPr>
                  <xdr:sp macro="" textlink="">
                    <xdr:nvSpPr>
                      <xdr:cNvPr id="11664917" name="Rectangle 37">
                        <a:extLst>
                          <a:ext uri="{FF2B5EF4-FFF2-40B4-BE49-F238E27FC236}">
                            <a16:creationId xmlns:a16="http://schemas.microsoft.com/office/drawing/2014/main" id="{00000000-0008-0000-2600-000015FEB100}"/>
                          </a:ext>
                        </a:extLst>
                      </xdr:cNvPr>
                      <xdr:cNvSpPr>
                        <a:spLocks noChangeArrowheads="1"/>
                      </xdr:cNvSpPr>
                    </xdr:nvSpPr>
                    <xdr:spPr bwMode="auto">
                      <a:xfrm>
                        <a:off x="5863576" y="2311943"/>
                        <a:ext cx="511507" cy="672522"/>
                      </a:xfrm>
                      <a:prstGeom prst="rect">
                        <a:avLst/>
                      </a:prstGeom>
                      <a:solidFill>
                        <a:srgbClr val="C6D9F1"/>
                      </a:solidFill>
                      <a:ln w="12700" cap="sq" algn="ctr">
                        <a:solidFill>
                          <a:srgbClr val="000000"/>
                        </a:solidFill>
                        <a:round/>
                        <a:headEnd type="none" w="sm" len="sm"/>
                        <a:tailEnd type="none" w="sm" len="sm"/>
                      </a:ln>
                    </xdr:spPr>
                  </xdr:sp>
                  <xdr:sp macro="" textlink="">
                    <xdr:nvSpPr>
                      <xdr:cNvPr id="11664918" name="Oval 38">
                        <a:extLst>
                          <a:ext uri="{FF2B5EF4-FFF2-40B4-BE49-F238E27FC236}">
                            <a16:creationId xmlns:a16="http://schemas.microsoft.com/office/drawing/2014/main" id="{00000000-0008-0000-2600-000016FEB100}"/>
                          </a:ext>
                        </a:extLst>
                      </xdr:cNvPr>
                      <xdr:cNvSpPr>
                        <a:spLocks noChangeArrowheads="1"/>
                      </xdr:cNvSpPr>
                    </xdr:nvSpPr>
                    <xdr:spPr bwMode="auto">
                      <a:xfrm>
                        <a:off x="6063257" y="2110934"/>
                        <a:ext cx="112144" cy="112146"/>
                      </a:xfrm>
                      <a:prstGeom prst="ellipse">
                        <a:avLst/>
                      </a:prstGeom>
                      <a:solidFill>
                        <a:srgbClr val="000000"/>
                      </a:solidFill>
                      <a:ln w="12700" cap="sq" algn="ctr">
                        <a:solidFill>
                          <a:srgbClr val="000000"/>
                        </a:solidFill>
                        <a:round/>
                        <a:headEnd type="none" w="sm" len="sm"/>
                        <a:tailEnd type="none" w="sm" len="sm"/>
                      </a:ln>
                    </xdr:spPr>
                  </xdr:sp>
                </xdr:grpSp>
                <xdr:grpSp>
                  <xdr:nvGrpSpPr>
                    <xdr:cNvPr id="11664914" name="Group 33">
                      <a:extLst>
                        <a:ext uri="{FF2B5EF4-FFF2-40B4-BE49-F238E27FC236}">
                          <a16:creationId xmlns:a16="http://schemas.microsoft.com/office/drawing/2014/main" id="{00000000-0008-0000-2600-000012FEB100}"/>
                        </a:ext>
                      </a:extLst>
                    </xdr:cNvPr>
                    <xdr:cNvGrpSpPr>
                      <a:grpSpLocks/>
                    </xdr:cNvGrpSpPr>
                  </xdr:nvGrpSpPr>
                  <xdr:grpSpPr bwMode="auto">
                    <a:xfrm>
                      <a:off x="5689933" y="3598101"/>
                      <a:ext cx="350613" cy="245242"/>
                      <a:chOff x="3045789" y="-3469954"/>
                      <a:chExt cx="1015888" cy="1077181"/>
                    </a:xfrm>
                  </xdr:grpSpPr>
                  <xdr:sp macro="" textlink="">
                    <xdr:nvSpPr>
                      <xdr:cNvPr id="11664915" name="Flowchart: Punched Tape 34">
                        <a:extLst>
                          <a:ext uri="{FF2B5EF4-FFF2-40B4-BE49-F238E27FC236}">
                            <a16:creationId xmlns:a16="http://schemas.microsoft.com/office/drawing/2014/main" id="{00000000-0008-0000-2600-000013FEB100}"/>
                          </a:ext>
                        </a:extLst>
                      </xdr:cNvPr>
                      <xdr:cNvSpPr>
                        <a:spLocks noChangeArrowheads="1"/>
                      </xdr:cNvSpPr>
                    </xdr:nvSpPr>
                    <xdr:spPr bwMode="auto">
                      <a:xfrm>
                        <a:off x="3058447" y="-3469954"/>
                        <a:ext cx="990598" cy="746914"/>
                      </a:xfrm>
                      <a:prstGeom prst="flowChartPunchedTape">
                        <a:avLst/>
                      </a:prstGeom>
                      <a:solidFill>
                        <a:srgbClr val="000000"/>
                      </a:solidFill>
                      <a:ln w="12700" cap="sq" algn="ctr">
                        <a:solidFill>
                          <a:srgbClr val="000000"/>
                        </a:solidFill>
                        <a:round/>
                        <a:headEnd type="none" w="sm" len="sm"/>
                        <a:tailEnd type="none" w="sm" len="sm"/>
                      </a:ln>
                    </xdr:spPr>
                  </xdr:sp>
                  <xdr:sp macro="" textlink="">
                    <xdr:nvSpPr>
                      <xdr:cNvPr id="11664916" name="Rectangle 35">
                        <a:extLst>
                          <a:ext uri="{FF2B5EF4-FFF2-40B4-BE49-F238E27FC236}">
                            <a16:creationId xmlns:a16="http://schemas.microsoft.com/office/drawing/2014/main" id="{00000000-0008-0000-2600-000014FEB100}"/>
                          </a:ext>
                        </a:extLst>
                      </xdr:cNvPr>
                      <xdr:cNvSpPr>
                        <a:spLocks noChangeArrowheads="1"/>
                      </xdr:cNvSpPr>
                    </xdr:nvSpPr>
                    <xdr:spPr bwMode="auto">
                      <a:xfrm>
                        <a:off x="3045789" y="-2999742"/>
                        <a:ext cx="1015888" cy="606969"/>
                      </a:xfrm>
                      <a:prstGeom prst="rect">
                        <a:avLst/>
                      </a:prstGeom>
                      <a:solidFill>
                        <a:srgbClr val="000000"/>
                      </a:solidFill>
                      <a:ln w="12700" cap="sq" algn="ctr">
                        <a:solidFill>
                          <a:srgbClr val="000000"/>
                        </a:solidFill>
                        <a:round/>
                        <a:headEnd type="none" w="sm" len="sm"/>
                        <a:tailEnd type="none" w="sm" len="sm"/>
                      </a:ln>
                    </xdr:spPr>
                  </xdr:sp>
                </xdr:grpSp>
              </xdr:grpSp>
              <xdr:sp macro="" textlink="">
                <xdr:nvSpPr>
                  <xdr:cNvPr id="21" name="Trapezoid 20">
                    <a:extLst>
                      <a:ext uri="{FF2B5EF4-FFF2-40B4-BE49-F238E27FC236}">
                        <a16:creationId xmlns:a16="http://schemas.microsoft.com/office/drawing/2014/main" id="{00000000-0008-0000-2600-000015000000}"/>
                      </a:ext>
                    </a:extLst>
                  </xdr:cNvPr>
                  <xdr:cNvSpPr/>
                </xdr:nvSpPr>
                <xdr:spPr bwMode="auto">
                  <a:xfrm>
                    <a:off x="13729971" y="5940046"/>
                    <a:ext cx="198689" cy="163668"/>
                  </a:xfrm>
                  <a:prstGeom prst="trapezoid">
                    <a:avLst/>
                  </a:prstGeom>
                  <a:solidFill>
                    <a:schemeClr val="tx1">
                      <a:lumMod val="95000"/>
                      <a:lumOff val="5000"/>
                    </a:schemeClr>
                  </a:solidFill>
                  <a:ln w="12700" cap="sq" cmpd="sng" algn="ctr">
                    <a:no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endParaRPr lang="en-GB"/>
                  </a:p>
                </xdr:txBody>
              </xdr:sp>
              <xdr:pic>
                <xdr:nvPicPr>
                  <xdr:cNvPr id="11664901" name="Picture 16" descr="http://www.asia.ru/images/target/photo/50336094/Coking_Coal.jpg">
                    <a:extLst>
                      <a:ext uri="{FF2B5EF4-FFF2-40B4-BE49-F238E27FC236}">
                        <a16:creationId xmlns:a16="http://schemas.microsoft.com/office/drawing/2014/main" id="{00000000-0008-0000-2600-000005FEB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17213" b="40472"/>
                  <a:stretch>
                    <a:fillRect/>
                  </a:stretch>
                </xdr:blipFill>
                <xdr:spPr bwMode="auto">
                  <a:xfrm>
                    <a:off x="14403213" y="7632271"/>
                    <a:ext cx="1136349" cy="4837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664902" name="Group 17">
                    <a:extLst>
                      <a:ext uri="{FF2B5EF4-FFF2-40B4-BE49-F238E27FC236}">
                        <a16:creationId xmlns:a16="http://schemas.microsoft.com/office/drawing/2014/main" id="{00000000-0008-0000-2600-000006FEB100}"/>
                      </a:ext>
                    </a:extLst>
                  </xdr:cNvPr>
                  <xdr:cNvGrpSpPr>
                    <a:grpSpLocks/>
                  </xdr:cNvGrpSpPr>
                </xdr:nvGrpSpPr>
                <xdr:grpSpPr bwMode="auto">
                  <a:xfrm>
                    <a:off x="11094723" y="7397317"/>
                    <a:ext cx="1358438" cy="735883"/>
                    <a:chOff x="2335665" y="3910550"/>
                    <a:chExt cx="1365002" cy="735883"/>
                  </a:xfrm>
                </xdr:grpSpPr>
                <xdr:pic>
                  <xdr:nvPicPr>
                    <xdr:cNvPr id="11664911" name="Picture 27" descr="http://www.cspe.tv/sitebuildercontent/sitebuilderpictures/webassets/coal.jpg">
                      <a:extLst>
                        <a:ext uri="{FF2B5EF4-FFF2-40B4-BE49-F238E27FC236}">
                          <a16:creationId xmlns:a16="http://schemas.microsoft.com/office/drawing/2014/main" id="{00000000-0008-0000-2600-00000FFEB1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335665" y="3910550"/>
                      <a:ext cx="891979" cy="735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664912" name="Picture 26" descr="http://www.cspe.tv/sitebuildercontent/sitebuilderpictures/webassets/coal.jpg">
                      <a:extLst>
                        <a:ext uri="{FF2B5EF4-FFF2-40B4-BE49-F238E27FC236}">
                          <a16:creationId xmlns:a16="http://schemas.microsoft.com/office/drawing/2014/main" id="{00000000-0008-0000-2600-000010FEB1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254676" y="4226312"/>
                      <a:ext cx="445991" cy="367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nvGrpSpPr>
                  <xdr:cNvPr id="11664903" name="Group 18">
                    <a:extLst>
                      <a:ext uri="{FF2B5EF4-FFF2-40B4-BE49-F238E27FC236}">
                        <a16:creationId xmlns:a16="http://schemas.microsoft.com/office/drawing/2014/main" id="{00000000-0008-0000-2600-000007FEB100}"/>
                      </a:ext>
                    </a:extLst>
                  </xdr:cNvPr>
                  <xdr:cNvGrpSpPr>
                    <a:grpSpLocks/>
                  </xdr:cNvGrpSpPr>
                </xdr:nvGrpSpPr>
                <xdr:grpSpPr bwMode="auto">
                  <a:xfrm>
                    <a:off x="11166325" y="6158270"/>
                    <a:ext cx="4937461" cy="1900499"/>
                    <a:chOff x="2405943" y="2671503"/>
                    <a:chExt cx="4966232" cy="1900499"/>
                  </a:xfrm>
                </xdr:grpSpPr>
                <xdr:sp macro="" textlink="">
                  <xdr:nvSpPr>
                    <xdr:cNvPr id="29" name="Rectangle 28">
                      <a:extLst>
                        <a:ext uri="{FF2B5EF4-FFF2-40B4-BE49-F238E27FC236}">
                          <a16:creationId xmlns:a16="http://schemas.microsoft.com/office/drawing/2014/main" id="{00000000-0008-0000-2600-00001D000000}"/>
                        </a:ext>
                      </a:extLst>
                    </xdr:cNvPr>
                    <xdr:cNvSpPr/>
                  </xdr:nvSpPr>
                  <xdr:spPr bwMode="auto">
                    <a:xfrm>
                      <a:off x="3953738" y="3151597"/>
                      <a:ext cx="1504112" cy="1418458"/>
                    </a:xfrm>
                    <a:prstGeom prst="rect">
                      <a:avLst/>
                    </a:prstGeom>
                    <a:gradFill>
                      <a:gsLst>
                        <a:gs pos="24000">
                          <a:srgbClr val="FFF200"/>
                        </a:gs>
                        <a:gs pos="48000">
                          <a:srgbClr val="FF7A00"/>
                        </a:gs>
                        <a:gs pos="77000">
                          <a:srgbClr val="FF0300">
                            <a:alpha val="94000"/>
                          </a:srgbClr>
                        </a:gs>
                        <a:gs pos="100000">
                          <a:srgbClr val="4D0808"/>
                        </a:gs>
                      </a:gsLst>
                      <a:lin ang="5400000" scaled="0"/>
                    </a:gradFill>
                    <a:ln w="76200" cap="sq" cmpd="sng" algn="ctr">
                      <a:solidFill>
                        <a:schemeClr val="tx1">
                          <a:lumMod val="85000"/>
                          <a:lumOff val="15000"/>
                        </a:schemeClr>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endParaRPr lang="en-GB"/>
                    </a:p>
                  </xdr:txBody>
                </xdr:sp>
                <xdr:cxnSp macro="">
                  <xdr:nvCxnSpPr>
                    <xdr:cNvPr id="11664909" name="Straight Connector 24">
                      <a:extLst>
                        <a:ext uri="{FF2B5EF4-FFF2-40B4-BE49-F238E27FC236}">
                          <a16:creationId xmlns:a16="http://schemas.microsoft.com/office/drawing/2014/main" id="{00000000-0008-0000-2600-00000DFEB100}"/>
                        </a:ext>
                      </a:extLst>
                    </xdr:cNvPr>
                    <xdr:cNvCxnSpPr>
                      <a:cxnSpLocks noChangeShapeType="1"/>
                    </xdr:cNvCxnSpPr>
                  </xdr:nvCxnSpPr>
                  <xdr:spPr bwMode="auto">
                    <a:xfrm>
                      <a:off x="2405943" y="4572002"/>
                      <a:ext cx="4966232" cy="0"/>
                    </a:xfrm>
                    <a:prstGeom prst="line">
                      <a:avLst/>
                    </a:prstGeom>
                    <a:noFill/>
                    <a:ln w="73025" cap="sq" algn="ctr">
                      <a:solidFill>
                        <a:srgbClr val="0D0D0D"/>
                      </a:solidFill>
                      <a:round/>
                      <a:headEnd type="none" w="sm" len="sm"/>
                      <a:tailEnd type="none" w="sm" len="sm"/>
                    </a:ln>
                    <a:extLst>
                      <a:ext uri="{909E8E84-426E-40DD-AFC4-6F175D3DCCD1}">
                        <a14:hiddenFill xmlns:a14="http://schemas.microsoft.com/office/drawing/2010/main">
                          <a:noFill/>
                        </a14:hiddenFill>
                      </a:ext>
                    </a:extLst>
                  </xdr:spPr>
                </xdr:cxnSp>
                <xdr:sp macro="" textlink="$B$3">
                  <xdr:nvSpPr>
                    <xdr:cNvPr id="31" name="TextBox 31">
                      <a:extLst>
                        <a:ext uri="{FF2B5EF4-FFF2-40B4-BE49-F238E27FC236}">
                          <a16:creationId xmlns:a16="http://schemas.microsoft.com/office/drawing/2014/main" id="{00000000-0008-0000-2600-00001F000000}"/>
                        </a:ext>
                      </a:extLst>
                    </xdr:cNvPr>
                    <xdr:cNvSpPr txBox="1"/>
                  </xdr:nvSpPr>
                  <xdr:spPr>
                    <a:xfrm>
                      <a:off x="3993192" y="2671503"/>
                      <a:ext cx="1135972" cy="447360"/>
                    </a:xfrm>
                    <a:prstGeom prst="rect">
                      <a:avLst/>
                    </a:prstGeom>
                    <a:noFill/>
                  </xdr:spPr>
                  <xdr:txBody>
                    <a:bodyPr wrap="square" rtlCol="0">
                      <a:noAutofit/>
                    </a:bodyPr>
                    <a:lstStyle>
                      <a:defPPr>
                        <a:defRPr lang="en-GB"/>
                      </a:defPPr>
                      <a:lvl1pPr algn="l" rtl="0" fontAlgn="base">
                        <a:spcBef>
                          <a:spcPct val="0"/>
                        </a:spcBef>
                        <a:spcAft>
                          <a:spcPct val="0"/>
                        </a:spcAft>
                        <a:defRPr sz="2400" kern="1200">
                          <a:solidFill>
                            <a:schemeClr val="tx1"/>
                          </a:solidFill>
                          <a:latin typeface="Times New Roman" pitchFamily="18" charset="0"/>
                          <a:ea typeface="+mn-ea"/>
                          <a:cs typeface="Arial" charset="0"/>
                        </a:defRPr>
                      </a:lvl1pPr>
                      <a:lvl2pPr marL="457200" algn="l" rtl="0" fontAlgn="base">
                        <a:spcBef>
                          <a:spcPct val="0"/>
                        </a:spcBef>
                        <a:spcAft>
                          <a:spcPct val="0"/>
                        </a:spcAft>
                        <a:defRPr sz="2400" kern="1200">
                          <a:solidFill>
                            <a:schemeClr val="tx1"/>
                          </a:solidFill>
                          <a:latin typeface="Times New Roman" pitchFamily="18" charset="0"/>
                          <a:ea typeface="+mn-ea"/>
                          <a:cs typeface="Arial" charset="0"/>
                        </a:defRPr>
                      </a:lvl2pPr>
                      <a:lvl3pPr marL="914400" algn="l" rtl="0" fontAlgn="base">
                        <a:spcBef>
                          <a:spcPct val="0"/>
                        </a:spcBef>
                        <a:spcAft>
                          <a:spcPct val="0"/>
                        </a:spcAft>
                        <a:defRPr sz="2400" kern="1200">
                          <a:solidFill>
                            <a:schemeClr val="tx1"/>
                          </a:solidFill>
                          <a:latin typeface="Times New Roman" pitchFamily="18" charset="0"/>
                          <a:ea typeface="+mn-ea"/>
                          <a:cs typeface="Arial" charset="0"/>
                        </a:defRPr>
                      </a:lvl3pPr>
                      <a:lvl4pPr marL="1371600" algn="l" rtl="0" fontAlgn="base">
                        <a:spcBef>
                          <a:spcPct val="0"/>
                        </a:spcBef>
                        <a:spcAft>
                          <a:spcPct val="0"/>
                        </a:spcAft>
                        <a:defRPr sz="2400" kern="1200">
                          <a:solidFill>
                            <a:schemeClr val="tx1"/>
                          </a:solidFill>
                          <a:latin typeface="Times New Roman" pitchFamily="18" charset="0"/>
                          <a:ea typeface="+mn-ea"/>
                          <a:cs typeface="Arial" charset="0"/>
                        </a:defRPr>
                      </a:lvl4pPr>
                      <a:lvl5pPr marL="1828800" algn="l" rtl="0" fontAlgn="base">
                        <a:spcBef>
                          <a:spcPct val="0"/>
                        </a:spcBef>
                        <a:spcAft>
                          <a:spcPct val="0"/>
                        </a:spcAft>
                        <a:defRPr sz="2400" kern="1200">
                          <a:solidFill>
                            <a:schemeClr val="tx1"/>
                          </a:solidFill>
                          <a:latin typeface="Times New Roman" pitchFamily="18" charset="0"/>
                          <a:ea typeface="+mn-ea"/>
                          <a:cs typeface="Arial" charset="0"/>
                        </a:defRPr>
                      </a:lvl5pPr>
                      <a:lvl6pPr marL="2286000" algn="l" defTabSz="914400" rtl="0" eaLnBrk="1" latinLnBrk="0" hangingPunct="1">
                        <a:defRPr sz="2400" kern="1200">
                          <a:solidFill>
                            <a:schemeClr val="tx1"/>
                          </a:solidFill>
                          <a:latin typeface="Times New Roman" pitchFamily="18" charset="0"/>
                          <a:ea typeface="+mn-ea"/>
                          <a:cs typeface="Arial" charset="0"/>
                        </a:defRPr>
                      </a:lvl6pPr>
                      <a:lvl7pPr marL="2743200" algn="l" defTabSz="914400" rtl="0" eaLnBrk="1" latinLnBrk="0" hangingPunct="1">
                        <a:defRPr sz="2400" kern="1200">
                          <a:solidFill>
                            <a:schemeClr val="tx1"/>
                          </a:solidFill>
                          <a:latin typeface="Times New Roman" pitchFamily="18" charset="0"/>
                          <a:ea typeface="+mn-ea"/>
                          <a:cs typeface="Arial" charset="0"/>
                        </a:defRPr>
                      </a:lvl7pPr>
                      <a:lvl8pPr marL="3200400" algn="l" defTabSz="914400" rtl="0" eaLnBrk="1" latinLnBrk="0" hangingPunct="1">
                        <a:defRPr sz="2400" kern="1200">
                          <a:solidFill>
                            <a:schemeClr val="tx1"/>
                          </a:solidFill>
                          <a:latin typeface="Times New Roman" pitchFamily="18" charset="0"/>
                          <a:ea typeface="+mn-ea"/>
                          <a:cs typeface="Arial" charset="0"/>
                        </a:defRPr>
                      </a:lvl8pPr>
                      <a:lvl9pPr marL="3657600" algn="l" defTabSz="914400" rtl="0" eaLnBrk="1" latinLnBrk="0" hangingPunct="1">
                        <a:defRPr sz="2400" kern="1200">
                          <a:solidFill>
                            <a:schemeClr val="tx1"/>
                          </a:solidFill>
                          <a:latin typeface="Times New Roman" pitchFamily="18" charset="0"/>
                          <a:ea typeface="+mn-ea"/>
                          <a:cs typeface="Arial" charset="0"/>
                        </a:defRPr>
                      </a:lvl9pPr>
                    </a:lstStyle>
                    <a:p>
                      <a:pPr algn="ctr"/>
                      <a:fld id="{0A200ED0-8C47-4A2D-A771-1213EA8962F7}" type="TxLink">
                        <a:rPr lang="en-US" sz="800" b="1" i="0" u="none" strike="noStrike">
                          <a:solidFill>
                            <a:schemeClr val="bg1"/>
                          </a:solidFill>
                          <a:latin typeface="Arial"/>
                          <a:cs typeface="Arial"/>
                        </a:rPr>
                        <a:pPr algn="ctr"/>
                        <a:t>Coke oven process:</a:t>
                      </a:fld>
                      <a:endParaRPr lang="en-GB" sz="2800">
                        <a:solidFill>
                          <a:schemeClr val="bg1"/>
                        </a:solidFill>
                        <a:latin typeface="+mn-lt"/>
                      </a:endParaRPr>
                    </a:p>
                  </xdr:txBody>
                </xdr:sp>
              </xdr:grpSp>
              <xdr:grpSp>
                <xdr:nvGrpSpPr>
                  <xdr:cNvPr id="11664904" name="Group 19">
                    <a:extLst>
                      <a:ext uri="{FF2B5EF4-FFF2-40B4-BE49-F238E27FC236}">
                        <a16:creationId xmlns:a16="http://schemas.microsoft.com/office/drawing/2014/main" id="{00000000-0008-0000-2600-000008FEB100}"/>
                      </a:ext>
                    </a:extLst>
                  </xdr:cNvPr>
                  <xdr:cNvGrpSpPr>
                    <a:grpSpLocks/>
                  </xdr:cNvGrpSpPr>
                </xdr:nvGrpSpPr>
                <xdr:grpSpPr bwMode="auto">
                  <a:xfrm>
                    <a:off x="13636634" y="5088950"/>
                    <a:ext cx="366669" cy="731452"/>
                    <a:chOff x="4890625" y="1602183"/>
                    <a:chExt cx="370159" cy="731452"/>
                  </a:xfrm>
                </xdr:grpSpPr>
                <xdr:sp macro="" textlink="">
                  <xdr:nvSpPr>
                    <xdr:cNvPr id="27" name="Cloud 26">
                      <a:extLst>
                        <a:ext uri="{FF2B5EF4-FFF2-40B4-BE49-F238E27FC236}">
                          <a16:creationId xmlns:a16="http://schemas.microsoft.com/office/drawing/2014/main" id="{00000000-0008-0000-2600-00001B000000}"/>
                        </a:ext>
                      </a:extLst>
                    </xdr:cNvPr>
                    <xdr:cNvSpPr/>
                  </xdr:nvSpPr>
                  <xdr:spPr bwMode="auto">
                    <a:xfrm>
                      <a:off x="4942624" y="2115032"/>
                      <a:ext cx="232251" cy="218224"/>
                    </a:xfrm>
                    <a:prstGeom prst="cloud">
                      <a:avLst/>
                    </a:prstGeom>
                    <a:solidFill>
                      <a:schemeClr val="bg1">
                        <a:lumMod val="95000"/>
                      </a:schemeClr>
                    </a:solidFill>
                    <a:ln w="12700" cap="sq" cmpd="sng" algn="ctr">
                      <a:solidFill>
                        <a:schemeClr val="bg1">
                          <a:lumMod val="65000"/>
                        </a:schemeClr>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endParaRPr lang="en-GB"/>
                    </a:p>
                  </xdr:txBody>
                </xdr:sp>
                <xdr:sp macro="" textlink="">
                  <xdr:nvSpPr>
                    <xdr:cNvPr id="28" name="Cloud 27">
                      <a:extLst>
                        <a:ext uri="{FF2B5EF4-FFF2-40B4-BE49-F238E27FC236}">
                          <a16:creationId xmlns:a16="http://schemas.microsoft.com/office/drawing/2014/main" id="{00000000-0008-0000-2600-00001C000000}"/>
                        </a:ext>
                      </a:extLst>
                    </xdr:cNvPr>
                    <xdr:cNvSpPr/>
                  </xdr:nvSpPr>
                  <xdr:spPr bwMode="auto">
                    <a:xfrm>
                      <a:off x="4889839" y="1602205"/>
                      <a:ext cx="369491" cy="349159"/>
                    </a:xfrm>
                    <a:prstGeom prst="cloud">
                      <a:avLst/>
                    </a:prstGeom>
                    <a:solidFill>
                      <a:schemeClr val="bg1">
                        <a:lumMod val="95000"/>
                      </a:schemeClr>
                    </a:solidFill>
                    <a:ln w="12700" cap="sq" cmpd="sng" algn="ctr">
                      <a:solidFill>
                        <a:schemeClr val="bg1">
                          <a:lumMod val="65000"/>
                        </a:schemeClr>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p>
                      <a:endParaRPr lang="en-GB"/>
                    </a:p>
                  </xdr:txBody>
                </xdr:sp>
              </xdr:grpSp>
              <xdr:sp macro="" textlink="">
                <xdr:nvSpPr>
                  <xdr:cNvPr id="26" name="Teardrop 25">
                    <a:extLst>
                      <a:ext uri="{FF2B5EF4-FFF2-40B4-BE49-F238E27FC236}">
                        <a16:creationId xmlns:a16="http://schemas.microsoft.com/office/drawing/2014/main" id="{00000000-0008-0000-2600-00001A000000}"/>
                      </a:ext>
                    </a:extLst>
                  </xdr:cNvPr>
                  <xdr:cNvSpPr/>
                </xdr:nvSpPr>
                <xdr:spPr bwMode="auto">
                  <a:xfrm rot="18900000">
                    <a:off x="14671131" y="5863668"/>
                    <a:ext cx="83659" cy="76378"/>
                  </a:xfrm>
                  <a:prstGeom prst="teardrop">
                    <a:avLst>
                      <a:gd name="adj" fmla="val 178591"/>
                    </a:avLst>
                  </a:prstGeom>
                  <a:solidFill>
                    <a:schemeClr val="tx1"/>
                  </a:solidFill>
                  <a:ln w="12700" cap="sq" cmpd="sng" algn="ctr">
                    <a:noFill/>
                    <a:prstDash val="solid"/>
                    <a:round/>
                    <a:headEnd type="none" w="sm" len="sm"/>
                    <a:tailEnd type="none" w="sm" len="sm"/>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endParaRPr lang="en-GB"/>
                  </a:p>
                </xdr:txBody>
              </xdr:sp>
            </xdr:grpSp>
            <xdr:grpSp>
              <xdr:nvGrpSpPr>
                <xdr:cNvPr id="11664895" name="Group 10">
                  <a:extLst>
                    <a:ext uri="{FF2B5EF4-FFF2-40B4-BE49-F238E27FC236}">
                      <a16:creationId xmlns:a16="http://schemas.microsoft.com/office/drawing/2014/main" id="{00000000-0008-0000-2600-0000FFFDB100}"/>
                    </a:ext>
                  </a:extLst>
                </xdr:cNvPr>
                <xdr:cNvGrpSpPr>
                  <a:grpSpLocks/>
                </xdr:cNvGrpSpPr>
              </xdr:nvGrpSpPr>
              <xdr:grpSpPr bwMode="auto">
                <a:xfrm>
                  <a:off x="12052131" y="4950646"/>
                  <a:ext cx="3082854" cy="2946404"/>
                  <a:chOff x="3296624" y="1463879"/>
                  <a:chExt cx="3101309" cy="2946404"/>
                </a:xfrm>
              </xdr:grpSpPr>
              <xdr:cxnSp macro="">
                <xdr:nvCxnSpPr>
                  <xdr:cNvPr id="11664897" name="Straight Arrow Connector 12">
                    <a:extLst>
                      <a:ext uri="{FF2B5EF4-FFF2-40B4-BE49-F238E27FC236}">
                        <a16:creationId xmlns:a16="http://schemas.microsoft.com/office/drawing/2014/main" id="{00000000-0008-0000-2600-000001FEB100}"/>
                      </a:ext>
                    </a:extLst>
                  </xdr:cNvPr>
                  <xdr:cNvCxnSpPr>
                    <a:cxnSpLocks noChangeShapeType="1"/>
                  </xdr:cNvCxnSpPr>
                </xdr:nvCxnSpPr>
                <xdr:spPr bwMode="auto">
                  <a:xfrm>
                    <a:off x="3296624" y="4410283"/>
                    <a:ext cx="3101309" cy="0"/>
                  </a:xfrm>
                  <a:prstGeom prst="straightConnector1">
                    <a:avLst/>
                  </a:prstGeom>
                  <a:noFill/>
                  <a:ln w="57150" cap="sq" algn="ctr">
                    <a:solidFill>
                      <a:srgbClr val="7F7F7F"/>
                    </a:solidFill>
                    <a:round/>
                    <a:headEnd type="none" w="sm" len="sm"/>
                    <a:tailEnd type="triangle" w="med" len="med"/>
                  </a:ln>
                  <a:extLst>
                    <a:ext uri="{909E8E84-426E-40DD-AFC4-6F175D3DCCD1}">
                      <a14:hiddenFill xmlns:a14="http://schemas.microsoft.com/office/drawing/2010/main">
                        <a:noFill/>
                      </a14:hiddenFill>
                    </a:ext>
                  </a:extLst>
                </xdr:spPr>
              </xdr:cxnSp>
              <xdr:cxnSp macro="">
                <xdr:nvCxnSpPr>
                  <xdr:cNvPr id="11664898" name="Straight Connector 13">
                    <a:extLst>
                      <a:ext uri="{FF2B5EF4-FFF2-40B4-BE49-F238E27FC236}">
                        <a16:creationId xmlns:a16="http://schemas.microsoft.com/office/drawing/2014/main" id="{00000000-0008-0000-2600-000002FEB100}"/>
                      </a:ext>
                    </a:extLst>
                  </xdr:cNvPr>
                  <xdr:cNvCxnSpPr>
                    <a:cxnSpLocks noChangeShapeType="1"/>
                  </xdr:cNvCxnSpPr>
                </xdr:nvCxnSpPr>
                <xdr:spPr bwMode="auto">
                  <a:xfrm flipH="1" flipV="1">
                    <a:off x="5082363" y="1463879"/>
                    <a:ext cx="0" cy="2927987"/>
                  </a:xfrm>
                  <a:prstGeom prst="line">
                    <a:avLst/>
                  </a:prstGeom>
                  <a:noFill/>
                  <a:ln w="57150" cap="sq" algn="ctr">
                    <a:solidFill>
                      <a:srgbClr val="7F7F7F"/>
                    </a:solidFill>
                    <a:prstDash val="sysDash"/>
                    <a:round/>
                    <a:headEnd/>
                    <a:tailEnd type="triangle" w="med" len="med"/>
                  </a:ln>
                  <a:extLst>
                    <a:ext uri="{909E8E84-426E-40DD-AFC4-6F175D3DCCD1}">
                      <a14:hiddenFill xmlns:a14="http://schemas.microsoft.com/office/drawing/2010/main">
                        <a:noFill/>
                      </a14:hiddenFill>
                    </a:ext>
                  </a:extLst>
                </xdr:spPr>
              </xdr:cxnSp>
            </xdr:grpSp>
            <xdr:cxnSp macro="">
              <xdr:nvCxnSpPr>
                <xdr:cNvPr id="11664896" name="Straight Connector 11">
                  <a:extLst>
                    <a:ext uri="{FF2B5EF4-FFF2-40B4-BE49-F238E27FC236}">
                      <a16:creationId xmlns:a16="http://schemas.microsoft.com/office/drawing/2014/main" id="{00000000-0008-0000-2600-000000FEB100}"/>
                    </a:ext>
                  </a:extLst>
                </xdr:cNvPr>
                <xdr:cNvCxnSpPr>
                  <a:cxnSpLocks noChangeShapeType="1"/>
                </xdr:cNvCxnSpPr>
              </xdr:nvCxnSpPr>
              <xdr:spPr bwMode="auto">
                <a:xfrm>
                  <a:off x="14107310" y="5723860"/>
                  <a:ext cx="671904" cy="0"/>
                </a:xfrm>
                <a:prstGeom prst="straightConnector1">
                  <a:avLst/>
                </a:prstGeom>
                <a:noFill/>
                <a:ln w="57150" cap="sq" algn="ctr">
                  <a:solidFill>
                    <a:schemeClr val="tx1"/>
                  </a:solidFill>
                  <a:prstDash val="sysDash"/>
                  <a:round/>
                  <a:headEnd/>
                  <a:tailEnd type="triangle" w="med" len="med"/>
                </a:ln>
                <a:extLst>
                  <a:ext uri="{909E8E84-426E-40DD-AFC4-6F175D3DCCD1}">
                    <a14:hiddenFill xmlns:a14="http://schemas.microsoft.com/office/drawing/2010/main">
                      <a:noFill/>
                    </a14:hiddenFill>
                  </a:ext>
                </a:extLst>
              </xdr:spPr>
            </xdr:cxnSp>
          </xdr:grpSp>
        </xdr:grpSp>
      </xdr:grpSp>
      <xdr:cxnSp macro="">
        <xdr:nvCxnSpPr>
          <xdr:cNvPr id="11664889" name="Straight Connector 55">
            <a:extLst>
              <a:ext uri="{FF2B5EF4-FFF2-40B4-BE49-F238E27FC236}">
                <a16:creationId xmlns:a16="http://schemas.microsoft.com/office/drawing/2014/main" id="{00000000-0008-0000-2600-0000F9FDB100}"/>
              </a:ext>
            </a:extLst>
          </xdr:cNvPr>
          <xdr:cNvCxnSpPr>
            <a:cxnSpLocks noChangeShapeType="1"/>
          </xdr:cNvCxnSpPr>
        </xdr:nvCxnSpPr>
        <xdr:spPr bwMode="auto">
          <a:xfrm flipV="1">
            <a:off x="3949583" y="1581155"/>
            <a:ext cx="833490" cy="0"/>
          </a:xfrm>
          <a:prstGeom prst="line">
            <a:avLst/>
          </a:prstGeom>
          <a:noFill/>
          <a:ln w="57150" cap="sq" algn="ctr">
            <a:solidFill>
              <a:schemeClr val="accent2"/>
            </a:solidFill>
            <a:prstDash val="sysDash"/>
            <a:round/>
            <a:headEnd/>
            <a:tailEnd type="triangle" w="med" len="med"/>
          </a:ln>
          <a:extLst>
            <a:ext uri="{909E8E84-426E-40DD-AFC4-6F175D3DCCD1}">
              <a14:hiddenFill xmlns:a14="http://schemas.microsoft.com/office/drawing/2010/main">
                <a:noFill/>
              </a14:hiddenFill>
            </a:ext>
          </a:extLst>
        </xdr:spPr>
      </xdr:cxn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695325</xdr:colOff>
      <xdr:row>9</xdr:row>
      <xdr:rowOff>43842</xdr:rowOff>
    </xdr:from>
    <xdr:to>
      <xdr:col>6</xdr:col>
      <xdr:colOff>87415</xdr:colOff>
      <xdr:row>31</xdr:row>
      <xdr:rowOff>95250</xdr:rowOff>
    </xdr:to>
    <xdr:pic>
      <xdr:nvPicPr>
        <xdr:cNvPr id="10855629" name="Picture 43">
          <a:extLst>
            <a:ext uri="{FF2B5EF4-FFF2-40B4-BE49-F238E27FC236}">
              <a16:creationId xmlns:a16="http://schemas.microsoft.com/office/drawing/2014/main" id="{00000000-0008-0000-2700-0000CDA4A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43050" y="2501292"/>
          <a:ext cx="2421040" cy="3613758"/>
        </a:xfrm>
        <a:prstGeom prst="rect">
          <a:avLst/>
        </a:prstGeom>
        <a:noFill/>
        <a:ln>
          <a:noFill/>
        </a:ln>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6</xdr:row>
      <xdr:rowOff>857250</xdr:rowOff>
    </xdr:from>
    <xdr:to>
      <xdr:col>9</xdr:col>
      <xdr:colOff>228600</xdr:colOff>
      <xdr:row>27</xdr:row>
      <xdr:rowOff>142875</xdr:rowOff>
    </xdr:to>
    <xdr:graphicFrame macro="">
      <xdr:nvGraphicFramePr>
        <xdr:cNvPr id="4" name="Chart 48">
          <a:extLst>
            <a:ext uri="{FF2B5EF4-FFF2-40B4-BE49-F238E27FC236}">
              <a16:creationId xmlns:a16="http://schemas.microsoft.com/office/drawing/2014/main" id="{00000000-0008-0000-2700-000004000000}"/>
            </a:ext>
            <a:ext uri="{147F2762-F138-4A5C-976F-8EAC2B608ADB}">
              <a16:predDERef xmlns:a16="http://schemas.microsoft.com/office/drawing/2014/main" pred="{00000000-0008-0000-2700-0000CDA4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846230</xdr:colOff>
      <xdr:row>17</xdr:row>
      <xdr:rowOff>38162</xdr:rowOff>
    </xdr:from>
    <xdr:to>
      <xdr:col>2</xdr:col>
      <xdr:colOff>98255</xdr:colOff>
      <xdr:row>18</xdr:row>
      <xdr:rowOff>20237</xdr:rowOff>
    </xdr:to>
    <xdr:sp macro="" textlink="">
      <xdr:nvSpPr>
        <xdr:cNvPr id="5" name="Right Arrow 1">
          <a:extLst>
            <a:ext uri="{FF2B5EF4-FFF2-40B4-BE49-F238E27FC236}">
              <a16:creationId xmlns:a16="http://schemas.microsoft.com/office/drawing/2014/main" id="{00000000-0008-0000-2700-000005000000}"/>
            </a:ext>
          </a:extLst>
        </xdr:cNvPr>
        <xdr:cNvSpPr>
          <a:spLocks noChangeArrowheads="1"/>
        </xdr:cNvSpPr>
      </xdr:nvSpPr>
      <xdr:spPr bwMode="auto">
        <a:xfrm rot="21035637">
          <a:off x="1693955" y="3791012"/>
          <a:ext cx="576000" cy="144000"/>
        </a:xfrm>
        <a:prstGeom prst="rightArrow">
          <a:avLst>
            <a:gd name="adj1" fmla="val 50000"/>
            <a:gd name="adj2" fmla="val 49561"/>
          </a:avLst>
        </a:prstGeom>
        <a:solidFill>
          <a:schemeClr val="bg2">
            <a:lumMod val="90000"/>
          </a:schemeClr>
        </a:solidFill>
        <a:ln w="19050" algn="ctr">
          <a:solidFill>
            <a:schemeClr val="tx1"/>
          </a:solidFill>
          <a:round/>
          <a:headEnd/>
          <a:tailEnd/>
        </a:ln>
      </xdr:spPr>
    </xdr:sp>
    <xdr:clientData/>
  </xdr:twoCellAnchor>
  <xdr:twoCellAnchor>
    <xdr:from>
      <xdr:col>4</xdr:col>
      <xdr:colOff>67411</xdr:colOff>
      <xdr:row>14</xdr:row>
      <xdr:rowOff>146085</xdr:rowOff>
    </xdr:from>
    <xdr:to>
      <xdr:col>5</xdr:col>
      <xdr:colOff>224311</xdr:colOff>
      <xdr:row>15</xdr:row>
      <xdr:rowOff>128160</xdr:rowOff>
    </xdr:to>
    <xdr:sp macro="" textlink="">
      <xdr:nvSpPr>
        <xdr:cNvPr id="6" name="Right Arrow 1">
          <a:extLst>
            <a:ext uri="{FF2B5EF4-FFF2-40B4-BE49-F238E27FC236}">
              <a16:creationId xmlns:a16="http://schemas.microsoft.com/office/drawing/2014/main" id="{00000000-0008-0000-2700-000006000000}"/>
            </a:ext>
          </a:extLst>
        </xdr:cNvPr>
        <xdr:cNvSpPr>
          <a:spLocks noChangeArrowheads="1"/>
        </xdr:cNvSpPr>
      </xdr:nvSpPr>
      <xdr:spPr bwMode="auto">
        <a:xfrm rot="2084969">
          <a:off x="3163036" y="3413160"/>
          <a:ext cx="576000" cy="144000"/>
        </a:xfrm>
        <a:prstGeom prst="rightArrow">
          <a:avLst>
            <a:gd name="adj1" fmla="val 50000"/>
            <a:gd name="adj2" fmla="val 49561"/>
          </a:avLst>
        </a:prstGeom>
        <a:solidFill>
          <a:schemeClr val="accent2"/>
        </a:solidFill>
        <a:ln w="19050" algn="ctr">
          <a:solidFill>
            <a:schemeClr val="tx1"/>
          </a:solidFill>
          <a:round/>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66676</xdr:colOff>
      <xdr:row>9</xdr:row>
      <xdr:rowOff>133349</xdr:rowOff>
    </xdr:from>
    <xdr:to>
      <xdr:col>6</xdr:col>
      <xdr:colOff>228601</xdr:colOff>
      <xdr:row>22</xdr:row>
      <xdr:rowOff>47624</xdr:rowOff>
    </xdr:to>
    <xdr:graphicFrame macro="">
      <xdr:nvGraphicFramePr>
        <xdr:cNvPr id="10857266" name="Chart 2">
          <a:extLst>
            <a:ext uri="{FF2B5EF4-FFF2-40B4-BE49-F238E27FC236}">
              <a16:creationId xmlns:a16="http://schemas.microsoft.com/office/drawing/2014/main" id="{00000000-0008-0000-2800-000032ABA5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14</xdr:row>
      <xdr:rowOff>57150</xdr:rowOff>
    </xdr:from>
    <xdr:to>
      <xdr:col>5</xdr:col>
      <xdr:colOff>171450</xdr:colOff>
      <xdr:row>14</xdr:row>
      <xdr:rowOff>57150</xdr:rowOff>
    </xdr:to>
    <xdr:cxnSp macro="">
      <xdr:nvCxnSpPr>
        <xdr:cNvPr id="10857270" name="Straight Arrow Connector 4">
          <a:extLst>
            <a:ext uri="{FF2B5EF4-FFF2-40B4-BE49-F238E27FC236}">
              <a16:creationId xmlns:a16="http://schemas.microsoft.com/office/drawing/2014/main" id="{00000000-0008-0000-2800-000036ABA500}"/>
            </a:ext>
          </a:extLst>
        </xdr:cNvPr>
        <xdr:cNvCxnSpPr>
          <a:cxnSpLocks noChangeShapeType="1"/>
        </xdr:cNvCxnSpPr>
      </xdr:nvCxnSpPr>
      <xdr:spPr bwMode="auto">
        <a:xfrm>
          <a:off x="3724275" y="3305175"/>
          <a:ext cx="542925" cy="0"/>
        </a:xfrm>
        <a:prstGeom prst="straightConnector1">
          <a:avLst/>
        </a:prstGeom>
        <a:noFill/>
        <a:ln w="38100" algn="ctr">
          <a:solidFill>
            <a:srgbClr val="FAC09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1</xdr:col>
      <xdr:colOff>1276350</xdr:colOff>
      <xdr:row>10</xdr:row>
      <xdr:rowOff>47625</xdr:rowOff>
    </xdr:from>
    <xdr:to>
      <xdr:col>4</xdr:col>
      <xdr:colOff>238125</xdr:colOff>
      <xdr:row>18</xdr:row>
      <xdr:rowOff>19050</xdr:rowOff>
    </xdr:to>
    <xdr:pic>
      <xdr:nvPicPr>
        <xdr:cNvPr id="10857267" name="Picture 1">
          <a:extLst>
            <a:ext uri="{FF2B5EF4-FFF2-40B4-BE49-F238E27FC236}">
              <a16:creationId xmlns:a16="http://schemas.microsoft.com/office/drawing/2014/main" id="{00000000-0008-0000-2800-000033ABA5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24075" y="2514600"/>
          <a:ext cx="168592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771525</xdr:colOff>
      <xdr:row>14</xdr:row>
      <xdr:rowOff>57150</xdr:rowOff>
    </xdr:from>
    <xdr:to>
      <xdr:col>1</xdr:col>
      <xdr:colOff>1343025</xdr:colOff>
      <xdr:row>14</xdr:row>
      <xdr:rowOff>57150</xdr:rowOff>
    </xdr:to>
    <xdr:cxnSp macro="">
      <xdr:nvCxnSpPr>
        <xdr:cNvPr id="10857269" name="Straight Arrow Connector 11">
          <a:extLst>
            <a:ext uri="{FF2B5EF4-FFF2-40B4-BE49-F238E27FC236}">
              <a16:creationId xmlns:a16="http://schemas.microsoft.com/office/drawing/2014/main" id="{00000000-0008-0000-2800-000035ABA500}"/>
            </a:ext>
          </a:extLst>
        </xdr:cNvPr>
        <xdr:cNvCxnSpPr>
          <a:cxnSpLocks noChangeShapeType="1"/>
        </xdr:cNvCxnSpPr>
      </xdr:nvCxnSpPr>
      <xdr:spPr bwMode="auto">
        <a:xfrm>
          <a:off x="1619250" y="3409950"/>
          <a:ext cx="571500" cy="0"/>
        </a:xfrm>
        <a:prstGeom prst="straightConnector1">
          <a:avLst/>
        </a:prstGeom>
        <a:noFill/>
        <a:ln w="38100" algn="ctr">
          <a:solidFill>
            <a:srgbClr val="E46C0A"/>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editAs="oneCell">
    <xdr:from>
      <xdr:col>5</xdr:col>
      <xdr:colOff>66675</xdr:colOff>
      <xdr:row>36</xdr:row>
      <xdr:rowOff>161925</xdr:rowOff>
    </xdr:from>
    <xdr:to>
      <xdr:col>11</xdr:col>
      <xdr:colOff>19050</xdr:colOff>
      <xdr:row>60</xdr:row>
      <xdr:rowOff>76200</xdr:rowOff>
    </xdr:to>
    <xdr:graphicFrame macro="">
      <xdr:nvGraphicFramePr>
        <xdr:cNvPr id="9" name="Chart 3">
          <a:extLst>
            <a:ext uri="{FF2B5EF4-FFF2-40B4-BE49-F238E27FC236}">
              <a16:creationId xmlns:a16="http://schemas.microsoft.com/office/drawing/2014/main" id="{00000000-0008-0000-2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381000</xdr:colOff>
      <xdr:row>17</xdr:row>
      <xdr:rowOff>161924</xdr:rowOff>
    </xdr:from>
    <xdr:to>
      <xdr:col>2</xdr:col>
      <xdr:colOff>381000</xdr:colOff>
      <xdr:row>18</xdr:row>
      <xdr:rowOff>177899</xdr:rowOff>
    </xdr:to>
    <xdr:cxnSp macro="">
      <xdr:nvCxnSpPr>
        <xdr:cNvPr id="10857268" name="Straight Arrow Connector 12">
          <a:extLst>
            <a:ext uri="{FF2B5EF4-FFF2-40B4-BE49-F238E27FC236}">
              <a16:creationId xmlns:a16="http://schemas.microsoft.com/office/drawing/2014/main" id="{00000000-0008-0000-2800-000034ABA500}"/>
            </a:ext>
          </a:extLst>
        </xdr:cNvPr>
        <xdr:cNvCxnSpPr>
          <a:cxnSpLocks noChangeShapeType="1"/>
        </xdr:cNvCxnSpPr>
      </xdr:nvCxnSpPr>
      <xdr:spPr bwMode="auto">
        <a:xfrm>
          <a:off x="2943225" y="4010024"/>
          <a:ext cx="0" cy="216000"/>
        </a:xfrm>
        <a:prstGeom prst="straightConnector1">
          <a:avLst/>
        </a:prstGeom>
        <a:noFill/>
        <a:ln w="38100" algn="ctr">
          <a:solidFill>
            <a:srgbClr val="A6A6A6"/>
          </a:solidFill>
          <a:round/>
          <a:headEnd/>
          <a:tailEnd type="triangle" w="med" len="med"/>
        </a:ln>
        <a:extLst>
          <a:ext uri="{909E8E84-426E-40DD-AFC4-6F175D3DCCD1}">
            <a14:hiddenFill xmlns:a14="http://schemas.microsoft.com/office/drawing/2010/main">
              <a:noFill/>
            </a14:hiddenFill>
          </a:ext>
        </a:extLst>
      </xdr:spPr>
    </xdr:cxnSp>
    <xdr:clientData/>
  </xdr:twoCellAnchor>
</xdr:wsDr>
</file>

<file path=xl/drawings/drawing14.xml><?xml version="1.0" encoding="utf-8"?>
<xdr:wsDr xmlns:xdr="http://schemas.openxmlformats.org/drawingml/2006/spreadsheetDrawing" xmlns:a="http://schemas.openxmlformats.org/drawingml/2006/main">
  <xdr:twoCellAnchor editAs="absolute">
    <xdr:from>
      <xdr:col>0</xdr:col>
      <xdr:colOff>161925</xdr:colOff>
      <xdr:row>9</xdr:row>
      <xdr:rowOff>104775</xdr:rowOff>
    </xdr:from>
    <xdr:to>
      <xdr:col>5</xdr:col>
      <xdr:colOff>276225</xdr:colOff>
      <xdr:row>23</xdr:row>
      <xdr:rowOff>142875</xdr:rowOff>
    </xdr:to>
    <xdr:graphicFrame macro="">
      <xdr:nvGraphicFramePr>
        <xdr:cNvPr id="3" name="Chart 2">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66675</xdr:colOff>
      <xdr:row>23</xdr:row>
      <xdr:rowOff>28575</xdr:rowOff>
    </xdr:from>
    <xdr:to>
      <xdr:col>5</xdr:col>
      <xdr:colOff>657225</xdr:colOff>
      <xdr:row>25</xdr:row>
      <xdr:rowOff>114300</xdr:rowOff>
    </xdr:to>
    <xdr:grpSp>
      <xdr:nvGrpSpPr>
        <xdr:cNvPr id="11556547" name="Group 5">
          <a:extLst>
            <a:ext uri="{FF2B5EF4-FFF2-40B4-BE49-F238E27FC236}">
              <a16:creationId xmlns:a16="http://schemas.microsoft.com/office/drawing/2014/main" id="{00000000-0008-0000-2900-0000C356B000}"/>
            </a:ext>
          </a:extLst>
        </xdr:cNvPr>
        <xdr:cNvGrpSpPr>
          <a:grpSpLocks noChangeAspect="1"/>
        </xdr:cNvGrpSpPr>
      </xdr:nvGrpSpPr>
      <xdr:grpSpPr bwMode="auto">
        <a:xfrm>
          <a:off x="4333875" y="5153025"/>
          <a:ext cx="590550" cy="409575"/>
          <a:chOff x="988320" y="3200400"/>
          <a:chExt cx="2656580" cy="1812776"/>
        </a:xfrm>
      </xdr:grpSpPr>
      <xdr:pic>
        <xdr:nvPicPr>
          <xdr:cNvPr id="11556571" name="Picture 6" descr="Screen Clipping">
            <a:extLst>
              <a:ext uri="{FF2B5EF4-FFF2-40B4-BE49-F238E27FC236}">
                <a16:creationId xmlns:a16="http://schemas.microsoft.com/office/drawing/2014/main" id="{00000000-0008-0000-2900-0000DB56B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l="16154" b="8777"/>
          <a:stretch>
            <a:fillRect/>
          </a:stretch>
        </xdr:blipFill>
        <xdr:spPr bwMode="auto">
          <a:xfrm flipH="1">
            <a:off x="2326958" y="3318594"/>
            <a:ext cx="1317942" cy="1694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556572" name="Picture 7" descr="Screen Clipping">
            <a:extLst>
              <a:ext uri="{FF2B5EF4-FFF2-40B4-BE49-F238E27FC236}">
                <a16:creationId xmlns:a16="http://schemas.microsoft.com/office/drawing/2014/main" id="{00000000-0008-0000-2900-0000DC56B000}"/>
              </a:ext>
            </a:extLst>
          </xdr:cNvPr>
          <xdr:cNvPicPr>
            <a:picLocks noChangeAspect="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8136" t="6589" b="4146"/>
          <a:stretch>
            <a:fillRect/>
          </a:stretch>
        </xdr:blipFill>
        <xdr:spPr bwMode="auto">
          <a:xfrm flipH="1">
            <a:off x="988320" y="3200400"/>
            <a:ext cx="1346544" cy="1812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1133475</xdr:colOff>
      <xdr:row>22</xdr:row>
      <xdr:rowOff>104775</xdr:rowOff>
    </xdr:from>
    <xdr:to>
      <xdr:col>2</xdr:col>
      <xdr:colOff>609600</xdr:colOff>
      <xdr:row>25</xdr:row>
      <xdr:rowOff>133350</xdr:rowOff>
    </xdr:to>
    <xdr:grpSp>
      <xdr:nvGrpSpPr>
        <xdr:cNvPr id="11556548" name="Group 52">
          <a:extLst>
            <a:ext uri="{FF2B5EF4-FFF2-40B4-BE49-F238E27FC236}">
              <a16:creationId xmlns:a16="http://schemas.microsoft.com/office/drawing/2014/main" id="{00000000-0008-0000-2900-0000C456B000}"/>
            </a:ext>
          </a:extLst>
        </xdr:cNvPr>
        <xdr:cNvGrpSpPr>
          <a:grpSpLocks noChangeAspect="1"/>
        </xdr:cNvGrpSpPr>
      </xdr:nvGrpSpPr>
      <xdr:grpSpPr bwMode="auto">
        <a:xfrm>
          <a:off x="1981200" y="4905375"/>
          <a:ext cx="695325" cy="676275"/>
          <a:chOff x="667" y="249"/>
          <a:chExt cx="160" cy="158"/>
        </a:xfrm>
      </xdr:grpSpPr>
      <xdr:sp macro="" textlink="">
        <xdr:nvSpPr>
          <xdr:cNvPr id="11556564" name="AutoShape 51">
            <a:extLst>
              <a:ext uri="{FF2B5EF4-FFF2-40B4-BE49-F238E27FC236}">
                <a16:creationId xmlns:a16="http://schemas.microsoft.com/office/drawing/2014/main" id="{00000000-0008-0000-2900-0000D456B000}"/>
              </a:ext>
            </a:extLst>
          </xdr:cNvPr>
          <xdr:cNvSpPr>
            <a:spLocks noChangeAspect="1" noChangeArrowheads="1" noTextEdit="1"/>
          </xdr:cNvSpPr>
        </xdr:nvSpPr>
        <xdr:spPr bwMode="auto">
          <a:xfrm>
            <a:off x="724" y="312"/>
            <a:ext cx="103" cy="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556565" name="Freeform 56">
            <a:extLst>
              <a:ext uri="{FF2B5EF4-FFF2-40B4-BE49-F238E27FC236}">
                <a16:creationId xmlns:a16="http://schemas.microsoft.com/office/drawing/2014/main" id="{00000000-0008-0000-2900-0000D556B000}"/>
              </a:ext>
            </a:extLst>
          </xdr:cNvPr>
          <xdr:cNvSpPr>
            <a:spLocks/>
          </xdr:cNvSpPr>
        </xdr:nvSpPr>
        <xdr:spPr bwMode="auto">
          <a:xfrm>
            <a:off x="742" y="382"/>
            <a:ext cx="24" cy="24"/>
          </a:xfrm>
          <a:custGeom>
            <a:avLst/>
            <a:gdLst>
              <a:gd name="T0" fmla="*/ 0 w 168"/>
              <a:gd name="T1" fmla="*/ 0 h 171"/>
              <a:gd name="T2" fmla="*/ 0 w 168"/>
              <a:gd name="T3" fmla="*/ 0 h 171"/>
              <a:gd name="T4" fmla="*/ 0 w 168"/>
              <a:gd name="T5" fmla="*/ 0 h 171"/>
              <a:gd name="T6" fmla="*/ 0 w 168"/>
              <a:gd name="T7" fmla="*/ 0 h 171"/>
              <a:gd name="T8" fmla="*/ 0 w 168"/>
              <a:gd name="T9" fmla="*/ 0 h 171"/>
              <a:gd name="T10" fmla="*/ 0 w 168"/>
              <a:gd name="T11" fmla="*/ 0 h 171"/>
              <a:gd name="T12" fmla="*/ 0 w 168"/>
              <a:gd name="T13" fmla="*/ 0 h 171"/>
              <a:gd name="T14" fmla="*/ 0 w 168"/>
              <a:gd name="T15" fmla="*/ 0 h 171"/>
              <a:gd name="T16" fmla="*/ 0 w 168"/>
              <a:gd name="T17" fmla="*/ 0 h 171"/>
              <a:gd name="T18" fmla="*/ 0 w 168"/>
              <a:gd name="T19" fmla="*/ 0 h 171"/>
              <a:gd name="T20" fmla="*/ 0 w 168"/>
              <a:gd name="T21" fmla="*/ 0 h 171"/>
              <a:gd name="T22" fmla="*/ 0 w 168"/>
              <a:gd name="T23" fmla="*/ 0 h 171"/>
              <a:gd name="T24" fmla="*/ 0 w 168"/>
              <a:gd name="T25" fmla="*/ 0 h 171"/>
              <a:gd name="T26" fmla="*/ 0 w 168"/>
              <a:gd name="T27" fmla="*/ 0 h 171"/>
              <a:gd name="T28" fmla="*/ 0 w 168"/>
              <a:gd name="T29" fmla="*/ 0 h 171"/>
              <a:gd name="T30" fmla="*/ 0 w 168"/>
              <a:gd name="T31" fmla="*/ 0 h 171"/>
              <a:gd name="T32" fmla="*/ 0 w 168"/>
              <a:gd name="T33" fmla="*/ 0 h 17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68" h="171">
                <a:moveTo>
                  <a:pt x="168" y="87"/>
                </a:moveTo>
                <a:lnTo>
                  <a:pt x="163" y="119"/>
                </a:lnTo>
                <a:lnTo>
                  <a:pt x="145" y="145"/>
                </a:lnTo>
                <a:lnTo>
                  <a:pt x="117" y="164"/>
                </a:lnTo>
                <a:lnTo>
                  <a:pt x="84" y="171"/>
                </a:lnTo>
                <a:lnTo>
                  <a:pt x="51" y="164"/>
                </a:lnTo>
                <a:lnTo>
                  <a:pt x="23" y="145"/>
                </a:lnTo>
                <a:lnTo>
                  <a:pt x="5" y="119"/>
                </a:lnTo>
                <a:lnTo>
                  <a:pt x="0" y="87"/>
                </a:lnTo>
                <a:lnTo>
                  <a:pt x="5" y="52"/>
                </a:lnTo>
                <a:lnTo>
                  <a:pt x="23" y="26"/>
                </a:lnTo>
                <a:lnTo>
                  <a:pt x="51" y="7"/>
                </a:lnTo>
                <a:lnTo>
                  <a:pt x="84" y="0"/>
                </a:lnTo>
                <a:lnTo>
                  <a:pt x="117" y="7"/>
                </a:lnTo>
                <a:lnTo>
                  <a:pt x="145" y="26"/>
                </a:lnTo>
                <a:lnTo>
                  <a:pt x="163" y="52"/>
                </a:lnTo>
                <a:lnTo>
                  <a:pt x="168" y="87"/>
                </a:lnTo>
                <a:close/>
              </a:path>
            </a:pathLst>
          </a:custGeom>
          <a:solidFill>
            <a:srgbClr val="000000"/>
          </a:solidFill>
          <a:ln w="0">
            <a:solidFill>
              <a:srgbClr val="000000"/>
            </a:solidFill>
            <a:prstDash val="solid"/>
            <a:round/>
            <a:headEnd/>
            <a:tailEnd/>
          </a:ln>
        </xdr:spPr>
      </xdr:sp>
      <xdr:sp macro="" textlink="">
        <xdr:nvSpPr>
          <xdr:cNvPr id="11556566" name="Freeform 57">
            <a:extLst>
              <a:ext uri="{FF2B5EF4-FFF2-40B4-BE49-F238E27FC236}">
                <a16:creationId xmlns:a16="http://schemas.microsoft.com/office/drawing/2014/main" id="{00000000-0008-0000-2900-0000D656B000}"/>
              </a:ext>
            </a:extLst>
          </xdr:cNvPr>
          <xdr:cNvSpPr>
            <a:spLocks/>
          </xdr:cNvSpPr>
        </xdr:nvSpPr>
        <xdr:spPr bwMode="auto">
          <a:xfrm>
            <a:off x="788" y="382"/>
            <a:ext cx="24" cy="24"/>
          </a:xfrm>
          <a:custGeom>
            <a:avLst/>
            <a:gdLst>
              <a:gd name="T0" fmla="*/ 0 w 171"/>
              <a:gd name="T1" fmla="*/ 0 h 171"/>
              <a:gd name="T2" fmla="*/ 0 w 171"/>
              <a:gd name="T3" fmla="*/ 0 h 171"/>
              <a:gd name="T4" fmla="*/ 0 w 171"/>
              <a:gd name="T5" fmla="*/ 0 h 171"/>
              <a:gd name="T6" fmla="*/ 0 w 171"/>
              <a:gd name="T7" fmla="*/ 0 h 171"/>
              <a:gd name="T8" fmla="*/ 0 w 171"/>
              <a:gd name="T9" fmla="*/ 0 h 171"/>
              <a:gd name="T10" fmla="*/ 0 w 171"/>
              <a:gd name="T11" fmla="*/ 0 h 171"/>
              <a:gd name="T12" fmla="*/ 0 w 171"/>
              <a:gd name="T13" fmla="*/ 0 h 171"/>
              <a:gd name="T14" fmla="*/ 0 w 171"/>
              <a:gd name="T15" fmla="*/ 0 h 171"/>
              <a:gd name="T16" fmla="*/ 0 w 171"/>
              <a:gd name="T17" fmla="*/ 0 h 171"/>
              <a:gd name="T18" fmla="*/ 0 w 171"/>
              <a:gd name="T19" fmla="*/ 0 h 171"/>
              <a:gd name="T20" fmla="*/ 0 w 171"/>
              <a:gd name="T21" fmla="*/ 0 h 171"/>
              <a:gd name="T22" fmla="*/ 0 w 171"/>
              <a:gd name="T23" fmla="*/ 0 h 171"/>
              <a:gd name="T24" fmla="*/ 0 w 171"/>
              <a:gd name="T25" fmla="*/ 0 h 171"/>
              <a:gd name="T26" fmla="*/ 0 w 171"/>
              <a:gd name="T27" fmla="*/ 0 h 171"/>
              <a:gd name="T28" fmla="*/ 0 w 171"/>
              <a:gd name="T29" fmla="*/ 0 h 171"/>
              <a:gd name="T30" fmla="*/ 0 w 171"/>
              <a:gd name="T31" fmla="*/ 0 h 171"/>
              <a:gd name="T32" fmla="*/ 0 w 171"/>
              <a:gd name="T33" fmla="*/ 0 h 17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71" h="171">
                <a:moveTo>
                  <a:pt x="171" y="87"/>
                </a:moveTo>
                <a:lnTo>
                  <a:pt x="164" y="119"/>
                </a:lnTo>
                <a:lnTo>
                  <a:pt x="145" y="145"/>
                </a:lnTo>
                <a:lnTo>
                  <a:pt x="119" y="164"/>
                </a:lnTo>
                <a:lnTo>
                  <a:pt x="84" y="171"/>
                </a:lnTo>
                <a:lnTo>
                  <a:pt x="52" y="164"/>
                </a:lnTo>
                <a:lnTo>
                  <a:pt x="26" y="145"/>
                </a:lnTo>
                <a:lnTo>
                  <a:pt x="7" y="119"/>
                </a:lnTo>
                <a:lnTo>
                  <a:pt x="0" y="87"/>
                </a:lnTo>
                <a:lnTo>
                  <a:pt x="7" y="52"/>
                </a:lnTo>
                <a:lnTo>
                  <a:pt x="26" y="26"/>
                </a:lnTo>
                <a:lnTo>
                  <a:pt x="52" y="7"/>
                </a:lnTo>
                <a:lnTo>
                  <a:pt x="84" y="0"/>
                </a:lnTo>
                <a:lnTo>
                  <a:pt x="119" y="7"/>
                </a:lnTo>
                <a:lnTo>
                  <a:pt x="145" y="26"/>
                </a:lnTo>
                <a:lnTo>
                  <a:pt x="164" y="52"/>
                </a:lnTo>
                <a:lnTo>
                  <a:pt x="171" y="87"/>
                </a:lnTo>
                <a:close/>
              </a:path>
            </a:pathLst>
          </a:custGeom>
          <a:solidFill>
            <a:srgbClr val="000000"/>
          </a:solidFill>
          <a:ln w="0">
            <a:solidFill>
              <a:srgbClr val="000000"/>
            </a:solidFill>
            <a:prstDash val="solid"/>
            <a:round/>
            <a:headEnd/>
            <a:tailEnd/>
          </a:ln>
        </xdr:spPr>
      </xdr:sp>
      <xdr:sp macro="" textlink="">
        <xdr:nvSpPr>
          <xdr:cNvPr id="11556567" name="Freeform 58">
            <a:extLst>
              <a:ext uri="{FF2B5EF4-FFF2-40B4-BE49-F238E27FC236}">
                <a16:creationId xmlns:a16="http://schemas.microsoft.com/office/drawing/2014/main" id="{00000000-0008-0000-2900-0000D756B000}"/>
              </a:ext>
            </a:extLst>
          </xdr:cNvPr>
          <xdr:cNvSpPr>
            <a:spLocks/>
          </xdr:cNvSpPr>
        </xdr:nvSpPr>
        <xdr:spPr bwMode="auto">
          <a:xfrm>
            <a:off x="724" y="352"/>
            <a:ext cx="103" cy="41"/>
          </a:xfrm>
          <a:custGeom>
            <a:avLst/>
            <a:gdLst>
              <a:gd name="T0" fmla="*/ 0 w 716"/>
              <a:gd name="T1" fmla="*/ 0 h 286"/>
              <a:gd name="T2" fmla="*/ 0 w 716"/>
              <a:gd name="T3" fmla="*/ 0 h 286"/>
              <a:gd name="T4" fmla="*/ 0 w 716"/>
              <a:gd name="T5" fmla="*/ 0 h 286"/>
              <a:gd name="T6" fmla="*/ 0 w 716"/>
              <a:gd name="T7" fmla="*/ 0 h 286"/>
              <a:gd name="T8" fmla="*/ 0 w 716"/>
              <a:gd name="T9" fmla="*/ 0 h 286"/>
              <a:gd name="T10" fmla="*/ 0 w 716"/>
              <a:gd name="T11" fmla="*/ 0 h 286"/>
              <a:gd name="T12" fmla="*/ 0 w 716"/>
              <a:gd name="T13" fmla="*/ 0 h 286"/>
              <a:gd name="T14" fmla="*/ 0 w 716"/>
              <a:gd name="T15" fmla="*/ 0 h 286"/>
              <a:gd name="T16" fmla="*/ 0 w 716"/>
              <a:gd name="T17" fmla="*/ 0 h 286"/>
              <a:gd name="T18" fmla="*/ 0 w 716"/>
              <a:gd name="T19" fmla="*/ 0 h 286"/>
              <a:gd name="T20" fmla="*/ 0 w 716"/>
              <a:gd name="T21" fmla="*/ 0 h 286"/>
              <a:gd name="T22" fmla="*/ 0 w 716"/>
              <a:gd name="T23" fmla="*/ 0 h 286"/>
              <a:gd name="T24" fmla="*/ 0 w 716"/>
              <a:gd name="T25" fmla="*/ 0 h 286"/>
              <a:gd name="T26" fmla="*/ 0 w 716"/>
              <a:gd name="T27" fmla="*/ 0 h 286"/>
              <a:gd name="T28" fmla="*/ 0 w 716"/>
              <a:gd name="T29" fmla="*/ 0 h 286"/>
              <a:gd name="T30" fmla="*/ 0 w 716"/>
              <a:gd name="T31" fmla="*/ 0 h 286"/>
              <a:gd name="T32" fmla="*/ 0 w 716"/>
              <a:gd name="T33" fmla="*/ 0 h 286"/>
              <a:gd name="T34" fmla="*/ 0 w 716"/>
              <a:gd name="T35" fmla="*/ 0 h 286"/>
              <a:gd name="T36" fmla="*/ 0 w 716"/>
              <a:gd name="T37" fmla="*/ 0 h 286"/>
              <a:gd name="T38" fmla="*/ 0 w 716"/>
              <a:gd name="T39" fmla="*/ 0 h 286"/>
              <a:gd name="T40" fmla="*/ 0 w 716"/>
              <a:gd name="T41" fmla="*/ 0 h 286"/>
              <a:gd name="T42" fmla="*/ 0 w 716"/>
              <a:gd name="T43" fmla="*/ 0 h 286"/>
              <a:gd name="T44" fmla="*/ 0 w 716"/>
              <a:gd name="T45" fmla="*/ 0 h 286"/>
              <a:gd name="T46" fmla="*/ 0 w 716"/>
              <a:gd name="T47" fmla="*/ 0 h 286"/>
              <a:gd name="T48" fmla="*/ 0 w 716"/>
              <a:gd name="T49" fmla="*/ 0 h 286"/>
              <a:gd name="T50" fmla="*/ 0 w 716"/>
              <a:gd name="T51" fmla="*/ 0 h 286"/>
              <a:gd name="T52" fmla="*/ 0 w 716"/>
              <a:gd name="T53" fmla="*/ 0 h 286"/>
              <a:gd name="T54" fmla="*/ 0 w 716"/>
              <a:gd name="T55" fmla="*/ 0 h 286"/>
              <a:gd name="T56" fmla="*/ 0 w 716"/>
              <a:gd name="T57" fmla="*/ 0 h 286"/>
              <a:gd name="T58" fmla="*/ 0 w 716"/>
              <a:gd name="T59" fmla="*/ 0 h 286"/>
              <a:gd name="T60" fmla="*/ 0 w 716"/>
              <a:gd name="T61" fmla="*/ 0 h 286"/>
              <a:gd name="T62" fmla="*/ 0 w 716"/>
              <a:gd name="T63" fmla="*/ 0 h 286"/>
              <a:gd name="T64" fmla="*/ 0 w 716"/>
              <a:gd name="T65" fmla="*/ 0 h 286"/>
              <a:gd name="T66" fmla="*/ 0 w 716"/>
              <a:gd name="T67" fmla="*/ 0 h 286"/>
              <a:gd name="T68" fmla="*/ 0 w 716"/>
              <a:gd name="T69" fmla="*/ 0 h 286"/>
              <a:gd name="T70" fmla="*/ 0 w 716"/>
              <a:gd name="T71" fmla="*/ 0 h 286"/>
              <a:gd name="T72" fmla="*/ 0 w 716"/>
              <a:gd name="T73" fmla="*/ 0 h 286"/>
              <a:gd name="T74" fmla="*/ 0 w 716"/>
              <a:gd name="T75" fmla="*/ 0 h 286"/>
              <a:gd name="T76" fmla="*/ 0 w 716"/>
              <a:gd name="T77" fmla="*/ 0 h 286"/>
              <a:gd name="T78" fmla="*/ 0 w 716"/>
              <a:gd name="T79" fmla="*/ 0 h 286"/>
              <a:gd name="T80" fmla="*/ 0 w 716"/>
              <a:gd name="T81" fmla="*/ 0 h 286"/>
              <a:gd name="T82" fmla="*/ 0 w 716"/>
              <a:gd name="T83" fmla="*/ 0 h 286"/>
              <a:gd name="T84" fmla="*/ 0 w 716"/>
              <a:gd name="T85" fmla="*/ 0 h 286"/>
              <a:gd name="T86" fmla="*/ 0 w 716"/>
              <a:gd name="T87" fmla="*/ 0 h 28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716" h="286">
                <a:moveTo>
                  <a:pt x="122" y="213"/>
                </a:moveTo>
                <a:lnTo>
                  <a:pt x="0" y="0"/>
                </a:lnTo>
                <a:lnTo>
                  <a:pt x="716" y="0"/>
                </a:lnTo>
                <a:lnTo>
                  <a:pt x="608" y="213"/>
                </a:lnTo>
                <a:lnTo>
                  <a:pt x="599" y="204"/>
                </a:lnTo>
                <a:lnTo>
                  <a:pt x="589" y="195"/>
                </a:lnTo>
                <a:lnTo>
                  <a:pt x="575" y="187"/>
                </a:lnTo>
                <a:lnTo>
                  <a:pt x="556" y="180"/>
                </a:lnTo>
                <a:lnTo>
                  <a:pt x="535" y="178"/>
                </a:lnTo>
                <a:lnTo>
                  <a:pt x="524" y="178"/>
                </a:lnTo>
                <a:lnTo>
                  <a:pt x="513" y="178"/>
                </a:lnTo>
                <a:lnTo>
                  <a:pt x="496" y="182"/>
                </a:lnTo>
                <a:lnTo>
                  <a:pt x="481" y="187"/>
                </a:lnTo>
                <a:lnTo>
                  <a:pt x="470" y="195"/>
                </a:lnTo>
                <a:lnTo>
                  <a:pt x="459" y="201"/>
                </a:lnTo>
                <a:lnTo>
                  <a:pt x="449" y="210"/>
                </a:lnTo>
                <a:lnTo>
                  <a:pt x="440" y="223"/>
                </a:lnTo>
                <a:lnTo>
                  <a:pt x="431" y="234"/>
                </a:lnTo>
                <a:lnTo>
                  <a:pt x="425" y="245"/>
                </a:lnTo>
                <a:lnTo>
                  <a:pt x="423" y="258"/>
                </a:lnTo>
                <a:lnTo>
                  <a:pt x="418" y="267"/>
                </a:lnTo>
                <a:lnTo>
                  <a:pt x="416" y="278"/>
                </a:lnTo>
                <a:lnTo>
                  <a:pt x="416" y="286"/>
                </a:lnTo>
                <a:lnTo>
                  <a:pt x="318" y="286"/>
                </a:lnTo>
                <a:lnTo>
                  <a:pt x="318" y="276"/>
                </a:lnTo>
                <a:lnTo>
                  <a:pt x="316" y="260"/>
                </a:lnTo>
                <a:lnTo>
                  <a:pt x="308" y="245"/>
                </a:lnTo>
                <a:lnTo>
                  <a:pt x="302" y="232"/>
                </a:lnTo>
                <a:lnTo>
                  <a:pt x="293" y="221"/>
                </a:lnTo>
                <a:lnTo>
                  <a:pt x="280" y="208"/>
                </a:lnTo>
                <a:lnTo>
                  <a:pt x="271" y="199"/>
                </a:lnTo>
                <a:lnTo>
                  <a:pt x="257" y="192"/>
                </a:lnTo>
                <a:lnTo>
                  <a:pt x="243" y="184"/>
                </a:lnTo>
                <a:lnTo>
                  <a:pt x="229" y="180"/>
                </a:lnTo>
                <a:lnTo>
                  <a:pt x="215" y="178"/>
                </a:lnTo>
                <a:lnTo>
                  <a:pt x="201" y="178"/>
                </a:lnTo>
                <a:lnTo>
                  <a:pt x="194" y="178"/>
                </a:lnTo>
                <a:lnTo>
                  <a:pt x="176" y="182"/>
                </a:lnTo>
                <a:lnTo>
                  <a:pt x="159" y="187"/>
                </a:lnTo>
                <a:lnTo>
                  <a:pt x="148" y="195"/>
                </a:lnTo>
                <a:lnTo>
                  <a:pt x="138" y="201"/>
                </a:lnTo>
                <a:lnTo>
                  <a:pt x="131" y="206"/>
                </a:lnTo>
                <a:lnTo>
                  <a:pt x="127" y="210"/>
                </a:lnTo>
                <a:lnTo>
                  <a:pt x="122" y="213"/>
                </a:lnTo>
                <a:close/>
              </a:path>
            </a:pathLst>
          </a:custGeom>
          <a:solidFill>
            <a:srgbClr val="CC0000"/>
          </a:solidFill>
          <a:ln w="0">
            <a:solidFill>
              <a:srgbClr val="CC0000"/>
            </a:solidFill>
            <a:prstDash val="solid"/>
            <a:round/>
            <a:headEnd/>
            <a:tailEnd/>
          </a:ln>
        </xdr:spPr>
      </xdr:sp>
      <xdr:sp macro="" textlink="">
        <xdr:nvSpPr>
          <xdr:cNvPr id="11556568" name="Freeform 59">
            <a:extLst>
              <a:ext uri="{FF2B5EF4-FFF2-40B4-BE49-F238E27FC236}">
                <a16:creationId xmlns:a16="http://schemas.microsoft.com/office/drawing/2014/main" id="{00000000-0008-0000-2900-0000D856B000}"/>
              </a:ext>
            </a:extLst>
          </xdr:cNvPr>
          <xdr:cNvSpPr>
            <a:spLocks/>
          </xdr:cNvSpPr>
        </xdr:nvSpPr>
        <xdr:spPr bwMode="auto">
          <a:xfrm>
            <a:off x="727" y="318"/>
            <a:ext cx="96" cy="32"/>
          </a:xfrm>
          <a:custGeom>
            <a:avLst/>
            <a:gdLst>
              <a:gd name="T0" fmla="*/ 0 w 667"/>
              <a:gd name="T1" fmla="*/ 0 h 225"/>
              <a:gd name="T2" fmla="*/ 0 w 667"/>
              <a:gd name="T3" fmla="*/ 0 h 225"/>
              <a:gd name="T4" fmla="*/ 0 w 667"/>
              <a:gd name="T5" fmla="*/ 0 h 225"/>
              <a:gd name="T6" fmla="*/ 0 w 667"/>
              <a:gd name="T7" fmla="*/ 0 h 225"/>
              <a:gd name="T8" fmla="*/ 0 w 667"/>
              <a:gd name="T9" fmla="*/ 0 h 225"/>
              <a:gd name="T10" fmla="*/ 0 w 667"/>
              <a:gd name="T11" fmla="*/ 0 h 225"/>
              <a:gd name="T12" fmla="*/ 0 w 667"/>
              <a:gd name="T13" fmla="*/ 0 h 225"/>
              <a:gd name="T14" fmla="*/ 0 w 667"/>
              <a:gd name="T15" fmla="*/ 0 h 225"/>
              <a:gd name="T16" fmla="*/ 0 w 667"/>
              <a:gd name="T17" fmla="*/ 0 h 225"/>
              <a:gd name="T18" fmla="*/ 0 w 667"/>
              <a:gd name="T19" fmla="*/ 0 h 225"/>
              <a:gd name="T20" fmla="*/ 0 w 667"/>
              <a:gd name="T21" fmla="*/ 0 h 225"/>
              <a:gd name="T22" fmla="*/ 0 w 667"/>
              <a:gd name="T23" fmla="*/ 0 h 225"/>
              <a:gd name="T24" fmla="*/ 0 w 667"/>
              <a:gd name="T25" fmla="*/ 0 h 225"/>
              <a:gd name="T26" fmla="*/ 0 w 667"/>
              <a:gd name="T27" fmla="*/ 0 h 225"/>
              <a:gd name="T28" fmla="*/ 0 w 667"/>
              <a:gd name="T29" fmla="*/ 0 h 225"/>
              <a:gd name="T30" fmla="*/ 0 w 667"/>
              <a:gd name="T31" fmla="*/ 0 h 225"/>
              <a:gd name="T32" fmla="*/ 0 w 667"/>
              <a:gd name="T33" fmla="*/ 0 h 225"/>
              <a:gd name="T34" fmla="*/ 0 w 667"/>
              <a:gd name="T35" fmla="*/ 0 h 225"/>
              <a:gd name="T36" fmla="*/ 0 w 667"/>
              <a:gd name="T37" fmla="*/ 0 h 225"/>
              <a:gd name="T38" fmla="*/ 0 w 667"/>
              <a:gd name="T39" fmla="*/ 0 h 225"/>
              <a:gd name="T40" fmla="*/ 0 w 667"/>
              <a:gd name="T41" fmla="*/ 0 h 225"/>
              <a:gd name="T42" fmla="*/ 0 w 667"/>
              <a:gd name="T43" fmla="*/ 0 h 225"/>
              <a:gd name="T44" fmla="*/ 0 w 667"/>
              <a:gd name="T45" fmla="*/ 0 h 225"/>
              <a:gd name="T46" fmla="*/ 0 w 667"/>
              <a:gd name="T47" fmla="*/ 0 h 225"/>
              <a:gd name="T48" fmla="*/ 0 w 667"/>
              <a:gd name="T49" fmla="*/ 0 h 225"/>
              <a:gd name="T50" fmla="*/ 0 w 667"/>
              <a:gd name="T51" fmla="*/ 0 h 225"/>
              <a:gd name="T52" fmla="*/ 0 w 667"/>
              <a:gd name="T53" fmla="*/ 0 h 225"/>
              <a:gd name="T54" fmla="*/ 0 w 667"/>
              <a:gd name="T55" fmla="*/ 0 h 225"/>
              <a:gd name="T56" fmla="*/ 0 w 667"/>
              <a:gd name="T57" fmla="*/ 0 h 225"/>
              <a:gd name="T58" fmla="*/ 0 w 667"/>
              <a:gd name="T59" fmla="*/ 0 h 225"/>
              <a:gd name="T60" fmla="*/ 0 w 667"/>
              <a:gd name="T61" fmla="*/ 0 h 225"/>
              <a:gd name="T62" fmla="*/ 0 w 667"/>
              <a:gd name="T63" fmla="*/ 0 h 225"/>
              <a:gd name="T64" fmla="*/ 0 w 667"/>
              <a:gd name="T65" fmla="*/ 0 h 225"/>
              <a:gd name="T66" fmla="*/ 0 w 667"/>
              <a:gd name="T67" fmla="*/ 0 h 225"/>
              <a:gd name="T68" fmla="*/ 0 w 667"/>
              <a:gd name="T69" fmla="*/ 0 h 225"/>
              <a:gd name="T70" fmla="*/ 0 w 667"/>
              <a:gd name="T71" fmla="*/ 0 h 225"/>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667" h="225">
                <a:moveTo>
                  <a:pt x="667" y="225"/>
                </a:moveTo>
                <a:lnTo>
                  <a:pt x="0" y="225"/>
                </a:lnTo>
                <a:lnTo>
                  <a:pt x="0" y="199"/>
                </a:lnTo>
                <a:lnTo>
                  <a:pt x="5" y="182"/>
                </a:lnTo>
                <a:lnTo>
                  <a:pt x="9" y="173"/>
                </a:lnTo>
                <a:lnTo>
                  <a:pt x="19" y="169"/>
                </a:lnTo>
                <a:lnTo>
                  <a:pt x="28" y="166"/>
                </a:lnTo>
                <a:lnTo>
                  <a:pt x="37" y="164"/>
                </a:lnTo>
                <a:lnTo>
                  <a:pt x="47" y="156"/>
                </a:lnTo>
                <a:lnTo>
                  <a:pt x="56" y="145"/>
                </a:lnTo>
                <a:lnTo>
                  <a:pt x="56" y="138"/>
                </a:lnTo>
                <a:lnTo>
                  <a:pt x="56" y="131"/>
                </a:lnTo>
                <a:lnTo>
                  <a:pt x="56" y="124"/>
                </a:lnTo>
                <a:lnTo>
                  <a:pt x="58" y="117"/>
                </a:lnTo>
                <a:lnTo>
                  <a:pt x="73" y="101"/>
                </a:lnTo>
                <a:lnTo>
                  <a:pt x="84" y="95"/>
                </a:lnTo>
                <a:lnTo>
                  <a:pt x="95" y="98"/>
                </a:lnTo>
                <a:lnTo>
                  <a:pt x="110" y="103"/>
                </a:lnTo>
                <a:lnTo>
                  <a:pt x="119" y="108"/>
                </a:lnTo>
                <a:lnTo>
                  <a:pt x="131" y="106"/>
                </a:lnTo>
                <a:lnTo>
                  <a:pt x="138" y="93"/>
                </a:lnTo>
                <a:lnTo>
                  <a:pt x="149" y="69"/>
                </a:lnTo>
                <a:lnTo>
                  <a:pt x="162" y="58"/>
                </a:lnTo>
                <a:lnTo>
                  <a:pt x="171" y="56"/>
                </a:lnTo>
                <a:lnTo>
                  <a:pt x="180" y="58"/>
                </a:lnTo>
                <a:lnTo>
                  <a:pt x="190" y="63"/>
                </a:lnTo>
                <a:lnTo>
                  <a:pt x="199" y="67"/>
                </a:lnTo>
                <a:lnTo>
                  <a:pt x="208" y="67"/>
                </a:lnTo>
                <a:lnTo>
                  <a:pt x="218" y="60"/>
                </a:lnTo>
                <a:lnTo>
                  <a:pt x="231" y="47"/>
                </a:lnTo>
                <a:lnTo>
                  <a:pt x="244" y="32"/>
                </a:lnTo>
                <a:lnTo>
                  <a:pt x="253" y="21"/>
                </a:lnTo>
                <a:lnTo>
                  <a:pt x="264" y="14"/>
                </a:lnTo>
                <a:lnTo>
                  <a:pt x="276" y="12"/>
                </a:lnTo>
                <a:lnTo>
                  <a:pt x="292" y="16"/>
                </a:lnTo>
                <a:lnTo>
                  <a:pt x="313" y="30"/>
                </a:lnTo>
                <a:lnTo>
                  <a:pt x="323" y="32"/>
                </a:lnTo>
                <a:lnTo>
                  <a:pt x="337" y="28"/>
                </a:lnTo>
                <a:lnTo>
                  <a:pt x="351" y="19"/>
                </a:lnTo>
                <a:lnTo>
                  <a:pt x="367" y="9"/>
                </a:lnTo>
                <a:lnTo>
                  <a:pt x="386" y="2"/>
                </a:lnTo>
                <a:lnTo>
                  <a:pt x="404" y="0"/>
                </a:lnTo>
                <a:lnTo>
                  <a:pt x="423" y="6"/>
                </a:lnTo>
                <a:lnTo>
                  <a:pt x="440" y="28"/>
                </a:lnTo>
                <a:lnTo>
                  <a:pt x="449" y="37"/>
                </a:lnTo>
                <a:lnTo>
                  <a:pt x="460" y="42"/>
                </a:lnTo>
                <a:lnTo>
                  <a:pt x="473" y="42"/>
                </a:lnTo>
                <a:lnTo>
                  <a:pt x="482" y="47"/>
                </a:lnTo>
                <a:lnTo>
                  <a:pt x="492" y="54"/>
                </a:lnTo>
                <a:lnTo>
                  <a:pt x="498" y="69"/>
                </a:lnTo>
                <a:lnTo>
                  <a:pt x="507" y="93"/>
                </a:lnTo>
                <a:lnTo>
                  <a:pt x="514" y="103"/>
                </a:lnTo>
                <a:lnTo>
                  <a:pt x="522" y="103"/>
                </a:lnTo>
                <a:lnTo>
                  <a:pt x="529" y="98"/>
                </a:lnTo>
                <a:lnTo>
                  <a:pt x="538" y="91"/>
                </a:lnTo>
                <a:lnTo>
                  <a:pt x="548" y="86"/>
                </a:lnTo>
                <a:lnTo>
                  <a:pt x="559" y="89"/>
                </a:lnTo>
                <a:lnTo>
                  <a:pt x="570" y="95"/>
                </a:lnTo>
                <a:lnTo>
                  <a:pt x="578" y="103"/>
                </a:lnTo>
                <a:lnTo>
                  <a:pt x="585" y="108"/>
                </a:lnTo>
                <a:lnTo>
                  <a:pt x="592" y="112"/>
                </a:lnTo>
                <a:lnTo>
                  <a:pt x="596" y="117"/>
                </a:lnTo>
                <a:lnTo>
                  <a:pt x="600" y="121"/>
                </a:lnTo>
                <a:lnTo>
                  <a:pt x="606" y="126"/>
                </a:lnTo>
                <a:lnTo>
                  <a:pt x="611" y="143"/>
                </a:lnTo>
                <a:lnTo>
                  <a:pt x="620" y="152"/>
                </a:lnTo>
                <a:lnTo>
                  <a:pt x="634" y="159"/>
                </a:lnTo>
                <a:lnTo>
                  <a:pt x="645" y="169"/>
                </a:lnTo>
                <a:lnTo>
                  <a:pt x="657" y="178"/>
                </a:lnTo>
                <a:lnTo>
                  <a:pt x="664" y="192"/>
                </a:lnTo>
                <a:lnTo>
                  <a:pt x="667" y="213"/>
                </a:lnTo>
                <a:lnTo>
                  <a:pt x="667" y="225"/>
                </a:lnTo>
                <a:close/>
              </a:path>
            </a:pathLst>
          </a:custGeom>
          <a:solidFill>
            <a:srgbClr val="000000"/>
          </a:solidFill>
          <a:ln w="0">
            <a:solidFill>
              <a:srgbClr val="000000"/>
            </a:solidFill>
            <a:prstDash val="solid"/>
            <a:round/>
            <a:headEnd/>
            <a:tailEnd/>
          </a:ln>
        </xdr:spPr>
      </xdr:sp>
      <xdr:sp macro="" textlink="">
        <xdr:nvSpPr>
          <xdr:cNvPr id="11556569" name="Freeform 60">
            <a:extLst>
              <a:ext uri="{FF2B5EF4-FFF2-40B4-BE49-F238E27FC236}">
                <a16:creationId xmlns:a16="http://schemas.microsoft.com/office/drawing/2014/main" id="{00000000-0008-0000-2900-0000D956B000}"/>
              </a:ext>
            </a:extLst>
          </xdr:cNvPr>
          <xdr:cNvSpPr>
            <a:spLocks/>
          </xdr:cNvSpPr>
        </xdr:nvSpPr>
        <xdr:spPr bwMode="auto">
          <a:xfrm>
            <a:off x="760" y="308"/>
            <a:ext cx="18" cy="13"/>
          </a:xfrm>
          <a:custGeom>
            <a:avLst/>
            <a:gdLst>
              <a:gd name="T0" fmla="*/ 0 w 131"/>
              <a:gd name="T1" fmla="*/ 0 h 93"/>
              <a:gd name="T2" fmla="*/ 0 w 131"/>
              <a:gd name="T3" fmla="*/ 0 h 93"/>
              <a:gd name="T4" fmla="*/ 0 w 131"/>
              <a:gd name="T5" fmla="*/ 0 h 93"/>
              <a:gd name="T6" fmla="*/ 0 w 131"/>
              <a:gd name="T7" fmla="*/ 0 h 93"/>
              <a:gd name="T8" fmla="*/ 0 w 131"/>
              <a:gd name="T9" fmla="*/ 0 h 93"/>
              <a:gd name="T10" fmla="*/ 0 w 131"/>
              <a:gd name="T11" fmla="*/ 0 h 93"/>
              <a:gd name="T12" fmla="*/ 0 w 131"/>
              <a:gd name="T13" fmla="*/ 0 h 93"/>
              <a:gd name="T14" fmla="*/ 0 w 131"/>
              <a:gd name="T15" fmla="*/ 0 h 93"/>
              <a:gd name="T16" fmla="*/ 0 w 131"/>
              <a:gd name="T17" fmla="*/ 0 h 93"/>
              <a:gd name="T18" fmla="*/ 0 w 131"/>
              <a:gd name="T19" fmla="*/ 0 h 93"/>
              <a:gd name="T20" fmla="*/ 0 w 131"/>
              <a:gd name="T21" fmla="*/ 0 h 93"/>
              <a:gd name="T22" fmla="*/ 0 w 131"/>
              <a:gd name="T23" fmla="*/ 0 h 93"/>
              <a:gd name="T24" fmla="*/ 0 w 131"/>
              <a:gd name="T25" fmla="*/ 0 h 93"/>
              <a:gd name="T26" fmla="*/ 0 w 131"/>
              <a:gd name="T27" fmla="*/ 0 h 93"/>
              <a:gd name="T28" fmla="*/ 0 w 131"/>
              <a:gd name="T29" fmla="*/ 0 h 9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31" h="93">
                <a:moveTo>
                  <a:pt x="67" y="91"/>
                </a:moveTo>
                <a:lnTo>
                  <a:pt x="114" y="86"/>
                </a:lnTo>
                <a:lnTo>
                  <a:pt x="131" y="65"/>
                </a:lnTo>
                <a:lnTo>
                  <a:pt x="118" y="41"/>
                </a:lnTo>
                <a:lnTo>
                  <a:pt x="105" y="23"/>
                </a:lnTo>
                <a:lnTo>
                  <a:pt x="86" y="9"/>
                </a:lnTo>
                <a:lnTo>
                  <a:pt x="67" y="0"/>
                </a:lnTo>
                <a:lnTo>
                  <a:pt x="44" y="0"/>
                </a:lnTo>
                <a:lnTo>
                  <a:pt x="16" y="6"/>
                </a:lnTo>
                <a:lnTo>
                  <a:pt x="11" y="9"/>
                </a:lnTo>
                <a:lnTo>
                  <a:pt x="4" y="13"/>
                </a:lnTo>
                <a:lnTo>
                  <a:pt x="0" y="79"/>
                </a:lnTo>
                <a:lnTo>
                  <a:pt x="28" y="93"/>
                </a:lnTo>
                <a:lnTo>
                  <a:pt x="39" y="91"/>
                </a:lnTo>
                <a:lnTo>
                  <a:pt x="67" y="91"/>
                </a:lnTo>
                <a:close/>
              </a:path>
            </a:pathLst>
          </a:custGeom>
          <a:solidFill>
            <a:srgbClr val="000000"/>
          </a:solidFill>
          <a:ln w="0">
            <a:solidFill>
              <a:srgbClr val="000000"/>
            </a:solidFill>
            <a:prstDash val="solid"/>
            <a:round/>
            <a:headEnd/>
            <a:tailEnd/>
          </a:ln>
        </xdr:spPr>
      </xdr:sp>
      <xdr:sp macro="" textlink="">
        <xdr:nvSpPr>
          <xdr:cNvPr id="4930623" name="Rectangle 63">
            <a:extLst>
              <a:ext uri="{FF2B5EF4-FFF2-40B4-BE49-F238E27FC236}">
                <a16:creationId xmlns:a16="http://schemas.microsoft.com/office/drawing/2014/main" id="{00000000-0008-0000-2900-00003F3C4B00}"/>
              </a:ext>
            </a:extLst>
          </xdr:cNvPr>
          <xdr:cNvSpPr>
            <a:spLocks noChangeArrowheads="1"/>
          </xdr:cNvSpPr>
        </xdr:nvSpPr>
        <xdr:spPr bwMode="auto">
          <a:xfrm>
            <a:off x="667" y="249"/>
            <a:ext cx="9" cy="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GB" sz="1200" b="0" i="0" u="none" strike="noStrike" baseline="0">
                <a:solidFill>
                  <a:srgbClr val="000000"/>
                </a:solidFill>
                <a:latin typeface="Times New Roman"/>
                <a:cs typeface="Times New Roman"/>
              </a:rPr>
              <a:t> </a:t>
            </a:r>
          </a:p>
        </xdr:txBody>
      </xdr:sp>
    </xdr:grpSp>
    <xdr:clientData/>
  </xdr:twoCellAnchor>
  <xdr:twoCellAnchor editAs="oneCell">
    <xdr:from>
      <xdr:col>3</xdr:col>
      <xdr:colOff>266700</xdr:colOff>
      <xdr:row>23</xdr:row>
      <xdr:rowOff>19050</xdr:rowOff>
    </xdr:from>
    <xdr:to>
      <xdr:col>3</xdr:col>
      <xdr:colOff>504825</xdr:colOff>
      <xdr:row>25</xdr:row>
      <xdr:rowOff>142875</xdr:rowOff>
    </xdr:to>
    <xdr:grpSp>
      <xdr:nvGrpSpPr>
        <xdr:cNvPr id="11556549" name="Group 66">
          <a:extLst>
            <a:ext uri="{FF2B5EF4-FFF2-40B4-BE49-F238E27FC236}">
              <a16:creationId xmlns:a16="http://schemas.microsoft.com/office/drawing/2014/main" id="{00000000-0008-0000-2900-0000C556B000}"/>
            </a:ext>
          </a:extLst>
        </xdr:cNvPr>
        <xdr:cNvGrpSpPr>
          <a:grpSpLocks noChangeAspect="1"/>
        </xdr:cNvGrpSpPr>
      </xdr:nvGrpSpPr>
      <xdr:grpSpPr bwMode="auto">
        <a:xfrm>
          <a:off x="3067050" y="5143500"/>
          <a:ext cx="238125" cy="447675"/>
          <a:chOff x="943" y="419"/>
          <a:chExt cx="47" cy="91"/>
        </a:xfrm>
      </xdr:grpSpPr>
      <xdr:sp macro="" textlink="">
        <xdr:nvSpPr>
          <xdr:cNvPr id="11556558" name="AutoShape 65">
            <a:extLst>
              <a:ext uri="{FF2B5EF4-FFF2-40B4-BE49-F238E27FC236}">
                <a16:creationId xmlns:a16="http://schemas.microsoft.com/office/drawing/2014/main" id="{00000000-0008-0000-2900-0000CE56B000}"/>
              </a:ext>
            </a:extLst>
          </xdr:cNvPr>
          <xdr:cNvSpPr>
            <a:spLocks noChangeAspect="1" noChangeArrowheads="1" noTextEdit="1"/>
          </xdr:cNvSpPr>
        </xdr:nvSpPr>
        <xdr:spPr bwMode="auto">
          <a:xfrm>
            <a:off x="943" y="419"/>
            <a:ext cx="47" cy="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11556559" name="Freeform 74">
            <a:extLst>
              <a:ext uri="{FF2B5EF4-FFF2-40B4-BE49-F238E27FC236}">
                <a16:creationId xmlns:a16="http://schemas.microsoft.com/office/drawing/2014/main" id="{00000000-0008-0000-2900-0000CF56B000}"/>
              </a:ext>
            </a:extLst>
          </xdr:cNvPr>
          <xdr:cNvSpPr>
            <a:spLocks/>
          </xdr:cNvSpPr>
        </xdr:nvSpPr>
        <xdr:spPr bwMode="auto">
          <a:xfrm>
            <a:off x="961" y="441"/>
            <a:ext cx="0" cy="0"/>
          </a:xfrm>
          <a:custGeom>
            <a:avLst/>
            <a:gdLst>
              <a:gd name="T0" fmla="*/ 0 h 2"/>
              <a:gd name="T1" fmla="*/ 1 h 2"/>
              <a:gd name="T2" fmla="*/ 0 h 2"/>
              <a:gd name="T3" fmla="*/ 0 60000 65536"/>
              <a:gd name="T4" fmla="*/ 0 60000 65536"/>
              <a:gd name="T5" fmla="*/ 0 60000 65536"/>
            </a:gdLst>
            <a:ahLst/>
            <a:cxnLst>
              <a:cxn ang="T3">
                <a:pos x="0" y="T0"/>
              </a:cxn>
              <a:cxn ang="T4">
                <a:pos x="0" y="T1"/>
              </a:cxn>
              <a:cxn ang="T5">
                <a:pos x="0" y="T2"/>
              </a:cxn>
            </a:cxnLst>
            <a:rect l="0" t="0" r="r" b="b"/>
            <a:pathLst>
              <a:path h="2">
                <a:moveTo>
                  <a:pt x="0" y="0"/>
                </a:moveTo>
                <a:lnTo>
                  <a:pt x="0" y="2"/>
                </a:lnTo>
                <a:lnTo>
                  <a:pt x="0" y="0"/>
                </a:lnTo>
                <a:close/>
              </a:path>
            </a:pathLst>
          </a:custGeom>
          <a:solidFill>
            <a:srgbClr val="000000"/>
          </a:solidFill>
          <a:ln w="0">
            <a:solidFill>
              <a:srgbClr val="000000"/>
            </a:solidFill>
            <a:prstDash val="solid"/>
            <a:round/>
            <a:headEnd/>
            <a:tailEnd/>
          </a:ln>
        </xdr:spPr>
      </xdr:sp>
      <xdr:sp macro="" textlink="">
        <xdr:nvSpPr>
          <xdr:cNvPr id="11556560" name="Rectangle 75">
            <a:extLst>
              <a:ext uri="{FF2B5EF4-FFF2-40B4-BE49-F238E27FC236}">
                <a16:creationId xmlns:a16="http://schemas.microsoft.com/office/drawing/2014/main" id="{00000000-0008-0000-2900-0000D056B000}"/>
              </a:ext>
            </a:extLst>
          </xdr:cNvPr>
          <xdr:cNvSpPr>
            <a:spLocks noChangeArrowheads="1"/>
          </xdr:cNvSpPr>
        </xdr:nvSpPr>
        <xdr:spPr bwMode="auto">
          <a:xfrm>
            <a:off x="978" y="486"/>
            <a:ext cx="9" cy="18"/>
          </a:xfrm>
          <a:prstGeom prst="rect">
            <a:avLst/>
          </a:prstGeom>
          <a:solidFill>
            <a:srgbClr val="000000"/>
          </a:solidFill>
          <a:ln w="0">
            <a:solidFill>
              <a:srgbClr val="000000"/>
            </a:solidFill>
            <a:miter lim="800000"/>
            <a:headEnd/>
            <a:tailEnd/>
          </a:ln>
        </xdr:spPr>
      </xdr:sp>
      <xdr:sp macro="" textlink="">
        <xdr:nvSpPr>
          <xdr:cNvPr id="11556561" name="Rectangle 76">
            <a:extLst>
              <a:ext uri="{FF2B5EF4-FFF2-40B4-BE49-F238E27FC236}">
                <a16:creationId xmlns:a16="http://schemas.microsoft.com/office/drawing/2014/main" id="{00000000-0008-0000-2900-0000D156B000}"/>
              </a:ext>
            </a:extLst>
          </xdr:cNvPr>
          <xdr:cNvSpPr>
            <a:spLocks noChangeArrowheads="1"/>
          </xdr:cNvSpPr>
        </xdr:nvSpPr>
        <xdr:spPr bwMode="auto">
          <a:xfrm>
            <a:off x="949" y="467"/>
            <a:ext cx="18" cy="8"/>
          </a:xfrm>
          <a:prstGeom prst="rect">
            <a:avLst/>
          </a:prstGeom>
          <a:solidFill>
            <a:srgbClr val="000000"/>
          </a:solidFill>
          <a:ln w="0">
            <a:solidFill>
              <a:srgbClr val="000000"/>
            </a:solidFill>
            <a:miter lim="800000"/>
            <a:headEnd/>
            <a:tailEnd/>
          </a:ln>
        </xdr:spPr>
      </xdr:sp>
      <xdr:sp macro="" textlink="">
        <xdr:nvSpPr>
          <xdr:cNvPr id="11556562" name="Freeform 77">
            <a:extLst>
              <a:ext uri="{FF2B5EF4-FFF2-40B4-BE49-F238E27FC236}">
                <a16:creationId xmlns:a16="http://schemas.microsoft.com/office/drawing/2014/main" id="{00000000-0008-0000-2900-0000D256B000}"/>
              </a:ext>
            </a:extLst>
          </xdr:cNvPr>
          <xdr:cNvSpPr>
            <a:spLocks/>
          </xdr:cNvSpPr>
        </xdr:nvSpPr>
        <xdr:spPr bwMode="auto">
          <a:xfrm>
            <a:off x="952" y="478"/>
            <a:ext cx="24" cy="23"/>
          </a:xfrm>
          <a:custGeom>
            <a:avLst/>
            <a:gdLst>
              <a:gd name="T0" fmla="*/ 0 w 522"/>
              <a:gd name="T1" fmla="*/ 0 h 518"/>
              <a:gd name="T2" fmla="*/ 0 w 522"/>
              <a:gd name="T3" fmla="*/ 0 h 518"/>
              <a:gd name="T4" fmla="*/ 0 w 522"/>
              <a:gd name="T5" fmla="*/ 0 h 518"/>
              <a:gd name="T6" fmla="*/ 0 w 522"/>
              <a:gd name="T7" fmla="*/ 0 h 518"/>
              <a:gd name="T8" fmla="*/ 0 w 522"/>
              <a:gd name="T9" fmla="*/ 0 h 518"/>
              <a:gd name="T10" fmla="*/ 0 w 522"/>
              <a:gd name="T11" fmla="*/ 0 h 518"/>
              <a:gd name="T12" fmla="*/ 0 w 522"/>
              <a:gd name="T13" fmla="*/ 0 h 518"/>
              <a:gd name="T14" fmla="*/ 0 w 522"/>
              <a:gd name="T15" fmla="*/ 0 h 518"/>
              <a:gd name="T16" fmla="*/ 0 w 522"/>
              <a:gd name="T17" fmla="*/ 0 h 518"/>
              <a:gd name="T18" fmla="*/ 0 w 522"/>
              <a:gd name="T19" fmla="*/ 0 h 518"/>
              <a:gd name="T20" fmla="*/ 0 w 522"/>
              <a:gd name="T21" fmla="*/ 0 h 518"/>
              <a:gd name="T22" fmla="*/ 0 w 522"/>
              <a:gd name="T23" fmla="*/ 0 h 518"/>
              <a:gd name="T24" fmla="*/ 0 w 522"/>
              <a:gd name="T25" fmla="*/ 0 h 518"/>
              <a:gd name="T26" fmla="*/ 0 w 522"/>
              <a:gd name="T27" fmla="*/ 0 h 518"/>
              <a:gd name="T28" fmla="*/ 0 w 522"/>
              <a:gd name="T29" fmla="*/ 0 h 518"/>
              <a:gd name="T30" fmla="*/ 0 w 522"/>
              <a:gd name="T31" fmla="*/ 0 h 518"/>
              <a:gd name="T32" fmla="*/ 0 w 522"/>
              <a:gd name="T33" fmla="*/ 0 h 518"/>
              <a:gd name="T34" fmla="*/ 0 w 522"/>
              <a:gd name="T35" fmla="*/ 0 h 518"/>
              <a:gd name="T36" fmla="*/ 0 w 522"/>
              <a:gd name="T37" fmla="*/ 0 h 518"/>
              <a:gd name="T38" fmla="*/ 0 w 522"/>
              <a:gd name="T39" fmla="*/ 0 h 518"/>
              <a:gd name="T40" fmla="*/ 0 w 522"/>
              <a:gd name="T41" fmla="*/ 0 h 518"/>
              <a:gd name="T42" fmla="*/ 0 w 522"/>
              <a:gd name="T43" fmla="*/ 0 h 518"/>
              <a:gd name="T44" fmla="*/ 0 w 522"/>
              <a:gd name="T45" fmla="*/ 0 h 518"/>
              <a:gd name="T46" fmla="*/ 0 w 522"/>
              <a:gd name="T47" fmla="*/ 0 h 518"/>
              <a:gd name="T48" fmla="*/ 0 w 522"/>
              <a:gd name="T49" fmla="*/ 0 h 518"/>
              <a:gd name="T50" fmla="*/ 0 w 522"/>
              <a:gd name="T51" fmla="*/ 0 h 518"/>
              <a:gd name="T52" fmla="*/ 0 w 522"/>
              <a:gd name="T53" fmla="*/ 0 h 518"/>
              <a:gd name="T54" fmla="*/ 0 w 522"/>
              <a:gd name="T55" fmla="*/ 0 h 518"/>
              <a:gd name="T56" fmla="*/ 0 w 522"/>
              <a:gd name="T57" fmla="*/ 0 h 518"/>
              <a:gd name="T58" fmla="*/ 0 w 522"/>
              <a:gd name="T59" fmla="*/ 0 h 518"/>
              <a:gd name="T60" fmla="*/ 0 w 522"/>
              <a:gd name="T61" fmla="*/ 0 h 518"/>
              <a:gd name="T62" fmla="*/ 0 w 522"/>
              <a:gd name="T63" fmla="*/ 0 h 518"/>
              <a:gd name="T64" fmla="*/ 0 w 522"/>
              <a:gd name="T65" fmla="*/ 0 h 518"/>
              <a:gd name="T66" fmla="*/ 0 w 522"/>
              <a:gd name="T67" fmla="*/ 0 h 518"/>
              <a:gd name="T68" fmla="*/ 0 w 522"/>
              <a:gd name="T69" fmla="*/ 0 h 518"/>
              <a:gd name="T70" fmla="*/ 0 w 522"/>
              <a:gd name="T71" fmla="*/ 0 h 518"/>
              <a:gd name="T72" fmla="*/ 0 w 522"/>
              <a:gd name="T73" fmla="*/ 0 h 518"/>
              <a:gd name="T74" fmla="*/ 0 w 522"/>
              <a:gd name="T75" fmla="*/ 0 h 518"/>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522" h="518">
                <a:moveTo>
                  <a:pt x="293" y="0"/>
                </a:moveTo>
                <a:lnTo>
                  <a:pt x="5" y="0"/>
                </a:lnTo>
                <a:lnTo>
                  <a:pt x="3" y="18"/>
                </a:lnTo>
                <a:lnTo>
                  <a:pt x="0" y="72"/>
                </a:lnTo>
                <a:lnTo>
                  <a:pt x="1" y="154"/>
                </a:lnTo>
                <a:lnTo>
                  <a:pt x="13" y="262"/>
                </a:lnTo>
                <a:lnTo>
                  <a:pt x="27" y="315"/>
                </a:lnTo>
                <a:lnTo>
                  <a:pt x="47" y="359"/>
                </a:lnTo>
                <a:lnTo>
                  <a:pt x="77" y="398"/>
                </a:lnTo>
                <a:lnTo>
                  <a:pt x="111" y="430"/>
                </a:lnTo>
                <a:lnTo>
                  <a:pt x="151" y="456"/>
                </a:lnTo>
                <a:lnTo>
                  <a:pt x="194" y="475"/>
                </a:lnTo>
                <a:lnTo>
                  <a:pt x="239" y="490"/>
                </a:lnTo>
                <a:lnTo>
                  <a:pt x="284" y="502"/>
                </a:lnTo>
                <a:lnTo>
                  <a:pt x="328" y="509"/>
                </a:lnTo>
                <a:lnTo>
                  <a:pt x="373" y="514"/>
                </a:lnTo>
                <a:lnTo>
                  <a:pt x="413" y="518"/>
                </a:lnTo>
                <a:lnTo>
                  <a:pt x="479" y="518"/>
                </a:lnTo>
                <a:lnTo>
                  <a:pt x="501" y="517"/>
                </a:lnTo>
                <a:lnTo>
                  <a:pt x="517" y="514"/>
                </a:lnTo>
                <a:lnTo>
                  <a:pt x="522" y="514"/>
                </a:lnTo>
                <a:lnTo>
                  <a:pt x="522" y="228"/>
                </a:lnTo>
                <a:lnTo>
                  <a:pt x="467" y="226"/>
                </a:lnTo>
                <a:lnTo>
                  <a:pt x="422" y="221"/>
                </a:lnTo>
                <a:lnTo>
                  <a:pt x="383" y="210"/>
                </a:lnTo>
                <a:lnTo>
                  <a:pt x="353" y="195"/>
                </a:lnTo>
                <a:lnTo>
                  <a:pt x="328" y="178"/>
                </a:lnTo>
                <a:lnTo>
                  <a:pt x="310" y="159"/>
                </a:lnTo>
                <a:lnTo>
                  <a:pt x="298" y="139"/>
                </a:lnTo>
                <a:lnTo>
                  <a:pt x="289" y="116"/>
                </a:lnTo>
                <a:lnTo>
                  <a:pt x="284" y="96"/>
                </a:lnTo>
                <a:lnTo>
                  <a:pt x="283" y="74"/>
                </a:lnTo>
                <a:lnTo>
                  <a:pt x="283" y="54"/>
                </a:lnTo>
                <a:lnTo>
                  <a:pt x="284" y="35"/>
                </a:lnTo>
                <a:lnTo>
                  <a:pt x="288" y="22"/>
                </a:lnTo>
                <a:lnTo>
                  <a:pt x="289" y="10"/>
                </a:lnTo>
                <a:lnTo>
                  <a:pt x="291" y="3"/>
                </a:lnTo>
                <a:lnTo>
                  <a:pt x="293" y="0"/>
                </a:lnTo>
                <a:close/>
              </a:path>
            </a:pathLst>
          </a:custGeom>
          <a:solidFill>
            <a:srgbClr val="000000"/>
          </a:solidFill>
          <a:ln w="0">
            <a:solidFill>
              <a:srgbClr val="000000"/>
            </a:solidFill>
            <a:prstDash val="solid"/>
            <a:round/>
            <a:headEnd/>
            <a:tailEnd/>
          </a:ln>
        </xdr:spPr>
      </xdr:sp>
      <xdr:sp macro="" textlink="">
        <xdr:nvSpPr>
          <xdr:cNvPr id="11556563" name="Freeform 78">
            <a:extLst>
              <a:ext uri="{FF2B5EF4-FFF2-40B4-BE49-F238E27FC236}">
                <a16:creationId xmlns:a16="http://schemas.microsoft.com/office/drawing/2014/main" id="{00000000-0008-0000-2900-0000D356B000}"/>
              </a:ext>
            </a:extLst>
          </xdr:cNvPr>
          <xdr:cNvSpPr>
            <a:spLocks noEditPoints="1"/>
          </xdr:cNvSpPr>
        </xdr:nvSpPr>
        <xdr:spPr bwMode="auto">
          <a:xfrm>
            <a:off x="950" y="422"/>
            <a:ext cx="20" cy="42"/>
          </a:xfrm>
          <a:custGeom>
            <a:avLst/>
            <a:gdLst>
              <a:gd name="T0" fmla="*/ 0 w 460"/>
              <a:gd name="T1" fmla="*/ 0 h 926"/>
              <a:gd name="T2" fmla="*/ 0 w 460"/>
              <a:gd name="T3" fmla="*/ 0 h 926"/>
              <a:gd name="T4" fmla="*/ 0 w 460"/>
              <a:gd name="T5" fmla="*/ 0 h 926"/>
              <a:gd name="T6" fmla="*/ 0 w 460"/>
              <a:gd name="T7" fmla="*/ 0 h 926"/>
              <a:gd name="T8" fmla="*/ 0 w 460"/>
              <a:gd name="T9" fmla="*/ 0 h 926"/>
              <a:gd name="T10" fmla="*/ 0 w 460"/>
              <a:gd name="T11" fmla="*/ 0 h 926"/>
              <a:gd name="T12" fmla="*/ 0 w 460"/>
              <a:gd name="T13" fmla="*/ 0 h 926"/>
              <a:gd name="T14" fmla="*/ 0 w 460"/>
              <a:gd name="T15" fmla="*/ 0 h 926"/>
              <a:gd name="T16" fmla="*/ 0 w 460"/>
              <a:gd name="T17" fmla="*/ 0 h 926"/>
              <a:gd name="T18" fmla="*/ 0 w 460"/>
              <a:gd name="T19" fmla="*/ 0 h 926"/>
              <a:gd name="T20" fmla="*/ 0 w 460"/>
              <a:gd name="T21" fmla="*/ 0 h 926"/>
              <a:gd name="T22" fmla="*/ 0 w 460"/>
              <a:gd name="T23" fmla="*/ 0 h 926"/>
              <a:gd name="T24" fmla="*/ 0 w 460"/>
              <a:gd name="T25" fmla="*/ 0 h 926"/>
              <a:gd name="T26" fmla="*/ 0 w 460"/>
              <a:gd name="T27" fmla="*/ 0 h 926"/>
              <a:gd name="T28" fmla="*/ 0 w 460"/>
              <a:gd name="T29" fmla="*/ 0 h 926"/>
              <a:gd name="T30" fmla="*/ 0 w 460"/>
              <a:gd name="T31" fmla="*/ 0 h 926"/>
              <a:gd name="T32" fmla="*/ 0 w 460"/>
              <a:gd name="T33" fmla="*/ 0 h 926"/>
              <a:gd name="T34" fmla="*/ 0 w 460"/>
              <a:gd name="T35" fmla="*/ 0 h 926"/>
              <a:gd name="T36" fmla="*/ 0 w 460"/>
              <a:gd name="T37" fmla="*/ 0 h 926"/>
              <a:gd name="T38" fmla="*/ 0 w 460"/>
              <a:gd name="T39" fmla="*/ 0 h 926"/>
              <a:gd name="T40" fmla="*/ 0 w 460"/>
              <a:gd name="T41" fmla="*/ 0 h 926"/>
              <a:gd name="T42" fmla="*/ 0 w 460"/>
              <a:gd name="T43" fmla="*/ 0 h 926"/>
              <a:gd name="T44" fmla="*/ 0 w 460"/>
              <a:gd name="T45" fmla="*/ 0 h 926"/>
              <a:gd name="T46" fmla="*/ 0 w 460"/>
              <a:gd name="T47" fmla="*/ 0 h 926"/>
              <a:gd name="T48" fmla="*/ 0 w 460"/>
              <a:gd name="T49" fmla="*/ 0 h 926"/>
              <a:gd name="T50" fmla="*/ 0 w 460"/>
              <a:gd name="T51" fmla="*/ 0 h 926"/>
              <a:gd name="T52" fmla="*/ 0 w 460"/>
              <a:gd name="T53" fmla="*/ 0 h 926"/>
              <a:gd name="T54" fmla="*/ 0 w 460"/>
              <a:gd name="T55" fmla="*/ 0 h 926"/>
              <a:gd name="T56" fmla="*/ 0 w 460"/>
              <a:gd name="T57" fmla="*/ 0 h 926"/>
              <a:gd name="T58" fmla="*/ 0 w 460"/>
              <a:gd name="T59" fmla="*/ 0 h 926"/>
              <a:gd name="T60" fmla="*/ 0 w 460"/>
              <a:gd name="T61" fmla="*/ 0 h 926"/>
              <a:gd name="T62" fmla="*/ 0 w 460"/>
              <a:gd name="T63" fmla="*/ 0 h 926"/>
              <a:gd name="T64" fmla="*/ 0 w 460"/>
              <a:gd name="T65" fmla="*/ 0 h 926"/>
              <a:gd name="T66" fmla="*/ 0 w 460"/>
              <a:gd name="T67" fmla="*/ 0 h 926"/>
              <a:gd name="T68" fmla="*/ 0 w 460"/>
              <a:gd name="T69" fmla="*/ 0 h 926"/>
              <a:gd name="T70" fmla="*/ 0 w 460"/>
              <a:gd name="T71" fmla="*/ 0 h 926"/>
              <a:gd name="T72" fmla="*/ 0 w 460"/>
              <a:gd name="T73" fmla="*/ 0 h 926"/>
              <a:gd name="T74" fmla="*/ 0 w 460"/>
              <a:gd name="T75" fmla="*/ 0 h 926"/>
              <a:gd name="T76" fmla="*/ 0 w 460"/>
              <a:gd name="T77" fmla="*/ 0 h 926"/>
              <a:gd name="T78" fmla="*/ 0 w 460"/>
              <a:gd name="T79" fmla="*/ 0 h 926"/>
              <a:gd name="T80" fmla="*/ 0 w 460"/>
              <a:gd name="T81" fmla="*/ 0 h 926"/>
              <a:gd name="T82" fmla="*/ 0 w 460"/>
              <a:gd name="T83" fmla="*/ 0 h 926"/>
              <a:gd name="T84" fmla="*/ 0 w 460"/>
              <a:gd name="T85" fmla="*/ 0 h 926"/>
              <a:gd name="T86" fmla="*/ 0 w 460"/>
              <a:gd name="T87" fmla="*/ 0 h 926"/>
              <a:gd name="T88" fmla="*/ 0 w 460"/>
              <a:gd name="T89" fmla="*/ 0 h 926"/>
              <a:gd name="T90" fmla="*/ 0 w 460"/>
              <a:gd name="T91" fmla="*/ 0 h 926"/>
              <a:gd name="T92" fmla="*/ 0 w 460"/>
              <a:gd name="T93" fmla="*/ 0 h 926"/>
              <a:gd name="T94" fmla="*/ 0 w 460"/>
              <a:gd name="T95" fmla="*/ 0 h 926"/>
              <a:gd name="T96" fmla="*/ 0 w 460"/>
              <a:gd name="T97" fmla="*/ 0 h 92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460" h="926">
                <a:moveTo>
                  <a:pt x="136" y="905"/>
                </a:moveTo>
                <a:lnTo>
                  <a:pt x="140" y="885"/>
                </a:lnTo>
                <a:lnTo>
                  <a:pt x="147" y="868"/>
                </a:lnTo>
                <a:lnTo>
                  <a:pt x="158" y="854"/>
                </a:lnTo>
                <a:lnTo>
                  <a:pt x="171" y="843"/>
                </a:lnTo>
                <a:lnTo>
                  <a:pt x="185" y="834"/>
                </a:lnTo>
                <a:lnTo>
                  <a:pt x="200" y="830"/>
                </a:lnTo>
                <a:lnTo>
                  <a:pt x="216" y="829"/>
                </a:lnTo>
                <a:lnTo>
                  <a:pt x="233" y="831"/>
                </a:lnTo>
                <a:lnTo>
                  <a:pt x="248" y="838"/>
                </a:lnTo>
                <a:lnTo>
                  <a:pt x="261" y="847"/>
                </a:lnTo>
                <a:lnTo>
                  <a:pt x="273" y="859"/>
                </a:lnTo>
                <a:lnTo>
                  <a:pt x="284" y="875"/>
                </a:lnTo>
                <a:lnTo>
                  <a:pt x="291" y="895"/>
                </a:lnTo>
                <a:lnTo>
                  <a:pt x="327" y="851"/>
                </a:lnTo>
                <a:lnTo>
                  <a:pt x="359" y="808"/>
                </a:lnTo>
                <a:lnTo>
                  <a:pt x="385" y="768"/>
                </a:lnTo>
                <a:lnTo>
                  <a:pt x="408" y="729"/>
                </a:lnTo>
                <a:lnTo>
                  <a:pt x="425" y="693"/>
                </a:lnTo>
                <a:lnTo>
                  <a:pt x="439" y="656"/>
                </a:lnTo>
                <a:lnTo>
                  <a:pt x="450" y="622"/>
                </a:lnTo>
                <a:lnTo>
                  <a:pt x="456" y="588"/>
                </a:lnTo>
                <a:lnTo>
                  <a:pt x="460" y="555"/>
                </a:lnTo>
                <a:lnTo>
                  <a:pt x="460" y="522"/>
                </a:lnTo>
                <a:lnTo>
                  <a:pt x="458" y="490"/>
                </a:lnTo>
                <a:lnTo>
                  <a:pt x="454" y="458"/>
                </a:lnTo>
                <a:lnTo>
                  <a:pt x="446" y="425"/>
                </a:lnTo>
                <a:lnTo>
                  <a:pt x="437" y="392"/>
                </a:lnTo>
                <a:lnTo>
                  <a:pt x="427" y="359"/>
                </a:lnTo>
                <a:lnTo>
                  <a:pt x="415" y="325"/>
                </a:lnTo>
                <a:lnTo>
                  <a:pt x="402" y="289"/>
                </a:lnTo>
                <a:lnTo>
                  <a:pt x="388" y="253"/>
                </a:lnTo>
                <a:lnTo>
                  <a:pt x="373" y="215"/>
                </a:lnTo>
                <a:lnTo>
                  <a:pt x="359" y="177"/>
                </a:lnTo>
                <a:lnTo>
                  <a:pt x="344" y="135"/>
                </a:lnTo>
                <a:lnTo>
                  <a:pt x="328" y="93"/>
                </a:lnTo>
                <a:lnTo>
                  <a:pt x="313" y="47"/>
                </a:lnTo>
                <a:lnTo>
                  <a:pt x="300" y="0"/>
                </a:lnTo>
                <a:lnTo>
                  <a:pt x="298" y="36"/>
                </a:lnTo>
                <a:lnTo>
                  <a:pt x="292" y="71"/>
                </a:lnTo>
                <a:lnTo>
                  <a:pt x="284" y="106"/>
                </a:lnTo>
                <a:lnTo>
                  <a:pt x="272" y="140"/>
                </a:lnTo>
                <a:lnTo>
                  <a:pt x="258" y="173"/>
                </a:lnTo>
                <a:lnTo>
                  <a:pt x="242" y="205"/>
                </a:lnTo>
                <a:lnTo>
                  <a:pt x="224" y="238"/>
                </a:lnTo>
                <a:lnTo>
                  <a:pt x="205" y="269"/>
                </a:lnTo>
                <a:lnTo>
                  <a:pt x="185" y="299"/>
                </a:lnTo>
                <a:lnTo>
                  <a:pt x="163" y="330"/>
                </a:lnTo>
                <a:lnTo>
                  <a:pt x="143" y="360"/>
                </a:lnTo>
                <a:lnTo>
                  <a:pt x="122" y="390"/>
                </a:lnTo>
                <a:lnTo>
                  <a:pt x="101" y="420"/>
                </a:lnTo>
                <a:lnTo>
                  <a:pt x="82" y="449"/>
                </a:lnTo>
                <a:lnTo>
                  <a:pt x="64" y="479"/>
                </a:lnTo>
                <a:lnTo>
                  <a:pt x="46" y="508"/>
                </a:lnTo>
                <a:lnTo>
                  <a:pt x="32" y="538"/>
                </a:lnTo>
                <a:lnTo>
                  <a:pt x="19" y="568"/>
                </a:lnTo>
                <a:lnTo>
                  <a:pt x="10" y="597"/>
                </a:lnTo>
                <a:lnTo>
                  <a:pt x="3" y="628"/>
                </a:lnTo>
                <a:lnTo>
                  <a:pt x="0" y="658"/>
                </a:lnTo>
                <a:lnTo>
                  <a:pt x="0" y="690"/>
                </a:lnTo>
                <a:lnTo>
                  <a:pt x="4" y="721"/>
                </a:lnTo>
                <a:lnTo>
                  <a:pt x="13" y="753"/>
                </a:lnTo>
                <a:lnTo>
                  <a:pt x="27" y="787"/>
                </a:lnTo>
                <a:lnTo>
                  <a:pt x="46" y="820"/>
                </a:lnTo>
                <a:lnTo>
                  <a:pt x="71" y="855"/>
                </a:lnTo>
                <a:lnTo>
                  <a:pt x="102" y="890"/>
                </a:lnTo>
                <a:lnTo>
                  <a:pt x="139" y="926"/>
                </a:lnTo>
                <a:lnTo>
                  <a:pt x="137" y="916"/>
                </a:lnTo>
                <a:lnTo>
                  <a:pt x="136" y="905"/>
                </a:lnTo>
                <a:close/>
                <a:moveTo>
                  <a:pt x="243" y="399"/>
                </a:moveTo>
                <a:lnTo>
                  <a:pt x="262" y="374"/>
                </a:lnTo>
                <a:lnTo>
                  <a:pt x="278" y="353"/>
                </a:lnTo>
                <a:lnTo>
                  <a:pt x="291" y="334"/>
                </a:lnTo>
                <a:lnTo>
                  <a:pt x="301" y="319"/>
                </a:lnTo>
                <a:lnTo>
                  <a:pt x="308" y="307"/>
                </a:lnTo>
                <a:lnTo>
                  <a:pt x="313" y="296"/>
                </a:lnTo>
                <a:lnTo>
                  <a:pt x="317" y="291"/>
                </a:lnTo>
                <a:lnTo>
                  <a:pt x="319" y="289"/>
                </a:lnTo>
                <a:lnTo>
                  <a:pt x="322" y="290"/>
                </a:lnTo>
                <a:lnTo>
                  <a:pt x="325" y="296"/>
                </a:lnTo>
                <a:lnTo>
                  <a:pt x="329" y="306"/>
                </a:lnTo>
                <a:lnTo>
                  <a:pt x="334" y="320"/>
                </a:lnTo>
                <a:lnTo>
                  <a:pt x="342" y="338"/>
                </a:lnTo>
                <a:lnTo>
                  <a:pt x="351" y="361"/>
                </a:lnTo>
                <a:lnTo>
                  <a:pt x="369" y="405"/>
                </a:lnTo>
                <a:lnTo>
                  <a:pt x="384" y="446"/>
                </a:lnTo>
                <a:lnTo>
                  <a:pt x="397" y="485"/>
                </a:lnTo>
                <a:lnTo>
                  <a:pt x="405" y="520"/>
                </a:lnTo>
                <a:lnTo>
                  <a:pt x="410" y="556"/>
                </a:lnTo>
                <a:lnTo>
                  <a:pt x="411" y="589"/>
                </a:lnTo>
                <a:lnTo>
                  <a:pt x="408" y="623"/>
                </a:lnTo>
                <a:lnTo>
                  <a:pt x="402" y="655"/>
                </a:lnTo>
                <a:lnTo>
                  <a:pt x="390" y="689"/>
                </a:lnTo>
                <a:lnTo>
                  <a:pt x="376" y="723"/>
                </a:lnTo>
                <a:lnTo>
                  <a:pt x="357" y="758"/>
                </a:lnTo>
                <a:lnTo>
                  <a:pt x="332" y="796"/>
                </a:lnTo>
                <a:lnTo>
                  <a:pt x="305" y="836"/>
                </a:lnTo>
                <a:lnTo>
                  <a:pt x="323" y="803"/>
                </a:lnTo>
                <a:lnTo>
                  <a:pt x="338" y="773"/>
                </a:lnTo>
                <a:lnTo>
                  <a:pt x="348" y="746"/>
                </a:lnTo>
                <a:lnTo>
                  <a:pt x="355" y="721"/>
                </a:lnTo>
                <a:lnTo>
                  <a:pt x="358" y="697"/>
                </a:lnTo>
                <a:lnTo>
                  <a:pt x="358" y="674"/>
                </a:lnTo>
                <a:lnTo>
                  <a:pt x="356" y="653"/>
                </a:lnTo>
                <a:lnTo>
                  <a:pt x="352" y="631"/>
                </a:lnTo>
                <a:lnTo>
                  <a:pt x="346" y="610"/>
                </a:lnTo>
                <a:lnTo>
                  <a:pt x="338" y="586"/>
                </a:lnTo>
                <a:lnTo>
                  <a:pt x="329" y="563"/>
                </a:lnTo>
                <a:lnTo>
                  <a:pt x="320" y="538"/>
                </a:lnTo>
                <a:lnTo>
                  <a:pt x="311" y="511"/>
                </a:lnTo>
                <a:lnTo>
                  <a:pt x="302" y="481"/>
                </a:lnTo>
                <a:lnTo>
                  <a:pt x="293" y="449"/>
                </a:lnTo>
                <a:lnTo>
                  <a:pt x="291" y="468"/>
                </a:lnTo>
                <a:lnTo>
                  <a:pt x="286" y="486"/>
                </a:lnTo>
                <a:lnTo>
                  <a:pt x="276" y="503"/>
                </a:lnTo>
                <a:lnTo>
                  <a:pt x="265" y="519"/>
                </a:lnTo>
                <a:lnTo>
                  <a:pt x="252" y="535"/>
                </a:lnTo>
                <a:lnTo>
                  <a:pt x="238" y="550"/>
                </a:lnTo>
                <a:lnTo>
                  <a:pt x="221" y="565"/>
                </a:lnTo>
                <a:lnTo>
                  <a:pt x="204" y="579"/>
                </a:lnTo>
                <a:lnTo>
                  <a:pt x="187" y="594"/>
                </a:lnTo>
                <a:lnTo>
                  <a:pt x="170" y="611"/>
                </a:lnTo>
                <a:lnTo>
                  <a:pt x="152" y="626"/>
                </a:lnTo>
                <a:lnTo>
                  <a:pt x="136" y="643"/>
                </a:lnTo>
                <a:lnTo>
                  <a:pt x="122" y="660"/>
                </a:lnTo>
                <a:lnTo>
                  <a:pt x="109" y="678"/>
                </a:lnTo>
                <a:lnTo>
                  <a:pt x="99" y="699"/>
                </a:lnTo>
                <a:lnTo>
                  <a:pt x="92" y="720"/>
                </a:lnTo>
                <a:lnTo>
                  <a:pt x="88" y="742"/>
                </a:lnTo>
                <a:lnTo>
                  <a:pt x="87" y="768"/>
                </a:lnTo>
                <a:lnTo>
                  <a:pt x="91" y="794"/>
                </a:lnTo>
                <a:lnTo>
                  <a:pt x="99" y="823"/>
                </a:lnTo>
                <a:lnTo>
                  <a:pt x="81" y="789"/>
                </a:lnTo>
                <a:lnTo>
                  <a:pt x="69" y="756"/>
                </a:lnTo>
                <a:lnTo>
                  <a:pt x="61" y="726"/>
                </a:lnTo>
                <a:lnTo>
                  <a:pt x="57" y="698"/>
                </a:lnTo>
                <a:lnTo>
                  <a:pt x="58" y="671"/>
                </a:lnTo>
                <a:lnTo>
                  <a:pt x="62" y="646"/>
                </a:lnTo>
                <a:lnTo>
                  <a:pt x="69" y="622"/>
                </a:lnTo>
                <a:lnTo>
                  <a:pt x="79" y="599"/>
                </a:lnTo>
                <a:lnTo>
                  <a:pt x="92" y="577"/>
                </a:lnTo>
                <a:lnTo>
                  <a:pt x="106" y="555"/>
                </a:lnTo>
                <a:lnTo>
                  <a:pt x="124" y="534"/>
                </a:lnTo>
                <a:lnTo>
                  <a:pt x="142" y="512"/>
                </a:lnTo>
                <a:lnTo>
                  <a:pt x="161" y="490"/>
                </a:lnTo>
                <a:lnTo>
                  <a:pt x="182" y="469"/>
                </a:lnTo>
                <a:lnTo>
                  <a:pt x="202" y="446"/>
                </a:lnTo>
                <a:lnTo>
                  <a:pt x="223" y="423"/>
                </a:lnTo>
                <a:lnTo>
                  <a:pt x="243" y="399"/>
                </a:lnTo>
                <a:close/>
              </a:path>
            </a:pathLst>
          </a:custGeom>
          <a:solidFill>
            <a:srgbClr val="00FFB2"/>
          </a:solidFill>
          <a:ln w="0">
            <a:solidFill>
              <a:srgbClr val="00FFB2"/>
            </a:solidFill>
            <a:prstDash val="solid"/>
            <a:round/>
            <a:headEnd/>
            <a:tailEnd/>
          </a:ln>
        </xdr:spPr>
      </xdr:sp>
    </xdr:grpSp>
    <xdr:clientData/>
  </xdr:twoCellAnchor>
  <xdr:twoCellAnchor editAs="oneCell">
    <xdr:from>
      <xdr:col>4</xdr:col>
      <xdr:colOff>219075</xdr:colOff>
      <xdr:row>23</xdr:row>
      <xdr:rowOff>66675</xdr:rowOff>
    </xdr:from>
    <xdr:to>
      <xdr:col>4</xdr:col>
      <xdr:colOff>523875</xdr:colOff>
      <xdr:row>25</xdr:row>
      <xdr:rowOff>114300</xdr:rowOff>
    </xdr:to>
    <xdr:pic>
      <xdr:nvPicPr>
        <xdr:cNvPr id="11556550" name="Picture 38">
          <a:extLst>
            <a:ext uri="{FF2B5EF4-FFF2-40B4-BE49-F238E27FC236}">
              <a16:creationId xmlns:a16="http://schemas.microsoft.com/office/drawing/2014/main" id="{00000000-0008-0000-2900-0000C656B000}"/>
            </a:ext>
          </a:extLst>
        </xdr:cNvPr>
        <xdr:cNvPicPr>
          <a:picLocks noChangeAspect="1"/>
        </xdr:cNvPicPr>
      </xdr:nvPicPr>
      <xdr:blipFill>
        <a:blip xmlns:r="http://schemas.openxmlformats.org/officeDocument/2006/relationships" r:embed="rId3" cstate="print">
          <a:clrChange>
            <a:clrFrom>
              <a:srgbClr val="FFE09E"/>
            </a:clrFrom>
            <a:clrTo>
              <a:srgbClr val="FFE09E">
                <a:alpha val="0"/>
              </a:srgbClr>
            </a:clrTo>
          </a:clrChange>
          <a:extLst>
            <a:ext uri="{28A0092B-C50C-407E-A947-70E740481C1C}">
              <a14:useLocalDpi xmlns:a14="http://schemas.microsoft.com/office/drawing/2010/main" val="0"/>
            </a:ext>
          </a:extLst>
        </a:blip>
        <a:srcRect l="63211" t="43507"/>
        <a:stretch>
          <a:fillRect/>
        </a:stretch>
      </xdr:blipFill>
      <xdr:spPr bwMode="auto">
        <a:xfrm>
          <a:off x="3514725" y="4829175"/>
          <a:ext cx="30480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276225</xdr:colOff>
      <xdr:row>9</xdr:row>
      <xdr:rowOff>28575</xdr:rowOff>
    </xdr:from>
    <xdr:to>
      <xdr:col>8</xdr:col>
      <xdr:colOff>85725</xdr:colOff>
      <xdr:row>20</xdr:row>
      <xdr:rowOff>190500</xdr:rowOff>
    </xdr:to>
    <xdr:pic>
      <xdr:nvPicPr>
        <xdr:cNvPr id="11556551" name="Picture 12" descr="Screen Clipping">
          <a:extLst>
            <a:ext uri="{FF2B5EF4-FFF2-40B4-BE49-F238E27FC236}">
              <a16:creationId xmlns:a16="http://schemas.microsoft.com/office/drawing/2014/main" id="{00000000-0008-0000-2900-0000C756B000}"/>
            </a:ext>
          </a:extLst>
        </xdr:cNvPr>
        <xdr:cNvPicPr>
          <a:picLocks noChangeAspect="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105025" y="2847975"/>
          <a:ext cx="4038600"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16</xdr:row>
      <xdr:rowOff>142875</xdr:rowOff>
    </xdr:from>
    <xdr:to>
      <xdr:col>2</xdr:col>
      <xdr:colOff>180975</xdr:colOff>
      <xdr:row>19</xdr:row>
      <xdr:rowOff>19050</xdr:rowOff>
    </xdr:to>
    <xdr:sp macro="" textlink="">
      <xdr:nvSpPr>
        <xdr:cNvPr id="11556552" name="Right Arrow 1">
          <a:extLst>
            <a:ext uri="{FF2B5EF4-FFF2-40B4-BE49-F238E27FC236}">
              <a16:creationId xmlns:a16="http://schemas.microsoft.com/office/drawing/2014/main" id="{00000000-0008-0000-2900-0000C856B000}"/>
            </a:ext>
          </a:extLst>
        </xdr:cNvPr>
        <xdr:cNvSpPr>
          <a:spLocks noChangeArrowheads="1"/>
        </xdr:cNvSpPr>
      </xdr:nvSpPr>
      <xdr:spPr bwMode="auto">
        <a:xfrm>
          <a:off x="933450" y="4095750"/>
          <a:ext cx="1076325" cy="361950"/>
        </a:xfrm>
        <a:prstGeom prst="rightArrow">
          <a:avLst>
            <a:gd name="adj1" fmla="val 50000"/>
            <a:gd name="adj2" fmla="val 49561"/>
          </a:avLst>
        </a:prstGeom>
        <a:solidFill>
          <a:srgbClr val="D7E4BD"/>
        </a:solidFill>
        <a:ln w="19050" algn="ctr">
          <a:solidFill>
            <a:srgbClr val="000000"/>
          </a:solidFill>
          <a:round/>
          <a:headEnd/>
          <a:tailEnd/>
        </a:ln>
      </xdr:spPr>
    </xdr:sp>
    <xdr:clientData/>
  </xdr:twoCellAnchor>
  <xdr:twoCellAnchor editAs="oneCell">
    <xdr:from>
      <xdr:col>7</xdr:col>
      <xdr:colOff>66675</xdr:colOff>
      <xdr:row>16</xdr:row>
      <xdr:rowOff>19050</xdr:rowOff>
    </xdr:from>
    <xdr:to>
      <xdr:col>8</xdr:col>
      <xdr:colOff>523875</xdr:colOff>
      <xdr:row>18</xdr:row>
      <xdr:rowOff>57150</xdr:rowOff>
    </xdr:to>
    <xdr:sp macro="" textlink="">
      <xdr:nvSpPr>
        <xdr:cNvPr id="11556553" name="Right Arrow 23">
          <a:extLst>
            <a:ext uri="{FF2B5EF4-FFF2-40B4-BE49-F238E27FC236}">
              <a16:creationId xmlns:a16="http://schemas.microsoft.com/office/drawing/2014/main" id="{00000000-0008-0000-2900-0000C956B000}"/>
            </a:ext>
            <a:ext uri="{147F2762-F138-4A5C-976F-8EAC2B608ADB}">
              <a16:predDERef xmlns:a16="http://schemas.microsoft.com/office/drawing/2014/main" pred="{00000000-0008-0000-2900-0000C856B000}"/>
            </a:ext>
          </a:extLst>
        </xdr:cNvPr>
        <xdr:cNvSpPr>
          <a:spLocks noChangeArrowheads="1"/>
        </xdr:cNvSpPr>
      </xdr:nvSpPr>
      <xdr:spPr bwMode="auto">
        <a:xfrm>
          <a:off x="5743575" y="3800475"/>
          <a:ext cx="1076325" cy="361950"/>
        </a:xfrm>
        <a:prstGeom prst="rightArrow">
          <a:avLst>
            <a:gd name="adj1" fmla="val 50000"/>
            <a:gd name="adj2" fmla="val 49561"/>
          </a:avLst>
        </a:prstGeom>
        <a:solidFill>
          <a:srgbClr val="B9CDE5"/>
        </a:solidFill>
        <a:ln w="19050" algn="ctr">
          <a:solidFill>
            <a:srgbClr val="000000"/>
          </a:solidFill>
          <a:round/>
          <a:headEnd/>
          <a:tailEnd/>
        </a:ln>
      </xdr:spPr>
    </xdr:sp>
    <xdr:clientData/>
  </xdr:twoCellAnchor>
  <xdr:twoCellAnchor editAs="oneCell">
    <xdr:from>
      <xdr:col>8</xdr:col>
      <xdr:colOff>114300</xdr:colOff>
      <xdr:row>19</xdr:row>
      <xdr:rowOff>38100</xdr:rowOff>
    </xdr:from>
    <xdr:to>
      <xdr:col>9</xdr:col>
      <xdr:colOff>523875</xdr:colOff>
      <xdr:row>21</xdr:row>
      <xdr:rowOff>26625</xdr:rowOff>
    </xdr:to>
    <xdr:sp macro="" textlink="">
      <xdr:nvSpPr>
        <xdr:cNvPr id="11556554" name="Right Arrow 24">
          <a:extLst>
            <a:ext uri="{FF2B5EF4-FFF2-40B4-BE49-F238E27FC236}">
              <a16:creationId xmlns:a16="http://schemas.microsoft.com/office/drawing/2014/main" id="{00000000-0008-0000-2900-0000CA56B000}"/>
            </a:ext>
          </a:extLst>
        </xdr:cNvPr>
        <xdr:cNvSpPr>
          <a:spLocks noChangeArrowheads="1"/>
        </xdr:cNvSpPr>
      </xdr:nvSpPr>
      <xdr:spPr bwMode="auto">
        <a:xfrm>
          <a:off x="6410325" y="4371975"/>
          <a:ext cx="1076325" cy="360000"/>
        </a:xfrm>
        <a:prstGeom prst="rightArrow">
          <a:avLst>
            <a:gd name="adj1" fmla="val 50000"/>
            <a:gd name="adj2" fmla="val 49561"/>
          </a:avLst>
        </a:prstGeom>
        <a:solidFill>
          <a:srgbClr val="E6B9B8"/>
        </a:solidFill>
        <a:ln w="19050" algn="ctr">
          <a:solidFill>
            <a:srgbClr val="000000"/>
          </a:solidFill>
          <a:round/>
          <a:headEnd/>
          <a:tailEnd/>
        </a:ln>
      </xdr:spPr>
    </xdr:sp>
    <xdr:clientData/>
  </xdr:twoCellAnchor>
  <xdr:twoCellAnchor>
    <xdr:from>
      <xdr:col>6</xdr:col>
      <xdr:colOff>0</xdr:colOff>
      <xdr:row>37</xdr:row>
      <xdr:rowOff>38100</xdr:rowOff>
    </xdr:from>
    <xdr:to>
      <xdr:col>7</xdr:col>
      <xdr:colOff>0</xdr:colOff>
      <xdr:row>40</xdr:row>
      <xdr:rowOff>47625</xdr:rowOff>
    </xdr:to>
    <xdr:sp macro="" textlink="">
      <xdr:nvSpPr>
        <xdr:cNvPr id="11556555" name="Rectangle 12">
          <a:extLst>
            <a:ext uri="{FF2B5EF4-FFF2-40B4-BE49-F238E27FC236}">
              <a16:creationId xmlns:a16="http://schemas.microsoft.com/office/drawing/2014/main" id="{00000000-0008-0000-2900-0000CB56B000}"/>
            </a:ext>
          </a:extLst>
        </xdr:cNvPr>
        <xdr:cNvSpPr>
          <a:spLocks noChangeArrowheads="1"/>
        </xdr:cNvSpPr>
      </xdr:nvSpPr>
      <xdr:spPr bwMode="auto">
        <a:xfrm>
          <a:off x="4762500" y="7305675"/>
          <a:ext cx="6762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editAs="oneCell">
    <xdr:from>
      <xdr:col>2</xdr:col>
      <xdr:colOff>28575</xdr:colOff>
      <xdr:row>44</xdr:row>
      <xdr:rowOff>9525</xdr:rowOff>
    </xdr:from>
    <xdr:to>
      <xdr:col>3</xdr:col>
      <xdr:colOff>447675</xdr:colOff>
      <xdr:row>46</xdr:row>
      <xdr:rowOff>0</xdr:rowOff>
    </xdr:to>
    <xdr:sp macro="" textlink="">
      <xdr:nvSpPr>
        <xdr:cNvPr id="11556556" name="Rectangle 37">
          <a:extLst>
            <a:ext uri="{FF2B5EF4-FFF2-40B4-BE49-F238E27FC236}">
              <a16:creationId xmlns:a16="http://schemas.microsoft.com/office/drawing/2014/main" id="{00000000-0008-0000-2900-0000CC56B000}"/>
            </a:ext>
          </a:extLst>
        </xdr:cNvPr>
        <xdr:cNvSpPr>
          <a:spLocks noChangeArrowheads="1"/>
        </xdr:cNvSpPr>
      </xdr:nvSpPr>
      <xdr:spPr bwMode="auto">
        <a:xfrm>
          <a:off x="1857375" y="8420100"/>
          <a:ext cx="11525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round/>
              <a:headEnd/>
              <a:tailEnd/>
            </a14:hiddenLine>
          </a:ext>
        </a:extLst>
      </xdr:spPr>
    </xdr:sp>
    <xdr:clientData/>
  </xdr:twoCellAnchor>
  <xdr:twoCellAnchor>
    <xdr:from>
      <xdr:col>3</xdr:col>
      <xdr:colOff>447675</xdr:colOff>
      <xdr:row>40</xdr:row>
      <xdr:rowOff>57150</xdr:rowOff>
    </xdr:from>
    <xdr:to>
      <xdr:col>6</xdr:col>
      <xdr:colOff>342900</xdr:colOff>
      <xdr:row>44</xdr:row>
      <xdr:rowOff>93450</xdr:rowOff>
    </xdr:to>
    <xdr:cxnSp macro="">
      <xdr:nvCxnSpPr>
        <xdr:cNvPr id="11556557" name="Elbow Connector 14">
          <a:extLst>
            <a:ext uri="{FF2B5EF4-FFF2-40B4-BE49-F238E27FC236}">
              <a16:creationId xmlns:a16="http://schemas.microsoft.com/office/drawing/2014/main" id="{00000000-0008-0000-2900-0000CD56B000}"/>
            </a:ext>
          </a:extLst>
        </xdr:cNvPr>
        <xdr:cNvCxnSpPr>
          <a:cxnSpLocks noChangeShapeType="1"/>
        </xdr:cNvCxnSpPr>
      </xdr:nvCxnSpPr>
      <xdr:spPr bwMode="auto">
        <a:xfrm flipV="1">
          <a:off x="3248025" y="7867650"/>
          <a:ext cx="2095500" cy="684000"/>
        </a:xfrm>
        <a:prstGeom prst="bentConnector2">
          <a:avLst/>
        </a:prstGeom>
        <a:noFill/>
        <a:ln w="1905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495303</xdr:colOff>
      <xdr:row>3</xdr:row>
      <xdr:rowOff>66674</xdr:rowOff>
    </xdr:from>
    <xdr:to>
      <xdr:col>8</xdr:col>
      <xdr:colOff>554027</xdr:colOff>
      <xdr:row>19</xdr:row>
      <xdr:rowOff>53849</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artisticWatercolorSponge/>
                  </a14:imgEffect>
                </a14:imgLayer>
              </a14:imgProps>
            </a:ext>
            <a:ext uri="{28A0092B-C50C-407E-A947-70E740481C1C}">
              <a14:useLocalDpi xmlns:a14="http://schemas.microsoft.com/office/drawing/2010/main" val="0"/>
            </a:ext>
          </a:extLst>
        </a:blip>
        <a:stretch>
          <a:fillRect/>
        </a:stretch>
      </xdr:blipFill>
      <xdr:spPr>
        <a:xfrm>
          <a:off x="3124203" y="1609724"/>
          <a:ext cx="2497124" cy="2016000"/>
        </a:xfrm>
        <a:prstGeom prst="rect">
          <a:avLst/>
        </a:prstGeom>
        <a:ln>
          <a:noFill/>
        </a:ln>
        <a:effectLst>
          <a:softEdge rad="112500"/>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133350</xdr:rowOff>
    </xdr:from>
    <xdr:to>
      <xdr:col>0</xdr:col>
      <xdr:colOff>666750</xdr:colOff>
      <xdr:row>0</xdr:row>
      <xdr:rowOff>421943</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biLevel thresh="25000"/>
          <a:extLst>
            <a:ext uri="{28A0092B-C50C-407E-A947-70E740481C1C}">
              <a14:useLocalDpi xmlns:a14="http://schemas.microsoft.com/office/drawing/2010/main" val="0"/>
            </a:ext>
          </a:extLst>
        </a:blip>
        <a:stretch>
          <a:fillRect/>
        </a:stretch>
      </xdr:blipFill>
      <xdr:spPr>
        <a:xfrm>
          <a:off x="1" y="133350"/>
          <a:ext cx="666749" cy="288593"/>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2</xdr:col>
      <xdr:colOff>285750</xdr:colOff>
      <xdr:row>0</xdr:row>
      <xdr:rowOff>246545</xdr:rowOff>
    </xdr:to>
    <xdr:sp macro="" textlink="">
      <xdr:nvSpPr>
        <xdr:cNvPr id="2" name="Rectangle 5">
          <a:hlinkClick xmlns:r="http://schemas.openxmlformats.org/officeDocument/2006/relationships" r:id="rId1"/>
          <a:extLst>
            <a:ext uri="{FF2B5EF4-FFF2-40B4-BE49-F238E27FC236}">
              <a16:creationId xmlns:a16="http://schemas.microsoft.com/office/drawing/2014/main" id="{00000000-0008-0000-0300-000002000000}"/>
            </a:ext>
          </a:extLst>
        </xdr:cNvPr>
        <xdr:cNvSpPr>
          <a:spLocks noChangeArrowheads="1"/>
        </xdr:cNvSpPr>
      </xdr:nvSpPr>
      <xdr:spPr bwMode="auto">
        <a:xfrm>
          <a:off x="0" y="0"/>
          <a:ext cx="733425" cy="246545"/>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xdr:col>
      <xdr:colOff>390525</xdr:colOff>
      <xdr:row>0</xdr:row>
      <xdr:rowOff>246545</xdr:rowOff>
    </xdr:to>
    <xdr:sp macro="" textlink="">
      <xdr:nvSpPr>
        <xdr:cNvPr id="3" name="Rectangle 5">
          <a:hlinkClick xmlns:r="http://schemas.openxmlformats.org/officeDocument/2006/relationships" r:id="rId1"/>
          <a:extLst>
            <a:ext uri="{FF2B5EF4-FFF2-40B4-BE49-F238E27FC236}">
              <a16:creationId xmlns:a16="http://schemas.microsoft.com/office/drawing/2014/main" id="{00000000-0008-0000-0600-000003000000}"/>
            </a:ext>
          </a:extLst>
        </xdr:cNvPr>
        <xdr:cNvSpPr>
          <a:spLocks noChangeArrowheads="1"/>
        </xdr:cNvSpPr>
      </xdr:nvSpPr>
      <xdr:spPr bwMode="auto">
        <a:xfrm>
          <a:off x="0" y="0"/>
          <a:ext cx="733425" cy="246545"/>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9524</xdr:colOff>
      <xdr:row>0</xdr:row>
      <xdr:rowOff>0</xdr:rowOff>
    </xdr:from>
    <xdr:to>
      <xdr:col>0</xdr:col>
      <xdr:colOff>729524</xdr:colOff>
      <xdr:row>0</xdr:row>
      <xdr:rowOff>252000</xdr:rowOff>
    </xdr:to>
    <xdr:sp macro="" textlink="">
      <xdr:nvSpPr>
        <xdr:cNvPr id="2" name="Rectangle 5">
          <a:hlinkClick xmlns:r="http://schemas.openxmlformats.org/officeDocument/2006/relationships" r:id="rId1"/>
          <a:extLst>
            <a:ext uri="{FF2B5EF4-FFF2-40B4-BE49-F238E27FC236}">
              <a16:creationId xmlns:a16="http://schemas.microsoft.com/office/drawing/2014/main" id="{00000000-0008-0000-0700-000002000000}"/>
            </a:ext>
          </a:extLst>
        </xdr:cNvPr>
        <xdr:cNvSpPr>
          <a:spLocks noChangeArrowheads="1"/>
        </xdr:cNvSpPr>
      </xdr:nvSpPr>
      <xdr:spPr bwMode="auto">
        <a:xfrm>
          <a:off x="9524" y="0"/>
          <a:ext cx="720000" cy="2520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733425</xdr:colOff>
      <xdr:row>0</xdr:row>
      <xdr:rowOff>246545</xdr:rowOff>
    </xdr:to>
    <xdr:sp macro="" textlink="">
      <xdr:nvSpPr>
        <xdr:cNvPr id="2" name="Rectangle 5">
          <a:hlinkClick xmlns:r="http://schemas.openxmlformats.org/officeDocument/2006/relationships" r:id="rId1"/>
          <a:extLst>
            <a:ext uri="{FF2B5EF4-FFF2-40B4-BE49-F238E27FC236}">
              <a16:creationId xmlns:a16="http://schemas.microsoft.com/office/drawing/2014/main" id="{00000000-0008-0000-0800-000002000000}"/>
            </a:ext>
          </a:extLst>
        </xdr:cNvPr>
        <xdr:cNvSpPr>
          <a:spLocks noChangeArrowheads="1"/>
        </xdr:cNvSpPr>
      </xdr:nvSpPr>
      <xdr:spPr bwMode="auto">
        <a:xfrm>
          <a:off x="0" y="0"/>
          <a:ext cx="733425" cy="246545"/>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720000</xdr:colOff>
      <xdr:row>0</xdr:row>
      <xdr:rowOff>252000</xdr:rowOff>
    </xdr:to>
    <xdr:sp macro="" textlink="">
      <xdr:nvSpPr>
        <xdr:cNvPr id="2" name="Rectangle 5">
          <a:hlinkClick xmlns:r="http://schemas.openxmlformats.org/officeDocument/2006/relationships" r:id="rId1"/>
          <a:extLst>
            <a:ext uri="{FF2B5EF4-FFF2-40B4-BE49-F238E27FC236}">
              <a16:creationId xmlns:a16="http://schemas.microsoft.com/office/drawing/2014/main" id="{00000000-0008-0000-0900-000002000000}"/>
            </a:ext>
          </a:extLst>
        </xdr:cNvPr>
        <xdr:cNvSpPr>
          <a:spLocks noChangeArrowheads="1"/>
        </xdr:cNvSpPr>
      </xdr:nvSpPr>
      <xdr:spPr bwMode="auto">
        <a:xfrm>
          <a:off x="0" y="0"/>
          <a:ext cx="720000" cy="2520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0</xdr:col>
      <xdr:colOff>720000</xdr:colOff>
      <xdr:row>0</xdr:row>
      <xdr:rowOff>252000</xdr:rowOff>
    </xdr:to>
    <xdr:sp macro="" textlink="">
      <xdr:nvSpPr>
        <xdr:cNvPr id="3" name="Rectangle 5">
          <a:hlinkClick xmlns:r="http://schemas.openxmlformats.org/officeDocument/2006/relationships" r:id="rId1"/>
          <a:extLst>
            <a:ext uri="{FF2B5EF4-FFF2-40B4-BE49-F238E27FC236}">
              <a16:creationId xmlns:a16="http://schemas.microsoft.com/office/drawing/2014/main" id="{00000000-0008-0000-0A00-000003000000}"/>
            </a:ext>
          </a:extLst>
        </xdr:cNvPr>
        <xdr:cNvSpPr>
          <a:spLocks noChangeArrowheads="1"/>
        </xdr:cNvSpPr>
      </xdr:nvSpPr>
      <xdr:spPr bwMode="auto">
        <a:xfrm>
          <a:off x="0" y="0"/>
          <a:ext cx="720000" cy="252000"/>
        </a:xfrm>
        <a:prstGeom prst="rect">
          <a:avLst/>
        </a:prstGeom>
        <a:gradFill rotWithShape="0">
          <a:gsLst>
            <a:gs pos="0">
              <a:srgbClr val="FFFFFF"/>
            </a:gs>
            <a:gs pos="100000">
              <a:srgbClr val="D4DEF5"/>
            </a:gs>
          </a:gsLst>
          <a:lin ang="5400000" scaled="1"/>
        </a:gradFill>
        <a:ln w="9525" algn="ctr">
          <a:solidFill>
            <a:srgbClr val="000000"/>
          </a:solidFill>
          <a:round/>
          <a:headEnd/>
          <a:tailEnd/>
        </a:ln>
        <a:effectLst/>
      </xdr:spPr>
      <xdr:txBody>
        <a:bodyPr vertOverflow="clip" wrap="square" lIns="18288" tIns="0" rIns="0" bIns="0" anchor="ctr" upright="1"/>
        <a:lstStyle/>
        <a:p>
          <a:pPr algn="ctr" rtl="0">
            <a:defRPr sz="1000"/>
          </a:pPr>
          <a:r>
            <a:rPr lang="en-GB" sz="1000" b="0" i="0" strike="noStrike">
              <a:solidFill>
                <a:srgbClr val="000000"/>
              </a:solidFill>
              <a:latin typeface="Arial"/>
              <a:cs typeface="Arial"/>
            </a:rPr>
            <a:t>Menu</a:t>
          </a:r>
        </a:p>
      </xdr:txBody>
    </xdr:sp>
    <xdr:clientData/>
  </xdr:twoCellAnchor>
</xdr:wsDr>
</file>

<file path=xl/persons/person.xml><?xml version="1.0" encoding="utf-8"?>
<personList xmlns="http://schemas.microsoft.com/office/spreadsheetml/2018/threadedcomments" xmlns:x="http://schemas.openxmlformats.org/spreadsheetml/2006/main">
  <person displayName="Maluta Kwinda" id="{0C7A6A63-11FF-4508-ACF7-DB703C31F376}" userId="S::maluta.kwinda@dmre.gov.za::8e2210a7-4d11-4199-a535-963c42c17a6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Y6" dT="2025-02-04T07:45:57.44" personId="{0C7A6A63-11FF-4508-ACF7-DB703C31F376}" id="{890E386B-F5E4-4771-AE8E-8CD9B07A9EB4}">
    <text>SASOL report on Production and Sales METRICS</text>
  </threadedComment>
  <threadedComment ref="Y7" dT="2025-02-04T07:48:08.07" personId="{0C7A6A63-11FF-4508-ACF7-DB703C31F376}" id="{E58C16AF-FB1C-47BD-A004-BBF797A8F84E}">
    <text>Gas liquefaction value from Sasol sales data x 23.88 minus 40% assuming 60% GTL Efficiency</text>
  </threadedComment>
  <threadedComment ref="D12" dT="2023-09-29T12:58:33.71" personId="{0C7A6A63-11FF-4508-ACF7-DB703C31F376}" id="{620C7718-F5AF-4AC6-9BB2-C5CC1DF24921}">
    <text>Assumed that there was no export for Coking coal and therefore efficiencies fell within ranges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26.bin"/><Relationship Id="rId1" Type="http://schemas.openxmlformats.org/officeDocument/2006/relationships/hyperlink" Target="http://www.iea.org/publications/freepublications/publication/energy-statistics-manual.html" TargetMode="External"/><Relationship Id="rId5" Type="http://schemas.openxmlformats.org/officeDocument/2006/relationships/comments" Target="../comments17.xml"/><Relationship Id="rId4" Type="http://schemas.openxmlformats.org/officeDocument/2006/relationships/vmlDrawing" Target="../drawings/vmlDrawing17.v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unstats.un.org/unsd/energy/ires/" TargetMode="External"/><Relationship Id="rId1" Type="http://schemas.openxmlformats.org/officeDocument/2006/relationships/hyperlink" Target="https://unstats.un.org/unsd/energy/ires/" TargetMode="External"/><Relationship Id="rId4"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7.bin"/><Relationship Id="rId1" Type="http://schemas.openxmlformats.org/officeDocument/2006/relationships/hyperlink" Target="http://www.iea.org/publications/freepublications/publication/energy-statistics-manual.html" TargetMode="External"/><Relationship Id="rId5" Type="http://schemas.openxmlformats.org/officeDocument/2006/relationships/comments" Target="../comments18.xml"/><Relationship Id="rId4" Type="http://schemas.openxmlformats.org/officeDocument/2006/relationships/vmlDrawing" Target="../drawings/vmlDrawing18.vm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28.bin"/><Relationship Id="rId1" Type="http://schemas.openxmlformats.org/officeDocument/2006/relationships/hyperlink" Target="http://www.iea.org/publications/freepublications/publication/energy-statistics-manual.html"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unstats.un.org/unsd/energy/ires/default.htm" TargetMode="External"/><Relationship Id="rId1" Type="http://schemas.openxmlformats.org/officeDocument/2006/relationships/hyperlink" Target="http://www.iea.org/publications/freepublications/publication/energy-statistics-manual.html" TargetMode="External"/><Relationship Id="rId5" Type="http://schemas.openxmlformats.org/officeDocument/2006/relationships/comments" Target="../comments19.xml"/><Relationship Id="rId4" Type="http://schemas.openxmlformats.org/officeDocument/2006/relationships/vmlDrawing" Target="../drawings/vmlDrawing19.v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30.bin"/><Relationship Id="rId4" Type="http://schemas.openxmlformats.org/officeDocument/2006/relationships/comments" Target="../comments20.xm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31.bin"/><Relationship Id="rId1" Type="http://schemas.openxmlformats.org/officeDocument/2006/relationships/hyperlink" Target="http://www.iea.org/publications/freepublications/publication/energy-statistics-manual.html" TargetMode="External"/></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microsoft.com/office/2017/10/relationships/threadedComment" Target="../threadedComments/threadedComment1.xml"/><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sheetPr>
  <dimension ref="A1:AH136"/>
  <sheetViews>
    <sheetView showGridLines="0" zoomScaleNormal="100" workbookViewId="0">
      <selection activeCell="K12" sqref="K12"/>
    </sheetView>
  </sheetViews>
  <sheetFormatPr defaultColWidth="9.140625" defaultRowHeight="12.75" x14ac:dyDescent="0.2"/>
  <cols>
    <col min="1" max="1" width="3.140625" style="3" customWidth="1"/>
    <col min="2" max="2" width="6.85546875" style="3" customWidth="1"/>
    <col min="3" max="3" width="8.85546875" style="3" customWidth="1"/>
    <col min="4" max="4" width="13.42578125" style="3" customWidth="1"/>
    <col min="5" max="6" width="9.140625" style="3" customWidth="1"/>
    <col min="7" max="10" width="9.140625" style="3"/>
    <col min="11" max="11" width="13.42578125" style="3" customWidth="1"/>
    <col min="12" max="12" width="14.7109375" style="3" customWidth="1"/>
    <col min="13" max="13" width="10.42578125" style="3" customWidth="1"/>
    <col min="14" max="14" width="6.85546875" style="3" customWidth="1"/>
    <col min="15" max="15" width="12.140625" style="3" customWidth="1"/>
    <col min="16" max="16" width="7.140625" style="3" customWidth="1"/>
    <col min="17" max="25" width="9.140625" style="3"/>
    <col min="26" max="26" width="9.140625" style="3" customWidth="1"/>
    <col min="27" max="27" width="20.42578125" style="3" hidden="1" customWidth="1"/>
    <col min="28" max="28" width="3" style="3" hidden="1" customWidth="1"/>
    <col min="29" max="29" width="27.7109375" style="3" hidden="1" customWidth="1"/>
    <col min="30" max="30" width="25.28515625" style="3" hidden="1" customWidth="1"/>
    <col min="31" max="32" width="9.140625" style="3" hidden="1" customWidth="1"/>
    <col min="33" max="52" width="9.140625" style="3" customWidth="1"/>
    <col min="53" max="16384" width="9.140625" style="3"/>
  </cols>
  <sheetData>
    <row r="1" spans="1:32" s="517" customFormat="1" ht="25.5" customHeight="1" x14ac:dyDescent="0.2">
      <c r="A1" s="2132"/>
      <c r="B1" s="2091"/>
      <c r="C1" s="2091"/>
      <c r="D1" s="2092" t="str">
        <f>HLOOKUP(LangChoice,$AC$3:$AE$67,$AB5+2)</f>
        <v>IEA Balance Builder</v>
      </c>
      <c r="E1" s="2093"/>
      <c r="F1" s="2093"/>
      <c r="G1" s="2093"/>
      <c r="H1" s="2093"/>
      <c r="I1" s="2094"/>
      <c r="J1" s="2093"/>
      <c r="K1" s="2093"/>
      <c r="L1" s="2266" t="s">
        <v>0</v>
      </c>
      <c r="M1" s="2266"/>
      <c r="N1" s="2103"/>
      <c r="O1" s="5"/>
      <c r="P1" s="5"/>
      <c r="Q1" s="5"/>
      <c r="R1" s="5"/>
      <c r="S1" s="5"/>
      <c r="T1" s="5"/>
      <c r="U1" s="5"/>
      <c r="V1" s="5"/>
      <c r="W1" s="5"/>
      <c r="X1" s="5"/>
      <c r="Y1" s="5"/>
      <c r="Z1" s="5"/>
      <c r="AA1" s="618" t="s">
        <v>1</v>
      </c>
      <c r="AB1" s="808"/>
      <c r="AC1" s="808"/>
      <c r="AD1" s="2152"/>
      <c r="AE1" s="808"/>
      <c r="AF1" s="723" t="s">
        <v>2</v>
      </c>
    </row>
    <row r="2" spans="1:32" s="517" customFormat="1" ht="15.75" customHeight="1" thickBot="1" x14ac:dyDescent="0.25">
      <c r="A2" s="2133"/>
      <c r="B2" s="2134"/>
      <c r="C2" s="2135"/>
      <c r="D2" s="2095" t="str">
        <f>HLOOKUP(LangChoice,$AC$3:$AE$67,$AB6+2)</f>
        <v>Version:</v>
      </c>
      <c r="E2" s="2096" t="s">
        <v>3</v>
      </c>
      <c r="F2" s="2097"/>
      <c r="G2" s="2095" t="s">
        <v>4</v>
      </c>
      <c r="H2" s="2156"/>
      <c r="I2" s="2098"/>
      <c r="J2" s="2098"/>
      <c r="K2" s="2098"/>
      <c r="L2" s="2267"/>
      <c r="M2" s="2267"/>
      <c r="N2" s="2098"/>
      <c r="O2" s="5"/>
      <c r="P2" s="5"/>
      <c r="Q2" s="5"/>
      <c r="R2" s="5"/>
      <c r="S2" s="5"/>
      <c r="T2" s="5"/>
      <c r="U2" s="5"/>
      <c r="V2" s="5"/>
      <c r="W2" s="5"/>
      <c r="X2" s="5"/>
      <c r="Y2" s="5"/>
      <c r="Z2" s="5"/>
      <c r="AA2" s="15"/>
      <c r="AB2" s="15"/>
      <c r="AC2" s="530" t="s">
        <v>5</v>
      </c>
      <c r="AD2" s="1255"/>
      <c r="AE2" s="1255"/>
      <c r="AF2" s="1323" t="s">
        <v>6</v>
      </c>
    </row>
    <row r="3" spans="1:32" s="517" customFormat="1" ht="41.25" customHeight="1" thickBot="1" x14ac:dyDescent="0.25">
      <c r="A3" s="2133"/>
      <c r="B3" s="2136"/>
      <c r="C3" s="2137"/>
      <c r="D3" s="2272" t="str">
        <f>HLOOKUP(LangChoice,$AC$3:$AE$67,$AB7+2)</f>
        <v>Compatible with the joint IEA-Eurostat-UNECE questionnaires collecting data for: 2021
(for use with EXCEL 2007 or more recent version)</v>
      </c>
      <c r="E3" s="2272"/>
      <c r="F3" s="2272"/>
      <c r="G3" s="2272"/>
      <c r="H3" s="2272"/>
      <c r="I3" s="2272"/>
      <c r="J3" s="2099"/>
      <c r="K3" s="2100"/>
      <c r="L3" s="2276" t="s">
        <v>7</v>
      </c>
      <c r="M3" s="2277"/>
      <c r="N3" s="2102"/>
      <c r="O3" s="5"/>
      <c r="P3" s="5"/>
      <c r="Q3" s="5"/>
      <c r="R3" s="5"/>
      <c r="S3" s="5"/>
      <c r="T3" s="5"/>
      <c r="U3" s="5"/>
      <c r="V3" s="5"/>
      <c r="W3" s="5"/>
      <c r="X3" s="5"/>
      <c r="Y3" s="5"/>
      <c r="Z3" s="5"/>
      <c r="AA3" s="15"/>
      <c r="AB3" s="15"/>
      <c r="AC3" s="530" t="s">
        <v>7</v>
      </c>
      <c r="AD3" s="530" t="s">
        <v>8</v>
      </c>
      <c r="AE3" s="1043"/>
      <c r="AF3" s="530" t="s">
        <v>9</v>
      </c>
    </row>
    <row r="4" spans="1:32" s="5" customFormat="1" ht="4.5" customHeight="1" x14ac:dyDescent="0.2">
      <c r="A4" s="2138"/>
      <c r="B4" s="2139"/>
      <c r="C4" s="2139"/>
      <c r="D4" s="2101"/>
      <c r="E4" s="2101"/>
      <c r="F4" s="2101"/>
      <c r="G4" s="2101"/>
      <c r="H4" s="2101"/>
      <c r="I4" s="2101"/>
      <c r="J4" s="2101"/>
      <c r="K4" s="2101"/>
      <c r="L4" s="2101"/>
      <c r="M4" s="2101"/>
      <c r="N4" s="2101"/>
      <c r="AA4" s="15"/>
      <c r="AB4" s="15"/>
      <c r="AC4" s="15"/>
      <c r="AD4" s="15"/>
      <c r="AE4" s="15"/>
    </row>
    <row r="5" spans="1:32" s="5" customFormat="1" ht="24" customHeight="1" x14ac:dyDescent="0.2">
      <c r="B5" s="2274" t="str">
        <f t="shared" ref="B5:B17" si="0">HLOOKUP(LangChoice,$AC$3:$AE$67,$AB8+2)</f>
        <v>The main purpose of this tool is to build a country energy balance following the IEA methodology. This can be done by:</v>
      </c>
      <c r="C5" s="2274"/>
      <c r="D5" s="2274"/>
      <c r="E5" s="2274"/>
      <c r="F5" s="2274"/>
      <c r="G5" s="2274"/>
      <c r="H5" s="2274"/>
      <c r="I5" s="2274"/>
      <c r="J5" s="2274"/>
      <c r="K5" s="2274"/>
      <c r="L5" s="2274"/>
      <c r="M5" s="2274"/>
      <c r="N5" s="536"/>
      <c r="AA5" s="15"/>
      <c r="AB5" s="20">
        <v>1</v>
      </c>
      <c r="AC5" s="20" t="s">
        <v>10</v>
      </c>
      <c r="AD5" s="20" t="s">
        <v>11</v>
      </c>
      <c r="AE5" s="20" t="s">
        <v>12</v>
      </c>
    </row>
    <row r="6" spans="1:32" s="5" customFormat="1" x14ac:dyDescent="0.2">
      <c r="B6" s="835" t="str">
        <f>HLOOKUP(LangChoice,$AC$3:$AE$67,$AB9+2)</f>
        <v>A) by automatically loading data from the IEA data questionnaires (2021 data requested in August 2022)</v>
      </c>
      <c r="D6" s="535"/>
      <c r="E6" s="535"/>
      <c r="F6" s="535"/>
      <c r="G6" s="535"/>
      <c r="H6" s="535"/>
      <c r="I6" s="535"/>
      <c r="J6" s="535"/>
      <c r="K6" s="535"/>
      <c r="L6" s="535"/>
      <c r="AA6" s="15"/>
      <c r="AB6" s="20">
        <v>2</v>
      </c>
      <c r="AC6" s="20" t="s">
        <v>13</v>
      </c>
      <c r="AD6" s="20" t="s">
        <v>14</v>
      </c>
      <c r="AE6" s="20" t="s">
        <v>12</v>
      </c>
    </row>
    <row r="7" spans="1:32" s="5" customFormat="1" x14ac:dyDescent="0.2">
      <c r="B7" s="835" t="str">
        <f t="shared" si="0"/>
        <v>B) by manually filling the "Data in physical units" and "Conversion factors" worksheets.</v>
      </c>
      <c r="C7" s="535"/>
      <c r="D7" s="535"/>
      <c r="E7" s="535"/>
      <c r="F7" s="535"/>
      <c r="G7" s="535"/>
      <c r="H7" s="535"/>
      <c r="I7" s="535"/>
      <c r="J7" s="535"/>
      <c r="K7" s="535"/>
      <c r="L7" s="535"/>
      <c r="AA7" s="15"/>
      <c r="AB7" s="20">
        <v>3</v>
      </c>
      <c r="AC7" s="20" t="str">
        <f>"Compatible with the joint IEA-Eurostat-UNECE questionnaires collecting data for: 2021
(for use with EXCEL 2007 or more recent version)"</f>
        <v>Compatible with the joint IEA-Eurostat-UNECE questionnaires collecting data for: 2021
(for use with EXCEL 2007 or more recent version)</v>
      </c>
      <c r="AD7" s="20" t="str">
        <f>"Сопоставимые с совместными вопросниками МЭА-Евростата-ЕЭК ООН по данным за " &amp; LatestYear &amp; " год
(для использования с EXCEL 2007 или более поздней версией)"</f>
        <v>Сопоставимые с совместными вопросниками МЭА-Евростата-ЕЭК ООН по данным за 2021 год
(для использования с EXCEL 2007 или более поздней версией)</v>
      </c>
      <c r="AE7" s="20" t="s">
        <v>12</v>
      </c>
    </row>
    <row r="8" spans="1:32" s="5" customFormat="1" x14ac:dyDescent="0.2">
      <c r="B8" s="835" t="str">
        <f t="shared" si="0"/>
        <v>C) having the IEA load data from their current databases</v>
      </c>
      <c r="C8" s="535"/>
      <c r="D8" s="535"/>
      <c r="E8" s="535"/>
      <c r="F8" s="535"/>
      <c r="G8" s="535"/>
      <c r="H8" s="535"/>
      <c r="I8" s="535"/>
      <c r="J8" s="535"/>
      <c r="K8" s="535"/>
      <c r="L8" s="535"/>
      <c r="AA8" s="15"/>
      <c r="AB8" s="20">
        <v>4</v>
      </c>
      <c r="AC8" s="20" t="s">
        <v>15</v>
      </c>
      <c r="AD8" s="20" t="s">
        <v>16</v>
      </c>
      <c r="AE8" s="20" t="s">
        <v>12</v>
      </c>
    </row>
    <row r="9" spans="1:32" s="35" customFormat="1" ht="15.75" customHeight="1" x14ac:dyDescent="0.2">
      <c r="A9" s="822" t="s">
        <v>17</v>
      </c>
      <c r="B9" s="242" t="str">
        <f t="shared" si="0"/>
        <v>Select your country name from the drop down list or type it in manually:</v>
      </c>
      <c r="C9" s="534"/>
      <c r="D9" s="534"/>
      <c r="E9" s="534"/>
      <c r="F9" s="534"/>
      <c r="G9" s="534"/>
      <c r="H9" s="534"/>
      <c r="I9" s="534"/>
      <c r="O9" s="5"/>
      <c r="P9" s="5"/>
      <c r="Q9" s="5"/>
      <c r="AA9" s="571"/>
      <c r="AB9" s="20">
        <v>5</v>
      </c>
      <c r="AC9" s="20" t="s">
        <v>18</v>
      </c>
      <c r="AD9" s="20" t="s">
        <v>19</v>
      </c>
      <c r="AE9" s="20" t="s">
        <v>12</v>
      </c>
    </row>
    <row r="10" spans="1:32" s="7" customFormat="1" ht="18" customHeight="1" x14ac:dyDescent="0.25">
      <c r="A10" s="541"/>
      <c r="B10" s="2268" t="str">
        <f t="shared" si="0"/>
        <v>Country:</v>
      </c>
      <c r="C10" s="2269" t="str">
        <f>HLOOKUP(LangChoice,$AC$3:$AE$67,$AB13+2)</f>
        <v>Country:</v>
      </c>
      <c r="D10" s="2270" t="s">
        <v>20</v>
      </c>
      <c r="E10" s="2270"/>
      <c r="F10" s="2270"/>
      <c r="G10" s="2270"/>
      <c r="H10" s="2271"/>
      <c r="O10" s="5"/>
      <c r="P10" s="5"/>
      <c r="Q10" s="5"/>
      <c r="AA10" s="541"/>
      <c r="AB10" s="20">
        <v>6</v>
      </c>
      <c r="AC10" s="20" t="s">
        <v>21</v>
      </c>
      <c r="AD10" s="20" t="s">
        <v>22</v>
      </c>
      <c r="AE10" s="20" t="s">
        <v>12</v>
      </c>
    </row>
    <row r="11" spans="1:32" s="35" customFormat="1" ht="15.75" customHeight="1" x14ac:dyDescent="0.2">
      <c r="A11" s="822" t="s">
        <v>23</v>
      </c>
      <c r="B11" s="242" t="str">
        <f t="shared" si="0"/>
        <v>Select the year for which the balance should be built:</v>
      </c>
      <c r="C11" s="534"/>
      <c r="D11" s="534"/>
      <c r="E11" s="534"/>
      <c r="F11" s="534"/>
      <c r="G11" s="534"/>
      <c r="H11" s="534"/>
      <c r="I11" s="534"/>
      <c r="J11" s="534"/>
      <c r="K11" s="534"/>
      <c r="L11" s="534"/>
      <c r="O11" s="5"/>
      <c r="P11" s="5"/>
      <c r="Q11" s="5"/>
      <c r="AA11" s="571"/>
      <c r="AB11" s="20">
        <v>7</v>
      </c>
      <c r="AC11" s="20" t="s">
        <v>24</v>
      </c>
      <c r="AD11" s="20" t="s">
        <v>25</v>
      </c>
      <c r="AE11" s="20" t="s">
        <v>12</v>
      </c>
    </row>
    <row r="12" spans="1:32" s="7" customFormat="1" ht="18" customHeight="1" x14ac:dyDescent="0.25">
      <c r="A12" s="815"/>
      <c r="B12" s="2268" t="str">
        <f t="shared" si="0"/>
        <v>Year:</v>
      </c>
      <c r="C12" s="2275" t="str">
        <f>HLOOKUP(LangChoice,$AC$3:$AE$67,$AB15+2)</f>
        <v>Year:</v>
      </c>
      <c r="D12" s="838">
        <v>2019</v>
      </c>
      <c r="E12" s="16"/>
      <c r="F12" s="16"/>
      <c r="AA12" s="541"/>
      <c r="AB12" s="20">
        <v>8</v>
      </c>
      <c r="AC12" s="20" t="s">
        <v>26</v>
      </c>
      <c r="AD12" s="20" t="s">
        <v>27</v>
      </c>
      <c r="AE12" s="20" t="s">
        <v>12</v>
      </c>
    </row>
    <row r="13" spans="1:32" s="5" customFormat="1" x14ac:dyDescent="0.2">
      <c r="A13" s="822" t="s">
        <v>28</v>
      </c>
      <c r="B13" s="242" t="str">
        <f t="shared" si="0"/>
        <v>Follow the instructions for A. automatic upload or B. manual data input</v>
      </c>
      <c r="C13" s="13"/>
      <c r="D13" s="13"/>
      <c r="E13" s="13"/>
      <c r="F13" s="13"/>
      <c r="G13" s="13"/>
      <c r="H13" s="13"/>
      <c r="I13" s="13"/>
      <c r="J13" s="13"/>
      <c r="K13" s="13"/>
      <c r="L13" s="13"/>
      <c r="AA13" s="15"/>
      <c r="AB13" s="20">
        <v>9</v>
      </c>
      <c r="AC13" s="20" t="s">
        <v>29</v>
      </c>
      <c r="AD13" s="20" t="s">
        <v>30</v>
      </c>
      <c r="AE13" s="20" t="s">
        <v>12</v>
      </c>
    </row>
    <row r="14" spans="1:32" s="5" customFormat="1" ht="12.75" customHeight="1" x14ac:dyDescent="0.3">
      <c r="A14" s="822" t="s">
        <v>31</v>
      </c>
      <c r="B14" s="440" t="str">
        <f t="shared" si="0"/>
        <v>Check the "Data in physical units" and "Conversion factors" worksheets to see if any problems are highlighted in yellow.</v>
      </c>
      <c r="C14" s="537"/>
      <c r="D14" s="814"/>
      <c r="E14" s="538"/>
      <c r="F14" s="813"/>
      <c r="G14" s="15"/>
      <c r="H14" s="15"/>
      <c r="I14" s="15"/>
      <c r="J14" s="15"/>
      <c r="K14" s="15"/>
      <c r="L14" s="15"/>
      <c r="AA14" s="15"/>
      <c r="AB14" s="20">
        <v>10</v>
      </c>
      <c r="AC14" s="20" t="s">
        <v>32</v>
      </c>
      <c r="AD14" s="20" t="s">
        <v>33</v>
      </c>
      <c r="AE14" s="20" t="s">
        <v>12</v>
      </c>
    </row>
    <row r="15" spans="1:32" s="5" customFormat="1" x14ac:dyDescent="0.2">
      <c r="A15" s="543"/>
      <c r="B15" s="1326" t="str">
        <f t="shared" si="0"/>
        <v>(Detailed checking instructions in 'Table Of Contents-sheet)</v>
      </c>
      <c r="C15" s="1326"/>
      <c r="D15" s="1326"/>
      <c r="E15" s="1326"/>
      <c r="F15" s="1326"/>
      <c r="G15" s="15"/>
      <c r="H15" s="15"/>
      <c r="I15" s="15"/>
      <c r="J15" s="15"/>
      <c r="K15" s="15"/>
      <c r="L15" s="15"/>
      <c r="AA15" s="15"/>
      <c r="AB15" s="20">
        <v>11</v>
      </c>
      <c r="AC15" s="20" t="s">
        <v>34</v>
      </c>
      <c r="AD15" s="20" t="s">
        <v>35</v>
      </c>
      <c r="AE15" s="20" t="s">
        <v>12</v>
      </c>
    </row>
    <row r="16" spans="1:32" s="5" customFormat="1" x14ac:dyDescent="0.2">
      <c r="A16" s="823" t="s">
        <v>36</v>
      </c>
      <c r="B16" s="836" t="str">
        <f t="shared" si="0"/>
        <v>Automatic upload</v>
      </c>
      <c r="C16" s="816"/>
      <c r="D16" s="816"/>
      <c r="E16" s="4"/>
      <c r="F16" s="16"/>
      <c r="AA16" s="15"/>
      <c r="AB16" s="20">
        <v>12</v>
      </c>
      <c r="AC16" s="20" t="s">
        <v>37</v>
      </c>
      <c r="AD16" s="20" t="s">
        <v>38</v>
      </c>
      <c r="AE16" s="20" t="s">
        <v>12</v>
      </c>
    </row>
    <row r="17" spans="1:34" s="5" customFormat="1" ht="15.75" customHeight="1" x14ac:dyDescent="0.2">
      <c r="A17" s="6"/>
      <c r="B17" s="576" t="str">
        <f t="shared" si="0"/>
        <v>Use the buttons below to load the IEA data questionnaires into the balance builder worksheets "Data in physical units" and "Conversion factors".</v>
      </c>
      <c r="C17" s="540"/>
      <c r="D17" s="540"/>
      <c r="E17" s="540"/>
      <c r="F17" s="540"/>
      <c r="G17" s="540"/>
      <c r="H17" s="540"/>
      <c r="I17" s="540"/>
      <c r="J17" s="540"/>
      <c r="K17" s="540"/>
      <c r="L17" s="540"/>
      <c r="AA17" s="15"/>
      <c r="AB17" s="20">
        <v>13</v>
      </c>
      <c r="AC17" s="20" t="s">
        <v>39</v>
      </c>
      <c r="AD17" s="20" t="s">
        <v>40</v>
      </c>
      <c r="AE17" s="20" t="s">
        <v>12</v>
      </c>
    </row>
    <row r="18" spans="1:34" s="5" customFormat="1" ht="15.75" customHeight="1" x14ac:dyDescent="0.2">
      <c r="A18" s="6"/>
      <c r="B18" s="1332"/>
      <c r="C18" s="540"/>
      <c r="D18" s="540"/>
      <c r="E18" s="540"/>
      <c r="F18" s="540"/>
      <c r="G18" s="540"/>
      <c r="H18" s="540"/>
      <c r="I18" s="540"/>
      <c r="J18" s="540"/>
      <c r="K18" s="540"/>
      <c r="L18" s="821" t="str">
        <f>HLOOKUP(LangChoice,$AC$3:$AE$67,$AB21+2)</f>
        <v>Last upload:</v>
      </c>
      <c r="M18" s="440"/>
      <c r="AA18" s="15"/>
      <c r="AB18" s="20">
        <v>14</v>
      </c>
      <c r="AC18" s="623" t="s">
        <v>41</v>
      </c>
      <c r="AD18" s="20" t="s">
        <v>42</v>
      </c>
      <c r="AE18" s="20" t="s">
        <v>12</v>
      </c>
    </row>
    <row r="19" spans="1:34" s="5" customFormat="1" ht="18" customHeight="1" x14ac:dyDescent="0.2">
      <c r="A19" s="6"/>
      <c r="D19" s="2104"/>
      <c r="E19" s="2247"/>
      <c r="F19" s="2247"/>
      <c r="G19" s="2247"/>
      <c r="H19" s="2247"/>
      <c r="I19" s="2247"/>
      <c r="J19" s="2248"/>
      <c r="K19" s="15"/>
      <c r="L19" s="1132" t="s">
        <v>43</v>
      </c>
      <c r="AA19" s="15"/>
      <c r="AB19" s="20">
        <v>15</v>
      </c>
      <c r="AC19" s="20" t="s">
        <v>44</v>
      </c>
      <c r="AD19" s="20" t="s">
        <v>45</v>
      </c>
      <c r="AE19" s="20" t="s">
        <v>12</v>
      </c>
    </row>
    <row r="20" spans="1:34" s="5" customFormat="1" ht="18" customHeight="1" x14ac:dyDescent="0.2">
      <c r="A20" s="6"/>
      <c r="D20" s="2104"/>
      <c r="E20" s="2247"/>
      <c r="F20" s="2247"/>
      <c r="G20" s="2247"/>
      <c r="H20" s="2247"/>
      <c r="I20" s="2247"/>
      <c r="J20" s="2248"/>
      <c r="K20" s="15"/>
      <c r="L20" s="1132" t="s">
        <v>43</v>
      </c>
      <c r="N20" s="15"/>
      <c r="P20" s="15"/>
      <c r="Q20" s="540"/>
      <c r="R20" s="540"/>
      <c r="AA20" s="15"/>
      <c r="AB20" s="20">
        <v>16</v>
      </c>
      <c r="AC20" s="20" t="s">
        <v>46</v>
      </c>
      <c r="AD20" s="20" t="s">
        <v>47</v>
      </c>
      <c r="AE20" s="20" t="s">
        <v>12</v>
      </c>
    </row>
    <row r="21" spans="1:34" s="5" customFormat="1" ht="18" customHeight="1" x14ac:dyDescent="0.2">
      <c r="A21" s="6"/>
      <c r="D21" s="2104"/>
      <c r="E21" s="2247"/>
      <c r="F21" s="2247"/>
      <c r="G21" s="2247"/>
      <c r="H21" s="2247"/>
      <c r="I21" s="2247"/>
      <c r="J21" s="2248"/>
      <c r="K21" s="15"/>
      <c r="L21" s="1132" t="s">
        <v>43</v>
      </c>
      <c r="N21" s="15"/>
      <c r="P21" s="15"/>
      <c r="Q21" s="15"/>
      <c r="R21" s="15"/>
      <c r="AA21" s="1256" t="s">
        <v>48</v>
      </c>
      <c r="AB21" s="20">
        <v>17</v>
      </c>
      <c r="AC21" s="20" t="s">
        <v>49</v>
      </c>
      <c r="AD21" s="20" t="s">
        <v>50</v>
      </c>
      <c r="AE21" s="20" t="s">
        <v>12</v>
      </c>
    </row>
    <row r="22" spans="1:34" s="5" customFormat="1" ht="18" customHeight="1" x14ac:dyDescent="0.2">
      <c r="A22" s="6"/>
      <c r="D22" s="2104"/>
      <c r="E22" s="2247"/>
      <c r="F22" s="2247"/>
      <c r="G22" s="2247"/>
      <c r="H22" s="2247"/>
      <c r="I22" s="2247"/>
      <c r="J22" s="2248"/>
      <c r="K22" s="15"/>
      <c r="L22" s="1132" t="s">
        <v>43</v>
      </c>
      <c r="S22" s="15"/>
      <c r="T22" s="15"/>
      <c r="U22" s="15"/>
      <c r="V22" s="15"/>
      <c r="W22" s="15"/>
      <c r="X22" s="15"/>
      <c r="Y22" s="15"/>
      <c r="Z22" s="15"/>
      <c r="AA22" s="682" t="str">
        <f>HLOOKUP(LangChoice,$AC$3:$AE$67,$AB22+2)</f>
        <v>Load COAL</v>
      </c>
      <c r="AB22" s="20">
        <v>18</v>
      </c>
      <c r="AC22" s="20" t="s">
        <v>51</v>
      </c>
      <c r="AD22" s="20" t="s">
        <v>52</v>
      </c>
      <c r="AE22" s="20" t="s">
        <v>12</v>
      </c>
    </row>
    <row r="23" spans="1:34" s="5" customFormat="1" ht="18" customHeight="1" x14ac:dyDescent="0.2">
      <c r="A23" s="6"/>
      <c r="D23" s="2105"/>
      <c r="E23" s="2249"/>
      <c r="F23" s="2249"/>
      <c r="G23" s="2249"/>
      <c r="H23" s="2249"/>
      <c r="I23" s="2249"/>
      <c r="J23" s="2250"/>
      <c r="K23" s="15"/>
      <c r="L23" s="1257" t="s">
        <v>43</v>
      </c>
      <c r="AA23" s="682" t="str">
        <f>HLOOKUP(LangChoice,$AC$3:$AE$67,$AB23+2)</f>
        <v>Load OIL</v>
      </c>
      <c r="AB23" s="20">
        <v>19</v>
      </c>
      <c r="AC23" s="20" t="s">
        <v>53</v>
      </c>
      <c r="AD23" s="20" t="s">
        <v>54</v>
      </c>
      <c r="AE23" s="20" t="s">
        <v>12</v>
      </c>
    </row>
    <row r="24" spans="1:34" s="5" customFormat="1" x14ac:dyDescent="0.2">
      <c r="A24" s="823" t="s">
        <v>55</v>
      </c>
      <c r="B24" s="837" t="str">
        <f>HLOOKUP(LangChoice,$AC$3:$AE$67,$AB27+2)</f>
        <v>Manual data input</v>
      </c>
      <c r="C24" s="817"/>
      <c r="D24" s="542"/>
      <c r="E24" s="542"/>
      <c r="F24" s="542"/>
      <c r="G24" s="539"/>
      <c r="H24" s="15"/>
      <c r="I24" s="15"/>
      <c r="J24" s="15"/>
      <c r="K24" s="15"/>
      <c r="L24" s="15"/>
      <c r="M24" s="3"/>
      <c r="N24" s="3"/>
      <c r="O24" s="1088"/>
      <c r="P24" s="1088"/>
      <c r="Q24" s="1088"/>
      <c r="R24" s="1088"/>
      <c r="AA24" s="682" t="str">
        <f>HLOOKUP(LangChoice,$AC$3:$AE$67,$AB24+2)</f>
        <v>Load GAS</v>
      </c>
      <c r="AB24" s="20">
        <v>20</v>
      </c>
      <c r="AC24" s="20" t="s">
        <v>56</v>
      </c>
      <c r="AD24" s="20" t="s">
        <v>57</v>
      </c>
      <c r="AE24" s="20" t="s">
        <v>12</v>
      </c>
    </row>
    <row r="25" spans="1:34" s="5" customFormat="1" ht="23.25" customHeight="1" x14ac:dyDescent="0.2">
      <c r="A25" s="15"/>
      <c r="B25" s="2273" t="str">
        <f>HLOOKUP(LangChoice,$AC$3:$AE$67,$AB28+2)</f>
        <v>Insert data in the "Data in physical units" worksheet by products (e.g. natural gas, crude oil, hydro) and by flows (e.g. indigenous production, imports, electricity generation).</v>
      </c>
      <c r="C25" s="2273"/>
      <c r="D25" s="2273"/>
      <c r="E25" s="2273"/>
      <c r="F25" s="2273"/>
      <c r="G25" s="2273"/>
      <c r="H25" s="2273"/>
      <c r="I25" s="2273"/>
      <c r="J25" s="2273"/>
      <c r="K25" s="2273"/>
      <c r="L25" s="2273"/>
      <c r="M25" s="2273"/>
      <c r="AA25" s="682" t="str">
        <f>HLOOKUP(LangChoice,$AC$3:$AE$67,$AB25+2)</f>
        <v>Load REN</v>
      </c>
      <c r="AB25" s="20">
        <v>21</v>
      </c>
      <c r="AC25" s="20" t="s">
        <v>58</v>
      </c>
      <c r="AD25" s="20" t="s">
        <v>59</v>
      </c>
      <c r="AE25" s="20" t="s">
        <v>12</v>
      </c>
    </row>
    <row r="26" spans="1:34" s="5" customFormat="1" ht="12.75" customHeight="1" x14ac:dyDescent="0.2">
      <c r="A26" s="15"/>
      <c r="B26" s="241" t="str">
        <f>HLOOKUP(LangChoice,$AC$3:$AE$67,$AB29+2)</f>
        <v>Update the conversion factors on the "Conversion Factors" worksheet as appropriate (colored cells should be filled in).</v>
      </c>
      <c r="C26" s="15"/>
      <c r="D26" s="15"/>
      <c r="E26" s="15"/>
      <c r="F26" s="15"/>
      <c r="G26" s="15"/>
      <c r="H26" s="15"/>
      <c r="I26" s="15"/>
      <c r="J26" s="15"/>
      <c r="K26" s="15"/>
      <c r="L26" s="15"/>
      <c r="S26" s="540"/>
      <c r="T26" s="540"/>
      <c r="U26" s="540"/>
      <c r="V26" s="540"/>
      <c r="W26" s="540"/>
      <c r="X26" s="540"/>
      <c r="Y26" s="540"/>
      <c r="Z26" s="540"/>
      <c r="AA26" s="682" t="str">
        <f>HLOOKUP(LangChoice,$AC$3:$AE$67,$AB26+2)</f>
        <v>Load ELE</v>
      </c>
      <c r="AB26" s="20">
        <v>22</v>
      </c>
      <c r="AC26" s="20" t="s">
        <v>60</v>
      </c>
      <c r="AD26" s="20" t="s">
        <v>61</v>
      </c>
      <c r="AE26" s="20" t="s">
        <v>12</v>
      </c>
    </row>
    <row r="27" spans="1:34" s="5" customFormat="1" x14ac:dyDescent="0.2">
      <c r="A27" s="823" t="s">
        <v>62</v>
      </c>
      <c r="B27" s="837" t="str">
        <f>HLOOKUP(LangChoice,$AC$3:$AE$67,$AB30+2)</f>
        <v>IEA-prefilled data</v>
      </c>
      <c r="C27" s="818"/>
      <c r="D27" s="3"/>
      <c r="E27" s="3"/>
      <c r="F27" s="3"/>
      <c r="G27" s="3"/>
      <c r="H27" s="3"/>
      <c r="I27" s="3"/>
      <c r="J27" s="3"/>
      <c r="K27" s="3"/>
      <c r="L27" s="3"/>
      <c r="M27" s="3"/>
      <c r="N27" s="3"/>
      <c r="O27" s="3"/>
      <c r="P27" s="3"/>
      <c r="Q27" s="3"/>
      <c r="R27" s="3"/>
      <c r="S27" s="15"/>
      <c r="T27" s="15"/>
      <c r="U27" s="15"/>
      <c r="V27" s="15"/>
      <c r="W27" s="15"/>
      <c r="X27" s="15"/>
      <c r="Y27" s="15"/>
      <c r="Z27" s="15"/>
      <c r="AA27" s="682"/>
      <c r="AB27" s="20">
        <v>23</v>
      </c>
      <c r="AC27" s="20" t="s">
        <v>63</v>
      </c>
      <c r="AD27" s="20" t="s">
        <v>64</v>
      </c>
      <c r="AE27" s="20"/>
    </row>
    <row r="28" spans="1:34" s="5" customFormat="1" ht="12.75" customHeight="1" x14ac:dyDescent="0.2">
      <c r="A28" s="3"/>
      <c r="B28" s="20" t="str">
        <f>HLOOKUP(LangChoice,$AC$3:$AE$67,$AB31+2)</f>
        <v>Please contact BALANCES@iea.org.</v>
      </c>
      <c r="C28" s="3"/>
      <c r="D28" s="3"/>
      <c r="E28" s="3"/>
      <c r="F28" s="3"/>
      <c r="G28" s="3"/>
      <c r="H28" s="3"/>
      <c r="I28" s="3"/>
      <c r="J28" s="3"/>
      <c r="K28" s="3"/>
      <c r="L28" s="3"/>
      <c r="M28" s="3"/>
      <c r="N28" s="3"/>
      <c r="O28" s="3"/>
      <c r="P28" s="3"/>
      <c r="Q28" s="3"/>
      <c r="R28" s="3"/>
      <c r="AA28" s="682"/>
      <c r="AB28" s="20">
        <v>24</v>
      </c>
      <c r="AC28" s="20" t="s">
        <v>65</v>
      </c>
      <c r="AD28" s="20" t="s">
        <v>66</v>
      </c>
      <c r="AE28" s="20"/>
    </row>
    <row r="29" spans="1:34" s="5" customFormat="1" x14ac:dyDescent="0.2">
      <c r="A29" s="3"/>
      <c r="B29" s="3"/>
      <c r="C29" s="3"/>
      <c r="D29" s="3"/>
      <c r="E29" s="3"/>
      <c r="F29" s="3"/>
      <c r="G29" s="3"/>
      <c r="H29" s="3"/>
      <c r="I29" s="3"/>
      <c r="J29" s="3"/>
      <c r="K29" s="3"/>
      <c r="L29" s="3"/>
      <c r="M29" s="3"/>
      <c r="N29" s="3"/>
      <c r="O29" s="3"/>
      <c r="P29" s="3"/>
      <c r="Q29" s="3"/>
      <c r="R29" s="3"/>
      <c r="AA29" s="682"/>
      <c r="AB29" s="20">
        <v>25</v>
      </c>
      <c r="AC29" s="20" t="s">
        <v>67</v>
      </c>
      <c r="AD29" s="20" t="s">
        <v>68</v>
      </c>
      <c r="AE29" s="20"/>
      <c r="AF29" s="3"/>
      <c r="AG29" s="3"/>
      <c r="AH29" s="3"/>
    </row>
    <row r="30" spans="1:34" x14ac:dyDescent="0.2">
      <c r="S30" s="1088"/>
      <c r="T30" s="1088"/>
      <c r="U30" s="1088"/>
      <c r="V30" s="1088"/>
      <c r="W30" s="1088"/>
      <c r="X30" s="1088"/>
      <c r="Y30" s="1088"/>
      <c r="Z30" s="1088"/>
      <c r="AA30" s="682"/>
      <c r="AB30" s="20">
        <v>26</v>
      </c>
      <c r="AC30" s="20" t="s">
        <v>69</v>
      </c>
      <c r="AD30" s="20" t="s">
        <v>70</v>
      </c>
      <c r="AE30" s="20"/>
      <c r="AF30" s="5"/>
      <c r="AG30" s="5"/>
      <c r="AH30" s="5"/>
    </row>
    <row r="31" spans="1:34" s="5" customFormat="1" x14ac:dyDescent="0.2">
      <c r="B31" s="3"/>
      <c r="AA31" s="682"/>
      <c r="AB31" s="20">
        <v>27</v>
      </c>
      <c r="AC31" s="20" t="s">
        <v>71</v>
      </c>
      <c r="AD31" s="20" t="s">
        <v>72</v>
      </c>
      <c r="AE31" s="20"/>
    </row>
    <row r="32" spans="1:34" s="5" customFormat="1" x14ac:dyDescent="0.2">
      <c r="AA32" s="1078" t="str">
        <f>HLOOKUP(LangChoice,$AC$3:$AE$67,$AB32+2)</f>
        <v>Create a PDF-report!
(Saved to user desktop)</v>
      </c>
      <c r="AB32" s="20">
        <v>28</v>
      </c>
      <c r="AC32" s="20" t="str">
        <f>"Create a PDF-report!" &amp; CHAR(10) &amp; CHAR(10) &amp;"(Saved to user desktop)"</f>
        <v>Create a PDF-report!
(Saved to user desktop)</v>
      </c>
      <c r="AD32" s="20" t="s">
        <v>73</v>
      </c>
      <c r="AE32" s="20" t="s">
        <v>12</v>
      </c>
      <c r="AF32" s="3"/>
      <c r="AG32" s="3"/>
      <c r="AH32" s="3"/>
    </row>
    <row r="64" spans="1:4" ht="12" hidden="1" customHeight="1" x14ac:dyDescent="0.2">
      <c r="A64" s="819" t="s">
        <v>74</v>
      </c>
      <c r="C64" s="13" t="s">
        <v>75</v>
      </c>
      <c r="D64" s="13" t="s">
        <v>76</v>
      </c>
    </row>
    <row r="65" spans="1:9" hidden="1" x14ac:dyDescent="0.2">
      <c r="A65" s="819"/>
      <c r="C65" s="15" t="s">
        <v>77</v>
      </c>
      <c r="D65" s="1354">
        <v>2021</v>
      </c>
      <c r="E65" s="1355" t="s">
        <v>78</v>
      </c>
      <c r="G65"/>
      <c r="I65"/>
    </row>
    <row r="66" spans="1:9" hidden="1" x14ac:dyDescent="0.2">
      <c r="A66" s="819"/>
      <c r="C66" s="15" t="s">
        <v>79</v>
      </c>
      <c r="D66" s="820">
        <f>IFERROR(IF((D65-$E$66)&gt;1989,D65-$E$66,""),"")</f>
        <v>2020</v>
      </c>
      <c r="E66" s="15">
        <v>1</v>
      </c>
      <c r="G66"/>
      <c r="I66"/>
    </row>
    <row r="67" spans="1:9" hidden="1" x14ac:dyDescent="0.2">
      <c r="A67" s="819"/>
      <c r="C67" s="15" t="s">
        <v>80</v>
      </c>
      <c r="D67" s="820">
        <f t="shared" ref="D67:D97" si="1">IFERROR(IF((D66-$E$66)&gt;1989,D66-$E$66,""),"")</f>
        <v>2019</v>
      </c>
      <c r="G67"/>
      <c r="I67"/>
    </row>
    <row r="68" spans="1:9" hidden="1" x14ac:dyDescent="0.2">
      <c r="A68" s="819"/>
      <c r="C68" s="15" t="s">
        <v>81</v>
      </c>
      <c r="D68" s="820">
        <f t="shared" si="1"/>
        <v>2018</v>
      </c>
      <c r="G68"/>
      <c r="I68"/>
    </row>
    <row r="69" spans="1:9" hidden="1" x14ac:dyDescent="0.2">
      <c r="A69" s="819"/>
      <c r="C69" s="15" t="s">
        <v>82</v>
      </c>
      <c r="D69" s="820">
        <f t="shared" si="1"/>
        <v>2017</v>
      </c>
      <c r="G69"/>
      <c r="I69"/>
    </row>
    <row r="70" spans="1:9" hidden="1" x14ac:dyDescent="0.2">
      <c r="A70" s="819"/>
      <c r="C70" s="15" t="s">
        <v>83</v>
      </c>
      <c r="D70" s="820">
        <f t="shared" si="1"/>
        <v>2016</v>
      </c>
      <c r="G70"/>
      <c r="I70"/>
    </row>
    <row r="71" spans="1:9" hidden="1" x14ac:dyDescent="0.2">
      <c r="A71" s="819"/>
      <c r="C71" s="15" t="s">
        <v>84</v>
      </c>
      <c r="D71" s="820">
        <f t="shared" si="1"/>
        <v>2015</v>
      </c>
      <c r="G71"/>
      <c r="I71"/>
    </row>
    <row r="72" spans="1:9" hidden="1" x14ac:dyDescent="0.2">
      <c r="A72" s="819"/>
      <c r="C72" s="15" t="s">
        <v>85</v>
      </c>
      <c r="D72" s="820">
        <f t="shared" si="1"/>
        <v>2014</v>
      </c>
      <c r="G72"/>
      <c r="I72"/>
    </row>
    <row r="73" spans="1:9" hidden="1" x14ac:dyDescent="0.2">
      <c r="A73" s="819"/>
      <c r="C73" s="15" t="s">
        <v>86</v>
      </c>
      <c r="D73" s="820">
        <f t="shared" si="1"/>
        <v>2013</v>
      </c>
      <c r="G73"/>
      <c r="I73"/>
    </row>
    <row r="74" spans="1:9" hidden="1" x14ac:dyDescent="0.2">
      <c r="A74" s="819"/>
      <c r="C74" s="15" t="s">
        <v>87</v>
      </c>
      <c r="D74" s="820">
        <f t="shared" si="1"/>
        <v>2012</v>
      </c>
      <c r="G74"/>
      <c r="I74"/>
    </row>
    <row r="75" spans="1:9" hidden="1" x14ac:dyDescent="0.2">
      <c r="A75" s="819"/>
      <c r="C75" s="15" t="s">
        <v>88</v>
      </c>
      <c r="D75" s="820">
        <f t="shared" si="1"/>
        <v>2011</v>
      </c>
      <c r="G75"/>
      <c r="I75"/>
    </row>
    <row r="76" spans="1:9" hidden="1" x14ac:dyDescent="0.2">
      <c r="A76" s="819"/>
      <c r="C76" s="15" t="s">
        <v>89</v>
      </c>
      <c r="D76" s="820">
        <f t="shared" si="1"/>
        <v>2010</v>
      </c>
      <c r="G76"/>
      <c r="I76"/>
    </row>
    <row r="77" spans="1:9" hidden="1" x14ac:dyDescent="0.2">
      <c r="A77" s="819"/>
      <c r="C77" s="15" t="s">
        <v>90</v>
      </c>
      <c r="D77" s="820">
        <f t="shared" si="1"/>
        <v>2009</v>
      </c>
      <c r="G77"/>
      <c r="I77"/>
    </row>
    <row r="78" spans="1:9" hidden="1" x14ac:dyDescent="0.2">
      <c r="A78" s="819"/>
      <c r="C78" s="15" t="s">
        <v>91</v>
      </c>
      <c r="D78" s="820">
        <f t="shared" si="1"/>
        <v>2008</v>
      </c>
      <c r="G78"/>
      <c r="I78"/>
    </row>
    <row r="79" spans="1:9" hidden="1" x14ac:dyDescent="0.2">
      <c r="A79" s="819"/>
      <c r="C79" s="15" t="s">
        <v>92</v>
      </c>
      <c r="D79" s="820">
        <f t="shared" si="1"/>
        <v>2007</v>
      </c>
      <c r="G79"/>
      <c r="I79"/>
    </row>
    <row r="80" spans="1:9" hidden="1" x14ac:dyDescent="0.2">
      <c r="A80" s="819"/>
      <c r="C80" s="15" t="s">
        <v>93</v>
      </c>
      <c r="D80" s="820">
        <f t="shared" si="1"/>
        <v>2006</v>
      </c>
      <c r="G80"/>
      <c r="I80"/>
    </row>
    <row r="81" spans="1:9" hidden="1" x14ac:dyDescent="0.2">
      <c r="A81" s="819"/>
      <c r="C81" s="15" t="s">
        <v>94</v>
      </c>
      <c r="D81" s="820">
        <f t="shared" si="1"/>
        <v>2005</v>
      </c>
      <c r="G81"/>
      <c r="I81"/>
    </row>
    <row r="82" spans="1:9" hidden="1" x14ac:dyDescent="0.2">
      <c r="A82" s="819"/>
      <c r="C82" s="15" t="s">
        <v>95</v>
      </c>
      <c r="D82" s="820">
        <f t="shared" si="1"/>
        <v>2004</v>
      </c>
      <c r="G82"/>
      <c r="I82"/>
    </row>
    <row r="83" spans="1:9" hidden="1" x14ac:dyDescent="0.2">
      <c r="A83" s="819"/>
      <c r="C83" s="15" t="s">
        <v>96</v>
      </c>
      <c r="D83" s="820">
        <f t="shared" si="1"/>
        <v>2003</v>
      </c>
      <c r="G83"/>
      <c r="I83"/>
    </row>
    <row r="84" spans="1:9" hidden="1" x14ac:dyDescent="0.2">
      <c r="A84" s="819"/>
      <c r="C84" t="s">
        <v>97</v>
      </c>
      <c r="D84" s="820">
        <f t="shared" si="1"/>
        <v>2002</v>
      </c>
      <c r="G84"/>
      <c r="I84"/>
    </row>
    <row r="85" spans="1:9" hidden="1" x14ac:dyDescent="0.2">
      <c r="A85" s="819"/>
      <c r="C85" t="s">
        <v>98</v>
      </c>
      <c r="D85" s="820">
        <f t="shared" si="1"/>
        <v>2001</v>
      </c>
      <c r="G85"/>
      <c r="I85"/>
    </row>
    <row r="86" spans="1:9" hidden="1" x14ac:dyDescent="0.2">
      <c r="A86" s="819"/>
      <c r="C86" s="15" t="s">
        <v>99</v>
      </c>
      <c r="D86" s="820">
        <f t="shared" si="1"/>
        <v>2000</v>
      </c>
      <c r="G86"/>
      <c r="I86"/>
    </row>
    <row r="87" spans="1:9" hidden="1" x14ac:dyDescent="0.2">
      <c r="A87" s="819"/>
      <c r="C87" s="15" t="s">
        <v>100</v>
      </c>
      <c r="D87" s="820">
        <f t="shared" si="1"/>
        <v>1999</v>
      </c>
      <c r="G87"/>
      <c r="I87"/>
    </row>
    <row r="88" spans="1:9" hidden="1" x14ac:dyDescent="0.2">
      <c r="A88" s="819"/>
      <c r="C88" s="15" t="s">
        <v>101</v>
      </c>
      <c r="D88" s="820">
        <f t="shared" si="1"/>
        <v>1998</v>
      </c>
      <c r="G88"/>
      <c r="I88"/>
    </row>
    <row r="89" spans="1:9" hidden="1" x14ac:dyDescent="0.2">
      <c r="A89" s="819"/>
      <c r="C89" s="15" t="s">
        <v>102</v>
      </c>
      <c r="D89" s="820">
        <f t="shared" si="1"/>
        <v>1997</v>
      </c>
      <c r="G89"/>
      <c r="I89"/>
    </row>
    <row r="90" spans="1:9" hidden="1" x14ac:dyDescent="0.2">
      <c r="A90" s="819"/>
      <c r="C90" s="15" t="s">
        <v>103</v>
      </c>
      <c r="D90" s="820">
        <f t="shared" si="1"/>
        <v>1996</v>
      </c>
      <c r="G90"/>
      <c r="I90"/>
    </row>
    <row r="91" spans="1:9" hidden="1" x14ac:dyDescent="0.2">
      <c r="A91" s="819"/>
      <c r="C91" s="15" t="s">
        <v>104</v>
      </c>
      <c r="D91" s="820">
        <f t="shared" si="1"/>
        <v>1995</v>
      </c>
      <c r="G91"/>
      <c r="I91"/>
    </row>
    <row r="92" spans="1:9" hidden="1" x14ac:dyDescent="0.2">
      <c r="A92" s="819"/>
      <c r="C92" s="15" t="s">
        <v>105</v>
      </c>
      <c r="D92" s="820">
        <f t="shared" si="1"/>
        <v>1994</v>
      </c>
      <c r="G92"/>
      <c r="I92"/>
    </row>
    <row r="93" spans="1:9" hidden="1" x14ac:dyDescent="0.2">
      <c r="A93" s="819"/>
      <c r="C93" s="15" t="s">
        <v>106</v>
      </c>
      <c r="D93" s="3">
        <f t="shared" si="1"/>
        <v>1993</v>
      </c>
      <c r="G93"/>
      <c r="I93"/>
    </row>
    <row r="94" spans="1:9" hidden="1" x14ac:dyDescent="0.2">
      <c r="A94" s="819"/>
      <c r="C94" s="15" t="s">
        <v>107</v>
      </c>
      <c r="D94" s="3">
        <f t="shared" si="1"/>
        <v>1992</v>
      </c>
      <c r="G94"/>
      <c r="I94"/>
    </row>
    <row r="95" spans="1:9" hidden="1" x14ac:dyDescent="0.2">
      <c r="A95" s="819"/>
      <c r="C95" s="15" t="s">
        <v>108</v>
      </c>
      <c r="D95" s="3">
        <f t="shared" si="1"/>
        <v>1991</v>
      </c>
      <c r="G95"/>
      <c r="I95"/>
    </row>
    <row r="96" spans="1:9" hidden="1" x14ac:dyDescent="0.2">
      <c r="A96" s="819"/>
      <c r="C96" s="15" t="s">
        <v>109</v>
      </c>
      <c r="D96" s="3">
        <f t="shared" si="1"/>
        <v>1990</v>
      </c>
      <c r="G96"/>
    </row>
    <row r="97" spans="1:7" hidden="1" x14ac:dyDescent="0.2">
      <c r="A97" s="819"/>
      <c r="C97" s="15" t="s">
        <v>110</v>
      </c>
      <c r="D97" s="3" t="str">
        <f t="shared" si="1"/>
        <v/>
      </c>
      <c r="G97"/>
    </row>
    <row r="98" spans="1:7" hidden="1" x14ac:dyDescent="0.2">
      <c r="A98" s="819"/>
      <c r="C98" s="15" t="s">
        <v>111</v>
      </c>
      <c r="G98"/>
    </row>
    <row r="99" spans="1:7" hidden="1" x14ac:dyDescent="0.2">
      <c r="A99" s="819"/>
      <c r="C99" s="15" t="s">
        <v>112</v>
      </c>
      <c r="G99"/>
    </row>
    <row r="100" spans="1:7" hidden="1" x14ac:dyDescent="0.2">
      <c r="A100" s="819"/>
      <c r="C100" s="15" t="s">
        <v>113</v>
      </c>
      <c r="G100"/>
    </row>
    <row r="101" spans="1:7" hidden="1" x14ac:dyDescent="0.2">
      <c r="A101" s="819"/>
      <c r="C101" t="s">
        <v>114</v>
      </c>
      <c r="G101"/>
    </row>
    <row r="102" spans="1:7" hidden="1" x14ac:dyDescent="0.2">
      <c r="A102" s="819"/>
      <c r="C102" s="15" t="s">
        <v>115</v>
      </c>
      <c r="G102"/>
    </row>
    <row r="103" spans="1:7" hidden="1" x14ac:dyDescent="0.2">
      <c r="A103" s="819"/>
      <c r="C103" t="s">
        <v>116</v>
      </c>
      <c r="G103"/>
    </row>
    <row r="104" spans="1:7" hidden="1" x14ac:dyDescent="0.2">
      <c r="A104" s="819"/>
      <c r="C104" t="s">
        <v>117</v>
      </c>
      <c r="G104"/>
    </row>
    <row r="105" spans="1:7" hidden="1" x14ac:dyDescent="0.2">
      <c r="A105" s="819"/>
      <c r="C105" t="s">
        <v>118</v>
      </c>
      <c r="G105"/>
    </row>
    <row r="106" spans="1:7" hidden="1" x14ac:dyDescent="0.2">
      <c r="A106" s="819"/>
      <c r="C106" t="s">
        <v>119</v>
      </c>
      <c r="G106"/>
    </row>
    <row r="107" spans="1:7" hidden="1" x14ac:dyDescent="0.2">
      <c r="A107" s="819"/>
      <c r="C107" t="s">
        <v>120</v>
      </c>
      <c r="G107"/>
    </row>
    <row r="108" spans="1:7" hidden="1" x14ac:dyDescent="0.2">
      <c r="A108" s="819"/>
      <c r="C108" t="s">
        <v>121</v>
      </c>
      <c r="G108"/>
    </row>
    <row r="109" spans="1:7" hidden="1" x14ac:dyDescent="0.2">
      <c r="A109" s="819"/>
      <c r="C109" t="s">
        <v>122</v>
      </c>
      <c r="G109"/>
    </row>
    <row r="110" spans="1:7" hidden="1" x14ac:dyDescent="0.2">
      <c r="A110" s="819"/>
      <c r="C110" t="s">
        <v>123</v>
      </c>
      <c r="G110"/>
    </row>
    <row r="111" spans="1:7" hidden="1" x14ac:dyDescent="0.2">
      <c r="A111" s="819"/>
      <c r="C111" t="s">
        <v>124</v>
      </c>
      <c r="G111"/>
    </row>
    <row r="112" spans="1:7" hidden="1" x14ac:dyDescent="0.2">
      <c r="A112" s="819"/>
      <c r="C112" t="s">
        <v>125</v>
      </c>
      <c r="G112"/>
    </row>
    <row r="113" spans="1:7" hidden="1" x14ac:dyDescent="0.2">
      <c r="A113" s="819"/>
      <c r="C113" t="s">
        <v>126</v>
      </c>
      <c r="G113"/>
    </row>
    <row r="114" spans="1:7" hidden="1" x14ac:dyDescent="0.2">
      <c r="A114" s="819"/>
      <c r="C114" t="s">
        <v>127</v>
      </c>
      <c r="G114"/>
    </row>
    <row r="115" spans="1:7" hidden="1" x14ac:dyDescent="0.2">
      <c r="A115" s="819"/>
      <c r="C115" t="s">
        <v>128</v>
      </c>
      <c r="G115"/>
    </row>
    <row r="116" spans="1:7" hidden="1" x14ac:dyDescent="0.2">
      <c r="A116" s="819"/>
      <c r="C116" t="s">
        <v>129</v>
      </c>
      <c r="G116"/>
    </row>
    <row r="117" spans="1:7" hidden="1" x14ac:dyDescent="0.2">
      <c r="A117" s="819"/>
      <c r="C117" t="s">
        <v>130</v>
      </c>
      <c r="G117"/>
    </row>
    <row r="118" spans="1:7" hidden="1" x14ac:dyDescent="0.2">
      <c r="A118" s="819"/>
      <c r="C118" s="3" t="s">
        <v>131</v>
      </c>
      <c r="G118"/>
    </row>
    <row r="119" spans="1:7" hidden="1" x14ac:dyDescent="0.2">
      <c r="A119" s="819"/>
      <c r="C119" t="s">
        <v>132</v>
      </c>
      <c r="G119"/>
    </row>
    <row r="120" spans="1:7" hidden="1" x14ac:dyDescent="0.2">
      <c r="A120" s="819"/>
      <c r="C120" t="s">
        <v>133</v>
      </c>
      <c r="G120"/>
    </row>
    <row r="121" spans="1:7" hidden="1" x14ac:dyDescent="0.2">
      <c r="A121" s="819"/>
      <c r="C121" t="s">
        <v>134</v>
      </c>
      <c r="G121"/>
    </row>
    <row r="122" spans="1:7" hidden="1" x14ac:dyDescent="0.2">
      <c r="A122" s="819"/>
      <c r="C122" t="s">
        <v>135</v>
      </c>
      <c r="G122"/>
    </row>
    <row r="123" spans="1:7" hidden="1" x14ac:dyDescent="0.2">
      <c r="A123" s="819"/>
      <c r="C123" t="s">
        <v>136</v>
      </c>
      <c r="G123"/>
    </row>
    <row r="124" spans="1:7" hidden="1" x14ac:dyDescent="0.2">
      <c r="A124" s="819"/>
      <c r="C124" t="s">
        <v>137</v>
      </c>
      <c r="G124"/>
    </row>
    <row r="125" spans="1:7" hidden="1" x14ac:dyDescent="0.2">
      <c r="A125" s="819"/>
      <c r="C125" t="s">
        <v>138</v>
      </c>
      <c r="G125"/>
    </row>
    <row r="126" spans="1:7" hidden="1" x14ac:dyDescent="0.2">
      <c r="A126" s="819"/>
      <c r="C126" t="s">
        <v>139</v>
      </c>
      <c r="G126"/>
    </row>
    <row r="127" spans="1:7" hidden="1" x14ac:dyDescent="0.2">
      <c r="A127" s="819"/>
      <c r="C127" t="s">
        <v>140</v>
      </c>
      <c r="G127"/>
    </row>
    <row r="128" spans="1:7" hidden="1" x14ac:dyDescent="0.2">
      <c r="A128" s="819"/>
      <c r="C128" s="15" t="s">
        <v>20</v>
      </c>
    </row>
    <row r="129" spans="1:3" hidden="1" x14ac:dyDescent="0.2">
      <c r="A129" s="819"/>
      <c r="C129" t="s">
        <v>141</v>
      </c>
    </row>
    <row r="130" spans="1:3" hidden="1" x14ac:dyDescent="0.2">
      <c r="A130" s="819"/>
      <c r="C130" t="s">
        <v>142</v>
      </c>
    </row>
    <row r="131" spans="1:3" hidden="1" x14ac:dyDescent="0.2">
      <c r="A131" s="819"/>
      <c r="C131" t="s">
        <v>143</v>
      </c>
    </row>
    <row r="132" spans="1:3" hidden="1" x14ac:dyDescent="0.2">
      <c r="A132" s="819"/>
      <c r="C132" s="15" t="s">
        <v>144</v>
      </c>
    </row>
    <row r="133" spans="1:3" hidden="1" x14ac:dyDescent="0.2">
      <c r="A133" s="819"/>
      <c r="C133" t="s">
        <v>145</v>
      </c>
    </row>
    <row r="134" spans="1:3" hidden="1" x14ac:dyDescent="0.2">
      <c r="A134" s="819" t="s">
        <v>74</v>
      </c>
    </row>
    <row r="135" spans="1:3" x14ac:dyDescent="0.2">
      <c r="C135"/>
    </row>
    <row r="136" spans="1:3" x14ac:dyDescent="0.2">
      <c r="C136"/>
    </row>
  </sheetData>
  <sheetProtection sheet="1" objects="1" scenarios="1"/>
  <dataConsolidate/>
  <mergeCells count="8">
    <mergeCell ref="L1:M2"/>
    <mergeCell ref="B10:C10"/>
    <mergeCell ref="D10:H10"/>
    <mergeCell ref="D3:I3"/>
    <mergeCell ref="B25:M25"/>
    <mergeCell ref="B5:M5"/>
    <mergeCell ref="B12:C12"/>
    <mergeCell ref="L3:M3"/>
  </mergeCells>
  <phoneticPr fontId="9" type="noConversion"/>
  <dataValidations count="3">
    <dataValidation type="list" allowBlank="1" promptTitle="Years range" sqref="D12" xr:uid="{00000000-0002-0000-0000-000000000000}">
      <formula1>$D$65:$D$98</formula1>
    </dataValidation>
    <dataValidation type="list" allowBlank="1" sqref="D10:H10" xr:uid="{00000000-0002-0000-0000-000001000000}">
      <formula1>Countries</formula1>
    </dataValidation>
    <dataValidation type="list" allowBlank="1" showInputMessage="1" sqref="L3:M3" xr:uid="{00000000-0002-0000-0000-000002000000}">
      <formula1>$AC$3:$AD$3</formula1>
    </dataValidation>
  </dataValidations>
  <hyperlinks>
    <hyperlink ref="B15" location="TableOfContents!A1" display="TableOfContents!A1" xr:uid="{00000000-0004-0000-0000-000000000000}"/>
    <hyperlink ref="E2" location="VersionHistory!A1" display="October 2017.2" xr:uid="{00000000-0004-0000-0000-000001000000}"/>
  </hyperlinks>
  <pageMargins left="0.75" right="0.75" top="1" bottom="1" header="0.5" footer="0.5"/>
  <pageSetup paperSize="9" orientation="landscape" r:id="rId1"/>
  <headerFooter alignWithMargins="0"/>
  <ignoredErrors>
    <ignoredError sqref="A9:A1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7861229" r:id="rId4" name="Button 5101">
              <controlPr defaultSize="0" autoFill="0" autoPict="0" macro="[0]!CreateReport">
                <anchor moveWithCells="1">
                  <from>
                    <xdr:col>12</xdr:col>
                    <xdr:colOff>76200</xdr:colOff>
                    <xdr:row>17</xdr:row>
                    <xdr:rowOff>123825</xdr:rowOff>
                  </from>
                  <to>
                    <xdr:col>13</xdr:col>
                    <xdr:colOff>352425</xdr:colOff>
                    <xdr:row>22</xdr:row>
                    <xdr:rowOff>200025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06">
    <tabColor theme="8" tint="0.59999389629810485"/>
  </sheetPr>
  <dimension ref="A1:EL106"/>
  <sheetViews>
    <sheetView showGridLines="0" zoomScaleNormal="100" workbookViewId="0">
      <pane xSplit="4" ySplit="4" topLeftCell="E45" activePane="bottomRight" state="frozen"/>
      <selection pane="topRight" activeCell="E1" sqref="E1"/>
      <selection pane="bottomLeft" activeCell="A5" sqref="A5"/>
      <selection pane="bottomRight" activeCell="E5" sqref="E5"/>
    </sheetView>
  </sheetViews>
  <sheetFormatPr defaultColWidth="9.140625" defaultRowHeight="12.75" x14ac:dyDescent="0.2"/>
  <cols>
    <col min="1" max="1" width="40.7109375" style="2" customWidth="1"/>
    <col min="2" max="2" width="10.140625" style="2" hidden="1" customWidth="1"/>
    <col min="3" max="3" width="10" style="2" hidden="1" customWidth="1"/>
    <col min="4" max="4" width="7.28515625" style="2" hidden="1" customWidth="1"/>
    <col min="5" max="18" width="10.7109375" style="2" customWidth="1"/>
    <col min="19" max="19" width="12" style="2" hidden="1" customWidth="1"/>
    <col min="20" max="54" width="10.7109375" style="2" customWidth="1"/>
    <col min="55" max="55" width="10.7109375" style="2" hidden="1" customWidth="1"/>
    <col min="56" max="66" width="10.7109375" style="2" customWidth="1"/>
    <col min="67" max="67" width="12" style="2" hidden="1" customWidth="1"/>
    <col min="68" max="68" width="12" style="2" customWidth="1"/>
    <col min="69" max="69" width="10.28515625" style="2" customWidth="1"/>
    <col min="70" max="78" width="9.140625" style="2"/>
    <col min="79" max="142" width="9.140625" style="2" hidden="1" customWidth="1"/>
    <col min="143" max="16384" width="9.140625" style="2"/>
  </cols>
  <sheetData>
    <row r="1" spans="1:142" ht="30" customHeight="1" x14ac:dyDescent="0.2">
      <c r="A1" s="2113" t="str">
        <f>HLOOKUP(LangChoice,Definitions_ProdLang!$M$2:$P$30,4)</f>
        <v>Disaggregated balance</v>
      </c>
      <c r="B1" s="2122" t="s">
        <v>184</v>
      </c>
      <c r="C1" s="2122" t="s">
        <v>184</v>
      </c>
      <c r="D1" s="2122" t="s">
        <v>184</v>
      </c>
      <c r="E1" s="2256"/>
      <c r="F1" s="2256"/>
      <c r="G1" s="2256"/>
      <c r="H1" s="2256"/>
      <c r="I1" s="2256"/>
      <c r="J1" s="2256"/>
      <c r="K1" s="2256"/>
      <c r="L1" s="2256"/>
      <c r="M1" s="2256"/>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c r="AL1" s="2256"/>
      <c r="AM1" s="2256"/>
      <c r="AN1" s="2256"/>
      <c r="AO1" s="2256"/>
      <c r="AP1" s="2256"/>
      <c r="AQ1" s="2256"/>
      <c r="AR1" s="2256"/>
      <c r="AS1" s="2256"/>
      <c r="AT1" s="2256"/>
      <c r="AU1" s="2256"/>
      <c r="AV1" s="2256"/>
      <c r="AW1" s="2256"/>
      <c r="AX1" s="2256"/>
      <c r="AY1" s="2256"/>
      <c r="AZ1" s="2256"/>
      <c r="BA1" s="2256"/>
      <c r="BB1" s="2256"/>
      <c r="BC1" s="2256"/>
      <c r="BD1" s="2256"/>
      <c r="BE1" s="2256"/>
      <c r="BF1" s="2256"/>
      <c r="BG1" s="2256"/>
      <c r="BH1" s="2256"/>
      <c r="BI1" s="2256"/>
      <c r="BJ1" s="2256"/>
      <c r="BK1" s="2256"/>
      <c r="BL1" s="2256"/>
      <c r="BM1" s="2256"/>
      <c r="BN1" s="2256"/>
      <c r="BO1" s="2256"/>
      <c r="BP1" s="2256"/>
      <c r="BQ1" s="2257"/>
      <c r="BR1" s="15"/>
      <c r="BS1" s="15"/>
      <c r="BT1" s="15"/>
      <c r="BU1" s="15"/>
      <c r="BV1" s="15"/>
      <c r="BW1" s="15"/>
      <c r="BX1" s="15"/>
      <c r="BY1" s="15"/>
      <c r="BZ1" s="15"/>
      <c r="CA1" s="15"/>
      <c r="CB1" s="660" t="s">
        <v>1692</v>
      </c>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row>
    <row r="2" spans="1:142" customFormat="1" ht="65.099999999999994" customHeight="1" x14ac:dyDescent="0.2">
      <c r="A2" s="2123" t="str">
        <f>CountryName &amp;", "&amp;DataYear &amp;" (TJ)"</f>
        <v>South Africa, 2019 (TJ)</v>
      </c>
      <c r="B2" s="584" t="s">
        <v>1693</v>
      </c>
      <c r="C2" s="584" t="s">
        <v>1694</v>
      </c>
      <c r="D2" s="584" t="s">
        <v>1695</v>
      </c>
      <c r="E2" s="863" t="str">
        <f>ANTCOAL</f>
        <v>Anthracite</v>
      </c>
      <c r="F2" s="863" t="str">
        <f>COKCOAL</f>
        <v>Coking coal</v>
      </c>
      <c r="G2" s="863" t="str">
        <f>BITCOAL</f>
        <v>Other bituminous coal</v>
      </c>
      <c r="H2" s="863" t="str">
        <f>SUBCOAL</f>
        <v>Sub-bituminous coal</v>
      </c>
      <c r="I2" s="863" t="str">
        <f>LIGNITE</f>
        <v>Lignite</v>
      </c>
      <c r="J2" s="863" t="str">
        <f>PATFUEL</f>
        <v>Patent fuel</v>
      </c>
      <c r="K2" s="863" t="str">
        <f>OVENCOKE</f>
        <v>Coke oven coke</v>
      </c>
      <c r="L2" s="863" t="str">
        <f>GASCOKE</f>
        <v>Gas coke</v>
      </c>
      <c r="M2" s="863" t="str">
        <f>COALTAR</f>
        <v>Coal tar</v>
      </c>
      <c r="N2" s="886" t="str">
        <f>BKB</f>
        <v>BKB (Brown coal briquettes)</v>
      </c>
      <c r="O2" s="863" t="str">
        <f>GASWKSGS</f>
        <v>Gas works gas</v>
      </c>
      <c r="P2" s="863" t="str">
        <f>COKEOVGS</f>
        <v>Coke oven gas</v>
      </c>
      <c r="Q2" s="863" t="str">
        <f>BLFURGS</f>
        <v>Blast furnace gas</v>
      </c>
      <c r="R2" s="863" t="str">
        <f>OGASES</f>
        <v>Other recovered gases</v>
      </c>
      <c r="S2" s="886" t="str">
        <f>MANGAS</f>
        <v>Elec/heat output from non-spec. manufactured gases</v>
      </c>
      <c r="T2" s="887" t="str">
        <f>PEAT</f>
        <v>Peat</v>
      </c>
      <c r="U2" s="887" t="str">
        <f>PEATPROD</f>
        <v>Peat products</v>
      </c>
      <c r="V2" s="863" t="str">
        <f>OILSHALE</f>
        <v>Oil shale and oil sands</v>
      </c>
      <c r="W2" s="864" t="str">
        <f>CRUDEOIL</f>
        <v>Crude oil</v>
      </c>
      <c r="X2" s="864" t="str">
        <f>NGL</f>
        <v>Natural gas liquids (NGL)</v>
      </c>
      <c r="Y2" s="864" t="str">
        <f>REFFEEDS</f>
        <v>Refinery feedstocks</v>
      </c>
      <c r="Z2" s="864" t="str">
        <f>ADDITIVE</f>
        <v>Additives/ blending components</v>
      </c>
      <c r="AA2" s="881" t="str">
        <f>NONCRUDE</f>
        <v>Other hydro-carbons</v>
      </c>
      <c r="AB2" s="864" t="str">
        <f>REFINGAS</f>
        <v>Refinery gas</v>
      </c>
      <c r="AC2" s="864" t="str">
        <f>ETHANE</f>
        <v>Ethane</v>
      </c>
      <c r="AD2" s="864" t="str">
        <f>LPG</f>
        <v>Liquefied petroleum gases (LPG)</v>
      </c>
      <c r="AE2" s="864" t="str">
        <f>NONBIOGASO</f>
        <v>Motor gasoline excl. biofuels</v>
      </c>
      <c r="AF2" s="864" t="str">
        <f>AVGAS</f>
        <v>Aviation gasoline</v>
      </c>
      <c r="AG2" s="864" t="str">
        <f>JETGAS</f>
        <v>Gasoline type jet fuel</v>
      </c>
      <c r="AH2" s="864" t="str">
        <f>NONBIOJETK</f>
        <v>Kerosene type jet fuel excl. biofuels</v>
      </c>
      <c r="AI2" s="864" t="str">
        <f>OTHKERO</f>
        <v>Other kerosene</v>
      </c>
      <c r="AJ2" s="864" t="str">
        <f>NONBIODIES</f>
        <v>Gas/diesel oil excluding biofuels</v>
      </c>
      <c r="AK2" s="864" t="str">
        <f>RESFUEL</f>
        <v>Fuel oil</v>
      </c>
      <c r="AL2" s="864" t="str">
        <f>NAPHTHA</f>
        <v>Naphtha</v>
      </c>
      <c r="AM2" s="864" t="str">
        <f>WHITESP</f>
        <v>White spirit &amp; SBP</v>
      </c>
      <c r="AN2" s="864" t="str">
        <f>LUBRIC</f>
        <v>Lubricants</v>
      </c>
      <c r="AO2" s="864" t="str">
        <f>BITUMEN</f>
        <v>Bitumen</v>
      </c>
      <c r="AP2" s="864" t="str">
        <f>PARWAX</f>
        <v>Paraffin waxes</v>
      </c>
      <c r="AQ2" s="864" t="str">
        <f>PETCOKE</f>
        <v>Petroleum coke</v>
      </c>
      <c r="AR2" s="881" t="str">
        <f>ONONSPEC</f>
        <v>Non-specified oil products</v>
      </c>
      <c r="AS2" s="883" t="str">
        <f>NATGAS</f>
        <v>Natural gas</v>
      </c>
      <c r="AT2" s="880" t="str">
        <f>INDWASTE</f>
        <v>Industrial waste</v>
      </c>
      <c r="AU2" s="880" t="str">
        <f>MUNWASTER</f>
        <v>Municipal waste (renewable)</v>
      </c>
      <c r="AV2" s="880" t="str">
        <f>MUNWASTEN</f>
        <v>Municipal waste (non-renewable)</v>
      </c>
      <c r="AW2" s="880" t="str">
        <f>PRIMSBIO</f>
        <v>Primary solid biofuels</v>
      </c>
      <c r="AX2" s="880" t="str">
        <f>BIOGASES</f>
        <v>Biogases</v>
      </c>
      <c r="AY2" s="880" t="str">
        <f>BIOGASOL</f>
        <v>Biogasoline</v>
      </c>
      <c r="AZ2" s="880" t="str">
        <f>BIOJETKERO</f>
        <v>Bio jet kerosene</v>
      </c>
      <c r="BA2" s="880" t="str">
        <f>BIODIESEL</f>
        <v>Biodiesels</v>
      </c>
      <c r="BB2" s="880" t="str">
        <f>OBIOLIQ</f>
        <v>Other liquid biofuels</v>
      </c>
      <c r="BC2" s="880" t="str">
        <f>RENEWNS</f>
        <v>Non-specified primary biofuels/ waste</v>
      </c>
      <c r="BD2" s="885" t="str">
        <f>CHARCOAL</f>
        <v>Charcoal</v>
      </c>
      <c r="BE2" s="865" t="str">
        <f>NUCLEAR</f>
        <v>Nuclear</v>
      </c>
      <c r="BF2" s="865" t="str">
        <f>HYDRO</f>
        <v>Hydro</v>
      </c>
      <c r="BG2" s="865" t="str">
        <f>GEOTHERM</f>
        <v>Geothermal</v>
      </c>
      <c r="BH2" s="865" t="str">
        <f>SOLARPV</f>
        <v>Solar photovoltaic</v>
      </c>
      <c r="BI2" s="865" t="str">
        <f>SOLARTH</f>
        <v>Solar thermal</v>
      </c>
      <c r="BJ2" s="865" t="str">
        <f>TIDE</f>
        <v>Tide/ wave/ ocean</v>
      </c>
      <c r="BK2" s="865" t="str">
        <f>WIND</f>
        <v>Wind</v>
      </c>
      <c r="BL2" s="865" t="str">
        <f>OTHER</f>
        <v>Other sources</v>
      </c>
      <c r="BM2" s="865" t="str">
        <f>ELECTR</f>
        <v>Electricity</v>
      </c>
      <c r="BN2" s="865" t="str">
        <f>HEAT</f>
        <v>Heat</v>
      </c>
      <c r="BO2" s="1149" t="str">
        <f>HEATNS</f>
        <v>Heat output from non-specified combustible fuels</v>
      </c>
      <c r="BP2" s="1150" t="str">
        <f>HLOOKUP(LangChoice,Definitions_ProdLang!$M$2:$P$30,5)</f>
        <v>Total of all energy sources</v>
      </c>
      <c r="BQ2" s="913" t="str">
        <f>HLOOKUP(LangChoice,Definitions_ProdLang!$M$2:$P$30,14)</f>
        <v>Share of renewables in supply (%)</v>
      </c>
      <c r="CA2" s="660" t="s">
        <v>74</v>
      </c>
      <c r="CB2" s="1052" t="str">
        <f>E3</f>
        <v>ANTCOAL</v>
      </c>
      <c r="CC2" s="1052" t="str">
        <f t="shared" ref="CC2:EK2" si="0">F3</f>
        <v>COKCOAL</v>
      </c>
      <c r="CD2" s="1052" t="str">
        <f t="shared" si="0"/>
        <v>BITCOAL</v>
      </c>
      <c r="CE2" s="1052" t="str">
        <f t="shared" si="0"/>
        <v>SUBCOAL</v>
      </c>
      <c r="CF2" s="1052" t="str">
        <f t="shared" si="0"/>
        <v>LIGNITE</v>
      </c>
      <c r="CG2" s="1052" t="str">
        <f t="shared" si="0"/>
        <v>PATFUEL</v>
      </c>
      <c r="CH2" s="1052" t="str">
        <f t="shared" si="0"/>
        <v>OVENCOKE</v>
      </c>
      <c r="CI2" s="1052" t="str">
        <f t="shared" si="0"/>
        <v>GASCOKE</v>
      </c>
      <c r="CJ2" s="1052" t="str">
        <f t="shared" si="0"/>
        <v>COALTAR</v>
      </c>
      <c r="CK2" s="1052" t="str">
        <f t="shared" si="0"/>
        <v>BKB</v>
      </c>
      <c r="CL2" s="1052" t="str">
        <f t="shared" si="0"/>
        <v>GASWKSGS</v>
      </c>
      <c r="CM2" s="1052" t="str">
        <f t="shared" si="0"/>
        <v>COKEOVGS</v>
      </c>
      <c r="CN2" s="1052" t="str">
        <f t="shared" si="0"/>
        <v>BLFURGS</v>
      </c>
      <c r="CO2" s="1052" t="str">
        <f t="shared" si="0"/>
        <v>OGASES</v>
      </c>
      <c r="CP2" s="1052" t="str">
        <f t="shared" si="0"/>
        <v>MANGAS</v>
      </c>
      <c r="CQ2" s="1052" t="str">
        <f t="shared" si="0"/>
        <v>PEAT</v>
      </c>
      <c r="CR2" s="1052" t="str">
        <f t="shared" si="0"/>
        <v>PEATPROD</v>
      </c>
      <c r="CS2" s="1052" t="str">
        <f t="shared" si="0"/>
        <v>OILSHALE</v>
      </c>
      <c r="CT2" s="1052" t="str">
        <f t="shared" si="0"/>
        <v>CRUDEOIL</v>
      </c>
      <c r="CU2" s="1052" t="str">
        <f t="shared" si="0"/>
        <v>NGL</v>
      </c>
      <c r="CV2" s="1052" t="str">
        <f t="shared" si="0"/>
        <v>REFFEEDS</v>
      </c>
      <c r="CW2" s="1052" t="str">
        <f t="shared" si="0"/>
        <v>ADDITIVE</v>
      </c>
      <c r="CX2" s="1052" t="str">
        <f t="shared" si="0"/>
        <v>NONCRUDE</v>
      </c>
      <c r="CY2" s="1052" t="str">
        <f t="shared" si="0"/>
        <v>REFINGAS</v>
      </c>
      <c r="CZ2" s="1052" t="str">
        <f t="shared" si="0"/>
        <v>ETHANE</v>
      </c>
      <c r="DA2" s="1052" t="str">
        <f t="shared" si="0"/>
        <v>LPG</v>
      </c>
      <c r="DB2" s="1052" t="str">
        <f t="shared" si="0"/>
        <v>NONBIOGASO</v>
      </c>
      <c r="DC2" s="1052" t="str">
        <f t="shared" si="0"/>
        <v>AVGAS</v>
      </c>
      <c r="DD2" s="1052" t="str">
        <f t="shared" si="0"/>
        <v>JETGAS</v>
      </c>
      <c r="DE2" s="1052" t="str">
        <f t="shared" si="0"/>
        <v>NONBIOJETK</v>
      </c>
      <c r="DF2" s="1052" t="str">
        <f t="shared" si="0"/>
        <v>OTHKERO</v>
      </c>
      <c r="DG2" s="1052" t="str">
        <f t="shared" si="0"/>
        <v>NONBIODIES</v>
      </c>
      <c r="DH2" s="1052" t="str">
        <f t="shared" si="0"/>
        <v>RESFUEL</v>
      </c>
      <c r="DI2" s="1052" t="str">
        <f t="shared" si="0"/>
        <v>NAPHTHA</v>
      </c>
      <c r="DJ2" s="1052" t="str">
        <f t="shared" si="0"/>
        <v>WHITESP</v>
      </c>
      <c r="DK2" s="1052" t="str">
        <f t="shared" si="0"/>
        <v>LUBRIC</v>
      </c>
      <c r="DL2" s="1052" t="str">
        <f t="shared" si="0"/>
        <v>BITUMEN</v>
      </c>
      <c r="DM2" s="1052" t="str">
        <f t="shared" si="0"/>
        <v>PARWAX</v>
      </c>
      <c r="DN2" s="1052" t="str">
        <f t="shared" si="0"/>
        <v>PETCOKE</v>
      </c>
      <c r="DO2" s="1052" t="str">
        <f t="shared" si="0"/>
        <v>ONONSPEC</v>
      </c>
      <c r="DP2" s="1052" t="str">
        <f t="shared" si="0"/>
        <v>NATGAS</v>
      </c>
      <c r="DQ2" s="1052" t="str">
        <f t="shared" si="0"/>
        <v>INDWASTE</v>
      </c>
      <c r="DR2" s="1052" t="str">
        <f t="shared" si="0"/>
        <v>MUNWASTER</v>
      </c>
      <c r="DS2" s="1052" t="str">
        <f t="shared" si="0"/>
        <v>MUNWASTEN</v>
      </c>
      <c r="DT2" s="1052" t="str">
        <f t="shared" si="0"/>
        <v>PRIMSBIO</v>
      </c>
      <c r="DU2" s="1052" t="str">
        <f t="shared" si="0"/>
        <v>BIOGASES</v>
      </c>
      <c r="DV2" s="1052" t="str">
        <f t="shared" si="0"/>
        <v>BIOGASOL</v>
      </c>
      <c r="DW2" s="1052" t="str">
        <f t="shared" si="0"/>
        <v>BIOJETKERO</v>
      </c>
      <c r="DX2" s="1052" t="str">
        <f t="shared" si="0"/>
        <v>BIODIESEL</v>
      </c>
      <c r="DY2" s="1052" t="str">
        <f t="shared" si="0"/>
        <v>OBIOLIQ</v>
      </c>
      <c r="DZ2" s="1052" t="str">
        <f t="shared" si="0"/>
        <v>RENEWNS</v>
      </c>
      <c r="EA2" s="1052" t="str">
        <f t="shared" si="0"/>
        <v>CHARCOAL</v>
      </c>
      <c r="EB2" s="1052" t="str">
        <f t="shared" si="0"/>
        <v>NUCLEAR</v>
      </c>
      <c r="EC2" s="1052" t="str">
        <f t="shared" si="0"/>
        <v>HYDRO</v>
      </c>
      <c r="ED2" s="1052" t="str">
        <f t="shared" si="0"/>
        <v>GEOTHERM</v>
      </c>
      <c r="EE2" s="1052" t="str">
        <f t="shared" si="0"/>
        <v>SOLARPV</v>
      </c>
      <c r="EF2" s="1052" t="str">
        <f t="shared" si="0"/>
        <v>SOLARTH</v>
      </c>
      <c r="EG2" s="1052" t="str">
        <f t="shared" si="0"/>
        <v>TIDE</v>
      </c>
      <c r="EH2" s="1052" t="str">
        <f t="shared" si="0"/>
        <v>WIND</v>
      </c>
      <c r="EI2" s="1052" t="str">
        <f t="shared" si="0"/>
        <v>OTHER</v>
      </c>
      <c r="EJ2" s="1052" t="str">
        <f t="shared" si="0"/>
        <v>ELECTR</v>
      </c>
      <c r="EK2" s="1052" t="str">
        <f t="shared" si="0"/>
        <v>HEAT</v>
      </c>
      <c r="EL2" s="660" t="s">
        <v>74</v>
      </c>
    </row>
    <row r="3" spans="1:142" s="866" customFormat="1" ht="11.25" hidden="1" x14ac:dyDescent="0.2">
      <c r="A3" s="874" t="s">
        <v>1696</v>
      </c>
      <c r="E3" s="706" t="s">
        <v>325</v>
      </c>
      <c r="F3" s="706" t="s">
        <v>338</v>
      </c>
      <c r="G3" s="706" t="s">
        <v>348</v>
      </c>
      <c r="H3" s="706" t="s">
        <v>358</v>
      </c>
      <c r="I3" s="706" t="s">
        <v>368</v>
      </c>
      <c r="J3" s="706" t="s">
        <v>377</v>
      </c>
      <c r="K3" s="706" t="s">
        <v>387</v>
      </c>
      <c r="L3" s="706" t="s">
        <v>397</v>
      </c>
      <c r="M3" s="706" t="s">
        <v>407</v>
      </c>
      <c r="N3" s="706" t="s">
        <v>418</v>
      </c>
      <c r="O3" s="706" t="s">
        <v>428</v>
      </c>
      <c r="P3" s="872" t="s">
        <v>441</v>
      </c>
      <c r="Q3" s="872" t="s">
        <v>448</v>
      </c>
      <c r="R3" s="872" t="s">
        <v>455</v>
      </c>
      <c r="S3" s="873" t="s">
        <v>462</v>
      </c>
      <c r="T3" s="873" t="s">
        <v>469</v>
      </c>
      <c r="U3" s="873" t="s">
        <v>476</v>
      </c>
      <c r="V3" s="873" t="s">
        <v>483</v>
      </c>
      <c r="W3" s="706" t="s">
        <v>493</v>
      </c>
      <c r="X3" s="706" t="s">
        <v>500</v>
      </c>
      <c r="Y3" s="706" t="s">
        <v>507</v>
      </c>
      <c r="Z3" s="706" t="s">
        <v>514</v>
      </c>
      <c r="AA3" s="706" t="s">
        <v>521</v>
      </c>
      <c r="AB3" s="706" t="s">
        <v>531</v>
      </c>
      <c r="AC3" s="706" t="s">
        <v>538</v>
      </c>
      <c r="AD3" s="706" t="s">
        <v>545</v>
      </c>
      <c r="AE3" s="706" t="s">
        <v>552</v>
      </c>
      <c r="AF3" s="706" t="s">
        <v>559</v>
      </c>
      <c r="AG3" s="706" t="s">
        <v>566</v>
      </c>
      <c r="AH3" s="706" t="s">
        <v>573</v>
      </c>
      <c r="AI3" s="706" t="s">
        <v>580</v>
      </c>
      <c r="AJ3" s="706" t="s">
        <v>587</v>
      </c>
      <c r="AK3" s="706" t="s">
        <v>594</v>
      </c>
      <c r="AL3" s="706" t="s">
        <v>601</v>
      </c>
      <c r="AM3" s="706" t="s">
        <v>608</v>
      </c>
      <c r="AN3" s="706" t="s">
        <v>615</v>
      </c>
      <c r="AO3" s="706" t="s">
        <v>622</v>
      </c>
      <c r="AP3" s="706" t="s">
        <v>629</v>
      </c>
      <c r="AQ3" s="706" t="s">
        <v>636</v>
      </c>
      <c r="AR3" s="882" t="s">
        <v>643</v>
      </c>
      <c r="AS3" s="884" t="s">
        <v>653</v>
      </c>
      <c r="AT3" s="872" t="s">
        <v>659</v>
      </c>
      <c r="AU3" s="872" t="s">
        <v>669</v>
      </c>
      <c r="AV3" s="872" t="s">
        <v>676</v>
      </c>
      <c r="AW3" s="872" t="s">
        <v>682</v>
      </c>
      <c r="AX3" s="872" t="s">
        <v>689</v>
      </c>
      <c r="AY3" s="872" t="s">
        <v>696</v>
      </c>
      <c r="AZ3" s="872" t="s">
        <v>703</v>
      </c>
      <c r="BA3" s="872" t="s">
        <v>710</v>
      </c>
      <c r="BB3" s="872" t="s">
        <v>717</v>
      </c>
      <c r="BC3" s="873" t="s">
        <v>724</v>
      </c>
      <c r="BD3" s="882" t="s">
        <v>731</v>
      </c>
      <c r="BE3" s="873" t="s">
        <v>740</v>
      </c>
      <c r="BF3" s="872" t="s">
        <v>750</v>
      </c>
      <c r="BG3" s="872" t="s">
        <v>757</v>
      </c>
      <c r="BH3" s="872" t="s">
        <v>767</v>
      </c>
      <c r="BI3" s="872" t="s">
        <v>774</v>
      </c>
      <c r="BJ3" s="872" t="s">
        <v>781</v>
      </c>
      <c r="BK3" s="872" t="s">
        <v>788</v>
      </c>
      <c r="BL3" s="873" t="s">
        <v>816</v>
      </c>
      <c r="BM3" s="872" t="s">
        <v>823</v>
      </c>
      <c r="BN3" s="872" t="s">
        <v>830</v>
      </c>
      <c r="BO3" s="873" t="s">
        <v>837</v>
      </c>
      <c r="BP3" s="1151"/>
      <c r="BQ3" s="912"/>
      <c r="CB3" s="866" t="s">
        <v>325</v>
      </c>
      <c r="CC3" s="866" t="s">
        <v>338</v>
      </c>
      <c r="CD3" s="866" t="s">
        <v>348</v>
      </c>
      <c r="CE3" s="866" t="s">
        <v>358</v>
      </c>
      <c r="CF3" s="866" t="s">
        <v>368</v>
      </c>
      <c r="CG3" s="866" t="s">
        <v>377</v>
      </c>
      <c r="CH3" s="866" t="s">
        <v>387</v>
      </c>
      <c r="CI3" s="866" t="s">
        <v>397</v>
      </c>
      <c r="CJ3" s="866" t="s">
        <v>407</v>
      </c>
      <c r="CK3" s="866" t="s">
        <v>418</v>
      </c>
      <c r="CL3" s="866" t="s">
        <v>428</v>
      </c>
      <c r="CM3" s="866" t="s">
        <v>441</v>
      </c>
      <c r="CN3" s="866" t="s">
        <v>448</v>
      </c>
      <c r="CO3" s="866" t="s">
        <v>455</v>
      </c>
      <c r="CP3" s="866" t="s">
        <v>462</v>
      </c>
      <c r="CQ3" s="866" t="s">
        <v>469</v>
      </c>
      <c r="CR3" s="866" t="s">
        <v>476</v>
      </c>
      <c r="CS3" s="866" t="s">
        <v>483</v>
      </c>
      <c r="CT3" s="866" t="s">
        <v>493</v>
      </c>
      <c r="CU3" s="866" t="s">
        <v>500</v>
      </c>
      <c r="CV3" s="866" t="s">
        <v>507</v>
      </c>
      <c r="CW3" s="866" t="s">
        <v>514</v>
      </c>
      <c r="CX3" s="866" t="s">
        <v>521</v>
      </c>
      <c r="CY3" s="866" t="s">
        <v>531</v>
      </c>
      <c r="CZ3" s="866" t="s">
        <v>538</v>
      </c>
      <c r="DA3" s="866" t="s">
        <v>545</v>
      </c>
      <c r="DB3" s="866" t="s">
        <v>552</v>
      </c>
      <c r="DC3" s="866" t="s">
        <v>559</v>
      </c>
      <c r="DD3" s="866" t="s">
        <v>566</v>
      </c>
      <c r="DE3" s="866" t="s">
        <v>573</v>
      </c>
      <c r="DF3" s="866" t="s">
        <v>580</v>
      </c>
      <c r="DG3" s="866" t="s">
        <v>587</v>
      </c>
      <c r="DH3" s="866" t="s">
        <v>594</v>
      </c>
      <c r="DI3" s="866" t="s">
        <v>601</v>
      </c>
      <c r="DJ3" s="866" t="s">
        <v>608</v>
      </c>
      <c r="DK3" s="866" t="s">
        <v>615</v>
      </c>
      <c r="DL3" s="866" t="s">
        <v>622</v>
      </c>
      <c r="DM3" s="866" t="s">
        <v>629</v>
      </c>
      <c r="DN3" s="866" t="s">
        <v>636</v>
      </c>
      <c r="DO3" s="866" t="s">
        <v>643</v>
      </c>
      <c r="DP3" s="866" t="s">
        <v>653</v>
      </c>
      <c r="DQ3" s="866" t="s">
        <v>659</v>
      </c>
      <c r="DR3" s="866" t="s">
        <v>669</v>
      </c>
      <c r="DS3" s="866" t="s">
        <v>676</v>
      </c>
      <c r="DT3" s="866" t="s">
        <v>682</v>
      </c>
      <c r="DU3" s="866" t="s">
        <v>689</v>
      </c>
      <c r="DV3" s="866" t="s">
        <v>696</v>
      </c>
      <c r="DW3" s="866" t="s">
        <v>703</v>
      </c>
      <c r="DX3" s="866" t="s">
        <v>710</v>
      </c>
      <c r="DY3" s="866" t="s">
        <v>717</v>
      </c>
      <c r="DZ3" s="866" t="s">
        <v>724</v>
      </c>
      <c r="EA3" s="866" t="s">
        <v>731</v>
      </c>
      <c r="EB3" s="866" t="s">
        <v>740</v>
      </c>
      <c r="EC3" s="866" t="s">
        <v>750</v>
      </c>
      <c r="ED3" s="866" t="s">
        <v>757</v>
      </c>
      <c r="EE3" s="866" t="s">
        <v>767</v>
      </c>
      <c r="EF3" s="866" t="s">
        <v>774</v>
      </c>
      <c r="EG3" s="866" t="s">
        <v>781</v>
      </c>
      <c r="EH3" s="866" t="s">
        <v>788</v>
      </c>
      <c r="EI3" s="866" t="s">
        <v>816</v>
      </c>
      <c r="EJ3" s="866" t="s">
        <v>823</v>
      </c>
      <c r="EK3" s="866" t="s">
        <v>830</v>
      </c>
      <c r="EL3" s="866" t="s">
        <v>837</v>
      </c>
    </row>
    <row r="4" spans="1:142" s="866" customFormat="1" ht="11.25" hidden="1" x14ac:dyDescent="0.2">
      <c r="A4" s="875" t="s">
        <v>1697</v>
      </c>
      <c r="E4" s="706">
        <f t="shared" ref="E4:BD4" si="1">MATCH(E3,RawDataHeadings,0)</f>
        <v>2</v>
      </c>
      <c r="F4" s="706">
        <f t="shared" si="1"/>
        <v>3</v>
      </c>
      <c r="G4" s="706">
        <f t="shared" si="1"/>
        <v>4</v>
      </c>
      <c r="H4" s="706">
        <f t="shared" si="1"/>
        <v>5</v>
      </c>
      <c r="I4" s="706">
        <f t="shared" si="1"/>
        <v>6</v>
      </c>
      <c r="J4" s="706">
        <f t="shared" si="1"/>
        <v>7</v>
      </c>
      <c r="K4" s="706">
        <f t="shared" si="1"/>
        <v>8</v>
      </c>
      <c r="L4" s="706">
        <f t="shared" si="1"/>
        <v>9</v>
      </c>
      <c r="M4" s="706">
        <f t="shared" si="1"/>
        <v>10</v>
      </c>
      <c r="N4" s="706">
        <f t="shared" si="1"/>
        <v>11</v>
      </c>
      <c r="O4" s="706">
        <f t="shared" si="1"/>
        <v>12</v>
      </c>
      <c r="P4" s="706">
        <f t="shared" si="1"/>
        <v>13</v>
      </c>
      <c r="Q4" s="706">
        <f t="shared" si="1"/>
        <v>14</v>
      </c>
      <c r="R4" s="706">
        <f t="shared" si="1"/>
        <v>15</v>
      </c>
      <c r="S4" s="706">
        <f>MATCH(S3,RawDataHeadings,0)</f>
        <v>16</v>
      </c>
      <c r="T4" s="706">
        <f t="shared" si="1"/>
        <v>17</v>
      </c>
      <c r="U4" s="706">
        <f t="shared" si="1"/>
        <v>18</v>
      </c>
      <c r="V4" s="706">
        <f t="shared" si="1"/>
        <v>19</v>
      </c>
      <c r="W4" s="706">
        <f t="shared" si="1"/>
        <v>20</v>
      </c>
      <c r="X4" s="706">
        <f t="shared" si="1"/>
        <v>21</v>
      </c>
      <c r="Y4" s="706">
        <f t="shared" si="1"/>
        <v>22</v>
      </c>
      <c r="Z4" s="706">
        <f t="shared" si="1"/>
        <v>23</v>
      </c>
      <c r="AA4" s="706">
        <f t="shared" si="1"/>
        <v>24</v>
      </c>
      <c r="AB4" s="706">
        <f t="shared" si="1"/>
        <v>25</v>
      </c>
      <c r="AC4" s="706">
        <f t="shared" si="1"/>
        <v>26</v>
      </c>
      <c r="AD4" s="706">
        <f t="shared" si="1"/>
        <v>27</v>
      </c>
      <c r="AE4" s="706">
        <f t="shared" si="1"/>
        <v>28</v>
      </c>
      <c r="AF4" s="706">
        <f t="shared" si="1"/>
        <v>29</v>
      </c>
      <c r="AG4" s="706">
        <f t="shared" si="1"/>
        <v>30</v>
      </c>
      <c r="AH4" s="706">
        <f t="shared" si="1"/>
        <v>31</v>
      </c>
      <c r="AI4" s="706">
        <f t="shared" si="1"/>
        <v>32</v>
      </c>
      <c r="AJ4" s="706">
        <f t="shared" si="1"/>
        <v>33</v>
      </c>
      <c r="AK4" s="706">
        <f t="shared" si="1"/>
        <v>34</v>
      </c>
      <c r="AL4" s="706">
        <f t="shared" si="1"/>
        <v>35</v>
      </c>
      <c r="AM4" s="706">
        <f t="shared" si="1"/>
        <v>36</v>
      </c>
      <c r="AN4" s="706">
        <f t="shared" si="1"/>
        <v>37</v>
      </c>
      <c r="AO4" s="706">
        <f t="shared" si="1"/>
        <v>38</v>
      </c>
      <c r="AP4" s="706">
        <f t="shared" si="1"/>
        <v>39</v>
      </c>
      <c r="AQ4" s="706">
        <f t="shared" si="1"/>
        <v>40</v>
      </c>
      <c r="AR4" s="882">
        <f t="shared" si="1"/>
        <v>41</v>
      </c>
      <c r="AS4" s="884">
        <f t="shared" si="1"/>
        <v>42</v>
      </c>
      <c r="AT4" s="706">
        <f t="shared" si="1"/>
        <v>43</v>
      </c>
      <c r="AU4" s="706">
        <f t="shared" si="1"/>
        <v>44</v>
      </c>
      <c r="AV4" s="706">
        <f t="shared" si="1"/>
        <v>45</v>
      </c>
      <c r="AW4" s="706">
        <f t="shared" si="1"/>
        <v>46</v>
      </c>
      <c r="AX4" s="706">
        <f t="shared" si="1"/>
        <v>47</v>
      </c>
      <c r="AY4" s="706">
        <f t="shared" si="1"/>
        <v>48</v>
      </c>
      <c r="AZ4" s="706">
        <f>MATCH(AZ3,RawDataHeadings,0)</f>
        <v>49</v>
      </c>
      <c r="BA4" s="706">
        <f t="shared" si="1"/>
        <v>50</v>
      </c>
      <c r="BB4" s="706">
        <f t="shared" si="1"/>
        <v>51</v>
      </c>
      <c r="BC4" s="706">
        <f t="shared" si="1"/>
        <v>52</v>
      </c>
      <c r="BD4" s="882">
        <f t="shared" si="1"/>
        <v>53</v>
      </c>
      <c r="BE4" s="706">
        <f t="shared" ref="BE4:BN4" si="2">MATCH(BE3,RawDataHeadings,0)</f>
        <v>54</v>
      </c>
      <c r="BF4" s="706">
        <f t="shared" si="2"/>
        <v>55</v>
      </c>
      <c r="BG4" s="706">
        <f t="shared" si="2"/>
        <v>56</v>
      </c>
      <c r="BH4" s="706">
        <f t="shared" si="2"/>
        <v>57</v>
      </c>
      <c r="BI4" s="706">
        <f t="shared" si="2"/>
        <v>58</v>
      </c>
      <c r="BJ4" s="706">
        <f t="shared" si="2"/>
        <v>59</v>
      </c>
      <c r="BK4" s="706">
        <f t="shared" si="2"/>
        <v>60</v>
      </c>
      <c r="BL4" s="706">
        <f t="shared" si="2"/>
        <v>64</v>
      </c>
      <c r="BM4" s="706">
        <f t="shared" si="2"/>
        <v>65</v>
      </c>
      <c r="BN4" s="706">
        <f t="shared" si="2"/>
        <v>66</v>
      </c>
      <c r="BO4" s="706">
        <f>MATCH(BO3,RawDataHeadings,0)</f>
        <v>67</v>
      </c>
      <c r="BP4" s="1152"/>
      <c r="BQ4" s="912"/>
    </row>
    <row r="5" spans="1:142" s="20" customFormat="1" ht="11.25" x14ac:dyDescent="0.2">
      <c r="A5" s="905" t="str">
        <f>INDPROD</f>
        <v>Production</v>
      </c>
      <c r="B5" s="230" t="s">
        <v>852</v>
      </c>
      <c r="C5" s="230" t="s">
        <v>1640</v>
      </c>
      <c r="D5" s="221">
        <f>MATCH(C5,CFHeadings,0)</f>
        <v>3</v>
      </c>
      <c r="E5" s="2157">
        <f ca="1">(VLOOKUP($B5,RawData,E$4,FALSE)*VLOOKUP(E$3,ConversionFactors,$D5,FALSE)+VLOOKUP("OSCOAL",RawData,E$4,FALSE)*VLOOKUP(E$3,ConversionFactors,MATCH("NOSOURCES",CFHeadings,0),FALSE))/1000</f>
        <v>72627.790480000011</v>
      </c>
      <c r="F5" s="2157">
        <f ca="1">(VLOOKUP($B5,RawData,F$4,FALSE)*VLOOKUP(F$3,ConversionFactors,$D5,FALSE)+VLOOKUP("OSCOAL",RawData,F$4,FALSE)*VLOOKUP(F$3,ConversionFactors,MATCH("NOSOURCES",CFHeadings,0),FALSE))/1000</f>
        <v>73472.066754999993</v>
      </c>
      <c r="G5" s="2157">
        <f ca="1">(VLOOKUP($B5,RawData,G$4,FALSE)*VLOOKUP(G$3,ConversionFactors,$D5,FALSE)+VLOOKUP("OSCOAL",RawData,G$4,FALSE)*VLOOKUP(G$3,ConversionFactors,MATCH("NOSOURCES",CFHeadings,0),FALSE))/1000</f>
        <v>5874766.5079040006</v>
      </c>
      <c r="H5" s="2157">
        <f ca="1">(VLOOKUP($B5,RawData,H$4,FALSE)*VLOOKUP(H$3,ConversionFactors,$D5,FALSE)+VLOOKUP("OSCOAL",RawData,H$4,FALSE)*VLOOKUP(H$3,ConversionFactors,MATCH("NOSOURCES",CFHeadings,0),FALSE))/1000</f>
        <v>0</v>
      </c>
      <c r="I5" s="2157">
        <f ca="1">(VLOOKUP($B5,RawData,I$4,FALSE)*VLOOKUP(I$3,ConversionFactors,$D5,FALSE)+VLOOKUP("OSCOAL",RawData,I$4,FALSE)*VLOOKUP(I$3,ConversionFactors,MATCH("NOSOURCES",CFHeadings,0),FALSE))/1000</f>
        <v>0</v>
      </c>
      <c r="J5" s="2157">
        <v>0</v>
      </c>
      <c r="K5" s="2157">
        <v>0</v>
      </c>
      <c r="L5" s="2157">
        <v>0</v>
      </c>
      <c r="M5" s="2157">
        <v>0</v>
      </c>
      <c r="N5" s="2157">
        <v>0</v>
      </c>
      <c r="O5" s="2157">
        <v>0</v>
      </c>
      <c r="P5" s="2157">
        <v>0</v>
      </c>
      <c r="Q5" s="2157">
        <v>0</v>
      </c>
      <c r="R5" s="2157">
        <v>0</v>
      </c>
      <c r="S5" s="2158">
        <v>0</v>
      </c>
      <c r="T5" s="2157">
        <f ca="1">(VLOOKUP($B5,RawData,T$4,FALSE)*VLOOKUP(T$3,ConversionFactors,$D5,FALSE)+VLOOKUP("OSCOAL",RawData,T$4,FALSE)*VLOOKUP(T$3,ConversionFactors,MATCH("NOSOURCES",CFHeadings,0),FALSE))/1000</f>
        <v>0</v>
      </c>
      <c r="U5" s="2157">
        <v>0</v>
      </c>
      <c r="V5" s="2157">
        <f ca="1">(VLOOKUP($B5,RawData,V$4,FALSE)*VLOOKUP(V$3,ConversionFactors,$D5,FALSE)+VLOOKUP("OSCOAL",RawData,V$4,FALSE)*VLOOKUP(V$3,ConversionFactors,MATCH("NOSOURCES",CFHeadings,0),FALSE))/1000</f>
        <v>0</v>
      </c>
      <c r="W5" s="2159">
        <f ca="1">VLOOKUP($B5,RawData,W$4,FALSE)*VLOOKUP(W$3,ConversionFactors,$D5,FALSE)/1000000</f>
        <v>0.920871</v>
      </c>
      <c r="X5" s="2160">
        <f t="shared" ref="W5:Y7" ca="1" si="3">VLOOKUP($B5,RawData,X$4,FALSE)*VLOOKUP(X$3,ConversionFactors,$D5,FALSE)/1000</f>
        <v>16798.853859999999</v>
      </c>
      <c r="Y5" s="2160">
        <f t="shared" ca="1" si="3"/>
        <v>0</v>
      </c>
      <c r="Z5" s="2161">
        <f ca="1">SUM(VLOOKUP($B5,RawData,Z$4,FALSE),VLOOKUP("OSCOAL",RawData,Z$4,FALSE),VLOOKUP("OSNATGAS",RawData,Z$4,FALSE),VLOOKUP("OSOIL",RawData,Z$4,FALSE),VLOOKUP("OSRENEW",RawData,Z$4,FALSE),VLOOKUP("OSNONSPEC",RawData,Z$4,FALSE))*VLOOKUP(Z$3,ConversionFactors,$D5,FALSE)/1000</f>
        <v>0</v>
      </c>
      <c r="AA5" s="2161" t="e">
        <f ca="1">SUM(VLOOKUP($B5,RawData,AA$4,FALSE),VLOOKUP("OSCOAL",RawData,AA$4,FALSE),VLOOKUP("OSNATGAS",RawData,AA$4,FALSE),VLOOKUP("OSOIL",RawData,AA$4,FALSE),VLOOKUP("OSRENEW",RawData,AA$4,FALSE),VLOOKUP("OSNONSPEC",RawData,AA$4,FALSE))*VLOOKUP(AA$3,ConversionFactors,$D5,FALSE)/1000</f>
        <v>#VALUE!</v>
      </c>
      <c r="AB5" s="2161">
        <f t="shared" ref="AB5:AM10" ca="1" si="4">VLOOKUP($B5,RawData,AB$4,FALSE)*VLOOKUP(AB$3,ConversionFactors,2,FALSE)/1000000</f>
        <v>8.0334797109960938</v>
      </c>
      <c r="AC5" s="2161">
        <f t="shared" ca="1" si="4"/>
        <v>0</v>
      </c>
      <c r="AD5" s="2161">
        <f t="shared" ca="1" si="4"/>
        <v>9097.5154199999997</v>
      </c>
      <c r="AE5" s="2161">
        <f t="shared" ca="1" si="4"/>
        <v>178435.83564041401</v>
      </c>
      <c r="AF5" s="2161">
        <f t="shared" ca="1" si="4"/>
        <v>15428.993114687501</v>
      </c>
      <c r="AG5" s="2161">
        <f t="shared" ca="1" si="4"/>
        <v>14239.829952</v>
      </c>
      <c r="AH5" s="2161">
        <f t="shared" ca="1" si="4"/>
        <v>29329.541285625</v>
      </c>
      <c r="AI5" s="2161">
        <f t="shared" ca="1" si="4"/>
        <v>13127.19428053125</v>
      </c>
      <c r="AJ5" s="2161">
        <f t="shared" ca="1" si="4"/>
        <v>192162.43621122118</v>
      </c>
      <c r="AK5" s="2161">
        <f t="shared" ca="1" si="4"/>
        <v>111010.97427000001</v>
      </c>
      <c r="AL5" s="2161">
        <f t="shared" ca="1" si="4"/>
        <v>6916.7221461874997</v>
      </c>
      <c r="AM5" s="2161">
        <f t="shared" ca="1" si="4"/>
        <v>586.91550067382809</v>
      </c>
      <c r="AN5" s="2160">
        <v>0</v>
      </c>
      <c r="AO5" s="2160">
        <v>0</v>
      </c>
      <c r="AP5" s="2160">
        <v>0</v>
      </c>
      <c r="AQ5" s="2160">
        <v>0</v>
      </c>
      <c r="AR5" s="2162">
        <v>0</v>
      </c>
      <c r="AS5" s="2163">
        <v>655</v>
      </c>
      <c r="AT5" s="2164">
        <f t="shared" ref="AT5:AX10" si="5">VLOOKUP($B5,RawData,AT$4,FALSE)*1</f>
        <v>0</v>
      </c>
      <c r="AU5" s="2164">
        <f t="shared" si="5"/>
        <v>0</v>
      </c>
      <c r="AV5" s="2164">
        <f t="shared" si="5"/>
        <v>0</v>
      </c>
      <c r="AW5" s="2164">
        <f t="shared" si="5"/>
        <v>0</v>
      </c>
      <c r="AX5" s="2164">
        <f t="shared" si="5"/>
        <v>0</v>
      </c>
      <c r="AY5" s="2164">
        <f t="shared" ref="AY5:BB10" ca="1" si="6">VLOOKUP($B5,RawData,AY$4,FALSE)*VLOOKUP(AY$3,ConversionFactors,2,FALSE)/1000</f>
        <v>0</v>
      </c>
      <c r="AZ5" s="2164">
        <f t="shared" ca="1" si="6"/>
        <v>0</v>
      </c>
      <c r="BA5" s="2164">
        <f t="shared" ca="1" si="6"/>
        <v>0</v>
      </c>
      <c r="BB5" s="2164">
        <f t="shared" ca="1" si="6"/>
        <v>0</v>
      </c>
      <c r="BC5" s="2164">
        <f t="shared" ref="BC5:BC10" si="7">VLOOKUP($B5,RawData,BC$4,FALSE)*1</f>
        <v>0</v>
      </c>
      <c r="BD5" s="2165">
        <v>0</v>
      </c>
      <c r="BE5" s="2166">
        <f>VLOOKUP($B5,RawData,BE$4,FALSE)-BE14</f>
        <v>198135.20818181819</v>
      </c>
      <c r="BF5" s="2166">
        <f>VLOOKUP($B5,RawData,BF$4,FALSE)-BF14</f>
        <v>-56949.423599999995</v>
      </c>
      <c r="BG5" s="2166">
        <f>VLOOKUP($B5,RawData,BG$4,FALSE)*1</f>
        <v>0</v>
      </c>
      <c r="BH5" s="2166">
        <f>VLOOKUP($B5,RawData,BH$4,FALSE)-BH14</f>
        <v>14061.509999999998</v>
      </c>
      <c r="BI5" s="2166">
        <f>VLOOKUP($B5,RawData,BI$4,FALSE)*1</f>
        <v>0</v>
      </c>
      <c r="BJ5" s="2166">
        <f>VLOOKUP($B5,RawData,BJ$4,FALSE)-BJ14</f>
        <v>0</v>
      </c>
      <c r="BK5" s="2166">
        <f>VLOOKUP($B5,RawData,BK$4,FALSE)-BK14</f>
        <v>29971.68</v>
      </c>
      <c r="BL5" s="2166">
        <f>VLOOKUP($B5,RawData,BL$4,FALSE)-BL14</f>
        <v>0</v>
      </c>
      <c r="BM5" s="2166">
        <v>0</v>
      </c>
      <c r="BN5" s="2167">
        <f>(VLOOKUP("HEATOUT",RawData,MATCH("HEATPUMP",RawDataHeadings,0),FALSE)+VLOOKUP("HEATOUT",RawData,MATCH("CHEMHEAT",RawDataHeadings,0),FALSE))*1-VLOOKUP("THEAT",RawData,MATCH("ELECTR",RawDataHeadings,0),FALSE)*3.6</f>
        <v>0</v>
      </c>
      <c r="BO5" s="2158">
        <v>0</v>
      </c>
      <c r="BP5" s="2168" t="e">
        <f t="shared" ref="BP5:BP36" ca="1" si="8">SUM(E5:BO5)</f>
        <v>#VALUE!</v>
      </c>
      <c r="BQ5" s="1144" t="str">
        <f ca="1">IFERROR(SUM(AU5,AW5:BD5,BF5:BK5)/BP5,"..")</f>
        <v>..</v>
      </c>
      <c r="CA5" s="555" t="s">
        <v>852</v>
      </c>
      <c r="CB5" s="20" t="s">
        <v>1698</v>
      </c>
      <c r="CC5" s="20" t="s">
        <v>1699</v>
      </c>
      <c r="CD5" s="20" t="s">
        <v>1700</v>
      </c>
      <c r="CE5" s="20" t="s">
        <v>1701</v>
      </c>
      <c r="CF5" s="20" t="s">
        <v>1702</v>
      </c>
      <c r="CG5" s="20">
        <v>0</v>
      </c>
      <c r="CH5" s="20">
        <v>0</v>
      </c>
      <c r="CI5" s="20">
        <v>0</v>
      </c>
      <c r="CJ5" s="20">
        <v>0</v>
      </c>
      <c r="CK5" s="20">
        <v>0</v>
      </c>
      <c r="CL5" s="20">
        <v>0</v>
      </c>
      <c r="CM5" s="20">
        <v>0</v>
      </c>
      <c r="CN5" s="20">
        <v>0</v>
      </c>
      <c r="CO5" s="20">
        <v>0</v>
      </c>
      <c r="CP5" s="20">
        <v>0</v>
      </c>
      <c r="CQ5" s="20" t="s">
        <v>1703</v>
      </c>
      <c r="CR5" s="20">
        <v>0</v>
      </c>
      <c r="CS5" s="20" t="s">
        <v>1704</v>
      </c>
      <c r="CT5" s="20" t="s">
        <v>1705</v>
      </c>
      <c r="CU5" s="20" t="s">
        <v>1706</v>
      </c>
      <c r="CV5" s="20" t="s">
        <v>1707</v>
      </c>
      <c r="CW5" s="20" t="s">
        <v>1708</v>
      </c>
      <c r="CX5" s="20" t="s">
        <v>1709</v>
      </c>
      <c r="CY5" s="20">
        <v>0</v>
      </c>
      <c r="CZ5" s="20">
        <v>0</v>
      </c>
      <c r="DA5" s="20">
        <v>0</v>
      </c>
      <c r="DB5" s="20">
        <v>0</v>
      </c>
      <c r="DC5" s="20">
        <v>0</v>
      </c>
      <c r="DD5" s="20">
        <v>0</v>
      </c>
      <c r="DE5" s="20">
        <v>0</v>
      </c>
      <c r="DF5" s="20">
        <v>0</v>
      </c>
      <c r="DG5" s="20">
        <v>0</v>
      </c>
      <c r="DH5" s="20">
        <v>0</v>
      </c>
      <c r="DI5" s="20">
        <v>0</v>
      </c>
      <c r="DJ5" s="20">
        <v>0</v>
      </c>
      <c r="DK5" s="20">
        <v>0</v>
      </c>
      <c r="DL5" s="20">
        <v>0</v>
      </c>
      <c r="DM5" s="20">
        <v>0</v>
      </c>
      <c r="DN5" s="20">
        <v>0</v>
      </c>
      <c r="DO5" s="20">
        <v>0</v>
      </c>
      <c r="DP5" s="20" t="s">
        <v>1710</v>
      </c>
      <c r="DQ5" s="20" t="s">
        <v>1711</v>
      </c>
      <c r="DR5" s="20" t="s">
        <v>1712</v>
      </c>
      <c r="DS5" s="20" t="s">
        <v>1713</v>
      </c>
      <c r="DT5" s="20" t="s">
        <v>1714</v>
      </c>
      <c r="DU5" s="20" t="s">
        <v>1715</v>
      </c>
      <c r="DV5" s="20" t="s">
        <v>1716</v>
      </c>
      <c r="DW5" s="20" t="s">
        <v>1717</v>
      </c>
      <c r="DX5" s="20" t="s">
        <v>1718</v>
      </c>
      <c r="DY5" s="20" t="s">
        <v>1719</v>
      </c>
      <c r="DZ5" s="20" t="s">
        <v>1720</v>
      </c>
      <c r="EA5" s="20">
        <v>0</v>
      </c>
      <c r="EB5" s="20" t="s">
        <v>1721</v>
      </c>
      <c r="EC5" s="20" t="s">
        <v>1722</v>
      </c>
      <c r="ED5" s="20" t="s">
        <v>1723</v>
      </c>
      <c r="EE5" s="20" t="s">
        <v>1724</v>
      </c>
      <c r="EF5" s="20" t="s">
        <v>1725</v>
      </c>
      <c r="EG5" s="20" t="s">
        <v>1726</v>
      </c>
      <c r="EH5" s="20" t="s">
        <v>1727</v>
      </c>
      <c r="EI5" s="20" t="s">
        <v>1728</v>
      </c>
      <c r="EJ5" s="20">
        <v>0</v>
      </c>
      <c r="EK5" s="20" t="s">
        <v>1729</v>
      </c>
      <c r="EL5" s="20">
        <v>0</v>
      </c>
    </row>
    <row r="6" spans="1:142" s="20" customFormat="1" ht="11.25" x14ac:dyDescent="0.2">
      <c r="A6" s="905" t="str">
        <f>IMPORTS</f>
        <v>Imports</v>
      </c>
      <c r="B6" s="230" t="s">
        <v>878</v>
      </c>
      <c r="C6" s="230" t="s">
        <v>1642</v>
      </c>
      <c r="D6" s="221">
        <f>MATCH(C6,CFHeadings,0)</f>
        <v>5</v>
      </c>
      <c r="E6" s="2169">
        <f t="shared" ref="E6:N10" ca="1" si="9">VLOOKUP($B6,RawData,E$4,FALSE)*VLOOKUP(E$3,ConversionFactors,$D6,FALSE)/1000</f>
        <v>9757.0832920000012</v>
      </c>
      <c r="F6" s="2169">
        <f t="shared" ca="1" si="9"/>
        <v>0</v>
      </c>
      <c r="G6" s="2169">
        <f t="shared" ca="1" si="9"/>
        <v>26068.255464000002</v>
      </c>
      <c r="H6" s="2169">
        <f t="shared" ca="1" si="9"/>
        <v>0</v>
      </c>
      <c r="I6" s="2169">
        <f t="shared" ca="1" si="9"/>
        <v>0</v>
      </c>
      <c r="J6" s="2169">
        <f t="shared" ca="1" si="9"/>
        <v>0</v>
      </c>
      <c r="K6" s="2169">
        <f t="shared" ca="1" si="9"/>
        <v>0</v>
      </c>
      <c r="L6" s="2169">
        <f t="shared" ca="1" si="9"/>
        <v>0</v>
      </c>
      <c r="M6" s="2169">
        <f t="shared" ca="1" si="9"/>
        <v>0</v>
      </c>
      <c r="N6" s="2169">
        <f t="shared" ca="1" si="9"/>
        <v>0</v>
      </c>
      <c r="O6" s="2157">
        <f t="shared" ref="O6:R10" ca="1" si="10">(VLOOKUP($B6,RawData,O$4,FALSE)*VLOOKUP(O$3,ConversionFactors,2,FALSE))*1</f>
        <v>0</v>
      </c>
      <c r="P6" s="2157">
        <f t="shared" ca="1" si="10"/>
        <v>0</v>
      </c>
      <c r="Q6" s="2157">
        <f t="shared" ca="1" si="10"/>
        <v>0</v>
      </c>
      <c r="R6" s="2157">
        <f t="shared" ca="1" si="10"/>
        <v>0</v>
      </c>
      <c r="S6" s="2170">
        <v>0</v>
      </c>
      <c r="T6" s="2169">
        <f t="shared" ref="T6:V10" ca="1" si="11">VLOOKUP($B6,RawData,T$4,FALSE)*VLOOKUP(T$3,ConversionFactors,$D6,FALSE)/1000</f>
        <v>0</v>
      </c>
      <c r="U6" s="2169">
        <f t="shared" ca="1" si="11"/>
        <v>0</v>
      </c>
      <c r="V6" s="2169">
        <f t="shared" ca="1" si="11"/>
        <v>0</v>
      </c>
      <c r="W6" s="2161">
        <f t="shared" ca="1" si="3"/>
        <v>1026041.067</v>
      </c>
      <c r="X6" s="2161">
        <f t="shared" ca="1" si="3"/>
        <v>0</v>
      </c>
      <c r="Y6" s="2161">
        <f t="shared" ca="1" si="3"/>
        <v>0</v>
      </c>
      <c r="Z6" s="2161">
        <f ca="1">VLOOKUP($B6,RawData,Z$4,FALSE)*VLOOKUP(Z$3,ConversionFactors,$D6,FALSE)/1000</f>
        <v>0</v>
      </c>
      <c r="AA6" s="2161">
        <f ca="1">VLOOKUP($B6,RawData,AA$4,FALSE)*VLOOKUP(AA$3,ConversionFactors,$D6,FALSE)/1000</f>
        <v>0</v>
      </c>
      <c r="AB6" s="2161">
        <f t="shared" ca="1" si="4"/>
        <v>0</v>
      </c>
      <c r="AC6" s="2161">
        <f t="shared" ca="1" si="4"/>
        <v>0</v>
      </c>
      <c r="AD6" s="2161">
        <f t="shared" ca="1" si="4"/>
        <v>2591.8568460000001</v>
      </c>
      <c r="AE6" s="2161">
        <f t="shared" ca="1" si="4"/>
        <v>52943.332619250003</v>
      </c>
      <c r="AF6" s="2161">
        <f t="shared" ca="1" si="4"/>
        <v>428.48357740429685</v>
      </c>
      <c r="AG6" s="2161">
        <f t="shared" ca="1" si="4"/>
        <v>0</v>
      </c>
      <c r="AH6" s="2161">
        <f t="shared" ca="1" si="4"/>
        <v>10632.17946109375</v>
      </c>
      <c r="AI6" s="2161">
        <f t="shared" ca="1" si="4"/>
        <v>7.652070304065943E-3</v>
      </c>
      <c r="AJ6" s="2161">
        <f t="shared" ca="1" si="4"/>
        <v>198294.1198975</v>
      </c>
      <c r="AK6" s="2161">
        <f t="shared" ca="1" si="4"/>
        <v>2306.2950705703124</v>
      </c>
      <c r="AL6" s="2161">
        <f t="shared" ca="1" si="4"/>
        <v>0</v>
      </c>
      <c r="AM6" s="2161">
        <f t="shared" ca="1" si="4"/>
        <v>3.9047063739929198</v>
      </c>
      <c r="AN6" s="2161">
        <f t="shared" ref="AN6:AR10" ca="1" si="12">VLOOKUP($B6,RawData,AN$4,FALSE)*VLOOKUP(AN$3,ConversionFactors,2,FALSE)/1000</f>
        <v>0.30407999038696271</v>
      </c>
      <c r="AO6" s="2161">
        <f t="shared" ca="1" si="12"/>
        <v>0.18876000595092771</v>
      </c>
      <c r="AP6" s="2161">
        <f t="shared" ca="1" si="12"/>
        <v>0.84400001525878809</v>
      </c>
      <c r="AQ6" s="2161">
        <f t="shared" ca="1" si="12"/>
        <v>9.6643203124999992</v>
      </c>
      <c r="AR6" s="2161">
        <f t="shared" ca="1" si="12"/>
        <v>0</v>
      </c>
      <c r="AS6" s="2172">
        <f ca="1">VLOOKUP($B6,RawData,AS$4,FALSE)*VLOOKUP(AS$3,ConversionFactors,2,FALSE)*1</f>
        <v>117397.35703125001</v>
      </c>
      <c r="AT6" s="2164">
        <f t="shared" si="5"/>
        <v>0</v>
      </c>
      <c r="AU6" s="2164">
        <f t="shared" si="5"/>
        <v>0</v>
      </c>
      <c r="AV6" s="2164">
        <f t="shared" si="5"/>
        <v>0</v>
      </c>
      <c r="AW6" s="2164">
        <f t="shared" si="5"/>
        <v>0</v>
      </c>
      <c r="AX6" s="2173">
        <f t="shared" si="5"/>
        <v>0</v>
      </c>
      <c r="AY6" s="2173">
        <f t="shared" ca="1" si="6"/>
        <v>0</v>
      </c>
      <c r="AZ6" s="2173">
        <f t="shared" ca="1" si="6"/>
        <v>0</v>
      </c>
      <c r="BA6" s="2173">
        <f t="shared" ca="1" si="6"/>
        <v>0</v>
      </c>
      <c r="BB6" s="2173">
        <f t="shared" ca="1" si="6"/>
        <v>0</v>
      </c>
      <c r="BC6" s="2173">
        <f t="shared" si="7"/>
        <v>0</v>
      </c>
      <c r="BD6" s="2174">
        <f ca="1">VLOOKUP($B6,RawData,BD$4,FALSE)*VLOOKUP(BD$3,ConversionFactors,2,FALSE)/1000</f>
        <v>0</v>
      </c>
      <c r="BE6" s="2167">
        <v>0</v>
      </c>
      <c r="BF6" s="2167">
        <v>0</v>
      </c>
      <c r="BG6" s="2167">
        <v>0</v>
      </c>
      <c r="BH6" s="2167">
        <v>0</v>
      </c>
      <c r="BI6" s="2167">
        <v>0</v>
      </c>
      <c r="BJ6" s="2167">
        <v>0</v>
      </c>
      <c r="BK6" s="2167">
        <v>0</v>
      </c>
      <c r="BL6" s="2167">
        <v>0</v>
      </c>
      <c r="BM6" s="2167">
        <f>VLOOKUP($B6,RawData,BM$4,FALSE)*3.6</f>
        <v>26967.729600000002</v>
      </c>
      <c r="BN6" s="2167">
        <f>VLOOKUP($B6,RawData,BN$4,FALSE)*1</f>
        <v>0</v>
      </c>
      <c r="BO6" s="2170">
        <v>0</v>
      </c>
      <c r="BP6" s="2168">
        <f t="shared" ca="1" si="8"/>
        <v>1473442.6733778368</v>
      </c>
      <c r="BQ6" s="914"/>
      <c r="CA6" s="555" t="s">
        <v>878</v>
      </c>
      <c r="CB6" s="20" t="s">
        <v>1730</v>
      </c>
      <c r="CC6" s="20" t="s">
        <v>1731</v>
      </c>
      <c r="CD6" s="20" t="s">
        <v>1732</v>
      </c>
      <c r="CE6" s="20" t="s">
        <v>1733</v>
      </c>
      <c r="CF6" s="20" t="s">
        <v>1734</v>
      </c>
      <c r="CG6" s="20" t="s">
        <v>1735</v>
      </c>
      <c r="CH6" s="20" t="s">
        <v>1736</v>
      </c>
      <c r="CI6" s="20" t="s">
        <v>1737</v>
      </c>
      <c r="CJ6" s="20" t="s">
        <v>1738</v>
      </c>
      <c r="CK6" s="20" t="s">
        <v>1739</v>
      </c>
      <c r="CL6" s="20" t="s">
        <v>1740</v>
      </c>
      <c r="CM6" s="20" t="s">
        <v>1741</v>
      </c>
      <c r="CN6" s="20" t="s">
        <v>1742</v>
      </c>
      <c r="CO6" s="20" t="s">
        <v>1743</v>
      </c>
      <c r="CP6" s="20">
        <v>0</v>
      </c>
      <c r="CQ6" s="20" t="s">
        <v>1744</v>
      </c>
      <c r="CR6" s="20" t="s">
        <v>1745</v>
      </c>
      <c r="CS6" s="20" t="s">
        <v>1746</v>
      </c>
      <c r="CT6" s="20" t="s">
        <v>1747</v>
      </c>
      <c r="CU6" s="20" t="s">
        <v>1748</v>
      </c>
      <c r="CV6" s="20" t="s">
        <v>1749</v>
      </c>
      <c r="CW6" s="20" t="s">
        <v>1750</v>
      </c>
      <c r="CX6" s="20" t="s">
        <v>1751</v>
      </c>
      <c r="CY6" s="20" t="s">
        <v>1752</v>
      </c>
      <c r="CZ6" s="20" t="s">
        <v>1753</v>
      </c>
      <c r="DA6" s="20" t="s">
        <v>1754</v>
      </c>
      <c r="DB6" s="20" t="s">
        <v>1755</v>
      </c>
      <c r="DC6" s="20" t="s">
        <v>1756</v>
      </c>
      <c r="DD6" s="20" t="s">
        <v>1757</v>
      </c>
      <c r="DE6" s="20" t="s">
        <v>1758</v>
      </c>
      <c r="DF6" s="20" t="s">
        <v>1759</v>
      </c>
      <c r="DG6" s="20" t="s">
        <v>1760</v>
      </c>
      <c r="DH6" s="20" t="s">
        <v>1761</v>
      </c>
      <c r="DI6" s="20" t="s">
        <v>1762</v>
      </c>
      <c r="DJ6" s="20" t="s">
        <v>1763</v>
      </c>
      <c r="DK6" s="20" t="s">
        <v>1764</v>
      </c>
      <c r="DL6" s="20" t="s">
        <v>1765</v>
      </c>
      <c r="DM6" s="20" t="s">
        <v>1766</v>
      </c>
      <c r="DN6" s="20" t="s">
        <v>1767</v>
      </c>
      <c r="DO6" s="20" t="s">
        <v>1768</v>
      </c>
      <c r="DP6" s="20" t="s">
        <v>1769</v>
      </c>
      <c r="DQ6" s="20" t="s">
        <v>1770</v>
      </c>
      <c r="DR6" s="20" t="s">
        <v>1771</v>
      </c>
      <c r="DS6" s="20" t="s">
        <v>1772</v>
      </c>
      <c r="DT6" s="20" t="s">
        <v>1773</v>
      </c>
      <c r="DU6" s="20" t="s">
        <v>1774</v>
      </c>
      <c r="DV6" s="20" t="s">
        <v>1775</v>
      </c>
      <c r="DW6" s="20" t="s">
        <v>1776</v>
      </c>
      <c r="DX6" s="20" t="s">
        <v>1777</v>
      </c>
      <c r="DY6" s="20" t="s">
        <v>1778</v>
      </c>
      <c r="DZ6" s="20" t="s">
        <v>1779</v>
      </c>
      <c r="EA6" s="20" t="s">
        <v>1780</v>
      </c>
      <c r="EB6" s="20">
        <v>0</v>
      </c>
      <c r="EC6" s="20">
        <v>0</v>
      </c>
      <c r="ED6" s="20">
        <v>0</v>
      </c>
      <c r="EE6" s="20">
        <v>0</v>
      </c>
      <c r="EF6" s="20">
        <v>0</v>
      </c>
      <c r="EG6" s="20">
        <v>0</v>
      </c>
      <c r="EH6" s="20">
        <v>0</v>
      </c>
      <c r="EI6" s="20">
        <v>0</v>
      </c>
      <c r="EJ6" s="20" t="s">
        <v>1781</v>
      </c>
      <c r="EK6" s="20" t="s">
        <v>1782</v>
      </c>
      <c r="EL6" s="20">
        <v>0</v>
      </c>
    </row>
    <row r="7" spans="1:142" s="20" customFormat="1" ht="11.25" x14ac:dyDescent="0.2">
      <c r="A7" s="905" t="str">
        <f>EXPORTS</f>
        <v>Exports</v>
      </c>
      <c r="B7" s="230" t="s">
        <v>884</v>
      </c>
      <c r="C7" s="230" t="s">
        <v>1643</v>
      </c>
      <c r="D7" s="221">
        <f>MATCH(C7,CFHeadings,0)</f>
        <v>6</v>
      </c>
      <c r="E7" s="2169">
        <f t="shared" ca="1" si="9"/>
        <v>-28128.638670999997</v>
      </c>
      <c r="F7" s="2169">
        <f t="shared" ca="1" si="9"/>
        <v>-41521.831850000002</v>
      </c>
      <c r="G7" s="2169">
        <f t="shared" ca="1" si="9"/>
        <v>-1899045.7918320002</v>
      </c>
      <c r="H7" s="2169">
        <f t="shared" ca="1" si="9"/>
        <v>0</v>
      </c>
      <c r="I7" s="2169">
        <f t="shared" ca="1" si="9"/>
        <v>0</v>
      </c>
      <c r="J7" s="2169">
        <f t="shared" ca="1" si="9"/>
        <v>0</v>
      </c>
      <c r="K7" s="2169">
        <f t="shared" ca="1" si="9"/>
        <v>0</v>
      </c>
      <c r="L7" s="2169">
        <f t="shared" ca="1" si="9"/>
        <v>0</v>
      </c>
      <c r="M7" s="2169">
        <f t="shared" ca="1" si="9"/>
        <v>0</v>
      </c>
      <c r="N7" s="2169">
        <f t="shared" ca="1" si="9"/>
        <v>0</v>
      </c>
      <c r="O7" s="2157">
        <f t="shared" ca="1" si="10"/>
        <v>0</v>
      </c>
      <c r="P7" s="2157">
        <f t="shared" ca="1" si="10"/>
        <v>0</v>
      </c>
      <c r="Q7" s="2157">
        <f t="shared" ca="1" si="10"/>
        <v>0</v>
      </c>
      <c r="R7" s="2157">
        <f t="shared" ca="1" si="10"/>
        <v>0</v>
      </c>
      <c r="S7" s="2170">
        <v>0</v>
      </c>
      <c r="T7" s="2169">
        <f t="shared" ca="1" si="11"/>
        <v>0</v>
      </c>
      <c r="U7" s="2169">
        <f t="shared" ca="1" si="11"/>
        <v>0</v>
      </c>
      <c r="V7" s="2169">
        <f t="shared" ca="1" si="11"/>
        <v>0</v>
      </c>
      <c r="W7" s="2161">
        <f t="shared" ca="1" si="3"/>
        <v>-2.1150000315159558</v>
      </c>
      <c r="X7" s="2161">
        <f t="shared" ca="1" si="3"/>
        <v>0</v>
      </c>
      <c r="Y7" s="2161">
        <f t="shared" ca="1" si="3"/>
        <v>0</v>
      </c>
      <c r="Z7" s="2161">
        <f ca="1">VLOOKUP($B7,RawData,Z$4,FALSE)*VLOOKUP(Z$3,ConversionFactors,$D7,FALSE)/1000</f>
        <v>0</v>
      </c>
      <c r="AA7" s="2161">
        <f ca="1">VLOOKUP($B7,RawData,AA$4,FALSE)*VLOOKUP(AA$3,ConversionFactors,$D7,FALSE)/1000</f>
        <v>0</v>
      </c>
      <c r="AB7" s="2161">
        <f t="shared" ca="1" si="4"/>
        <v>0</v>
      </c>
      <c r="AC7" s="2161">
        <f t="shared" ca="1" si="4"/>
        <v>0</v>
      </c>
      <c r="AD7" s="2161">
        <f t="shared" ca="1" si="4"/>
        <v>-1799.196516</v>
      </c>
      <c r="AE7" s="2161">
        <f t="shared" ca="1" si="4"/>
        <v>-31848.087207375</v>
      </c>
      <c r="AF7" s="2161">
        <f t="shared" ca="1" si="4"/>
        <v>-183.71259073046875</v>
      </c>
      <c r="AG7" s="2161">
        <f t="shared" ca="1" si="4"/>
        <v>0</v>
      </c>
      <c r="AH7" s="2161">
        <f t="shared" ca="1" si="4"/>
        <v>-10561.469550624999</v>
      </c>
      <c r="AI7" s="2161">
        <f t="shared" ca="1" si="4"/>
        <v>-1405.3454991210938</v>
      </c>
      <c r="AJ7" s="2161">
        <f t="shared" ca="1" si="4"/>
        <v>-59692.768411874997</v>
      </c>
      <c r="AK7" s="2161">
        <f t="shared" ca="1" si="4"/>
        <v>-19388.658663937498</v>
      </c>
      <c r="AL7" s="2161">
        <f t="shared" ca="1" si="4"/>
        <v>0</v>
      </c>
      <c r="AM7" s="2161">
        <f t="shared" ca="1" si="4"/>
        <v>-89.834979483886713</v>
      </c>
      <c r="AN7" s="2161">
        <f t="shared" ca="1" si="12"/>
        <v>-0.39942000961303725</v>
      </c>
      <c r="AO7" s="2161">
        <f t="shared" ca="1" si="12"/>
        <v>-4.380479988098136</v>
      </c>
      <c r="AP7" s="2161">
        <f t="shared" ca="1" si="12"/>
        <v>-0.80440002441406411</v>
      </c>
      <c r="AQ7" s="2161">
        <f t="shared" ca="1" si="12"/>
        <v>-2.752000045776368E-2</v>
      </c>
      <c r="AR7" s="2161">
        <f t="shared" ca="1" si="12"/>
        <v>0</v>
      </c>
      <c r="AS7" s="2172">
        <f ca="1">VLOOKUP($B7,RawData,AS$4,FALSE)*VLOOKUP(AS$3,ConversionFactors,2,FALSE)*1</f>
        <v>-380.17801208496093</v>
      </c>
      <c r="AT7" s="2164">
        <f t="shared" si="5"/>
        <v>0</v>
      </c>
      <c r="AU7" s="2164">
        <f t="shared" si="5"/>
        <v>0</v>
      </c>
      <c r="AV7" s="2164">
        <f t="shared" si="5"/>
        <v>0</v>
      </c>
      <c r="AW7" s="2164">
        <f t="shared" si="5"/>
        <v>0</v>
      </c>
      <c r="AX7" s="2173">
        <f t="shared" si="5"/>
        <v>0</v>
      </c>
      <c r="AY7" s="2173">
        <f t="shared" ca="1" si="6"/>
        <v>0</v>
      </c>
      <c r="AZ7" s="2173">
        <f t="shared" ca="1" si="6"/>
        <v>0</v>
      </c>
      <c r="BA7" s="2173">
        <f t="shared" ca="1" si="6"/>
        <v>0</v>
      </c>
      <c r="BB7" s="2173">
        <f t="shared" ca="1" si="6"/>
        <v>0</v>
      </c>
      <c r="BC7" s="2173">
        <f t="shared" si="7"/>
        <v>0</v>
      </c>
      <c r="BD7" s="2174">
        <f ca="1">VLOOKUP($B7,RawData,BD$4,FALSE)*VLOOKUP(BD$3,ConversionFactors,2,FALSE)/1000</f>
        <v>0</v>
      </c>
      <c r="BE7" s="2167">
        <v>0</v>
      </c>
      <c r="BF7" s="2167">
        <v>0</v>
      </c>
      <c r="BG7" s="2167">
        <v>0</v>
      </c>
      <c r="BH7" s="2167">
        <v>0</v>
      </c>
      <c r="BI7" s="2167">
        <v>0</v>
      </c>
      <c r="BJ7" s="2167">
        <v>0</v>
      </c>
      <c r="BK7" s="2167">
        <v>0</v>
      </c>
      <c r="BL7" s="2167">
        <v>0</v>
      </c>
      <c r="BM7" s="2167">
        <f>VLOOKUP($B7,RawData,BM$4,FALSE)*3.6</f>
        <v>-50466.747599999995</v>
      </c>
      <c r="BN7" s="2167">
        <f>VLOOKUP($B7,RawData,BN$4,FALSE)*1</f>
        <v>0</v>
      </c>
      <c r="BO7" s="2170">
        <v>0</v>
      </c>
      <c r="BP7" s="2168">
        <f t="shared" ca="1" si="8"/>
        <v>-2144519.9882042874</v>
      </c>
      <c r="BQ7" s="914"/>
      <c r="CA7" s="555" t="s">
        <v>884</v>
      </c>
      <c r="CB7" s="20" t="s">
        <v>1783</v>
      </c>
      <c r="CC7" s="20" t="s">
        <v>1784</v>
      </c>
      <c r="CD7" s="20" t="s">
        <v>1785</v>
      </c>
      <c r="CE7" s="20" t="s">
        <v>1786</v>
      </c>
      <c r="CF7" s="20" t="s">
        <v>1787</v>
      </c>
      <c r="CG7" s="20" t="s">
        <v>1788</v>
      </c>
      <c r="CH7" s="20" t="s">
        <v>1789</v>
      </c>
      <c r="CI7" s="20" t="s">
        <v>1790</v>
      </c>
      <c r="CJ7" s="20" t="s">
        <v>1791</v>
      </c>
      <c r="CK7" s="20" t="s">
        <v>1792</v>
      </c>
      <c r="CL7" s="20" t="s">
        <v>1793</v>
      </c>
      <c r="CM7" s="20" t="s">
        <v>1794</v>
      </c>
      <c r="CN7" s="20" t="s">
        <v>1795</v>
      </c>
      <c r="CO7" s="20" t="s">
        <v>1796</v>
      </c>
      <c r="CP7" s="20">
        <v>0</v>
      </c>
      <c r="CQ7" s="20" t="s">
        <v>1797</v>
      </c>
      <c r="CR7" s="20" t="s">
        <v>1798</v>
      </c>
      <c r="CS7" s="20" t="s">
        <v>1799</v>
      </c>
      <c r="CT7" s="20" t="s">
        <v>1800</v>
      </c>
      <c r="CU7" s="20" t="s">
        <v>1801</v>
      </c>
      <c r="CV7" s="20" t="s">
        <v>1802</v>
      </c>
      <c r="CW7" s="20" t="s">
        <v>1803</v>
      </c>
      <c r="CX7" s="20" t="s">
        <v>1804</v>
      </c>
      <c r="CY7" s="20" t="s">
        <v>1805</v>
      </c>
      <c r="CZ7" s="20" t="s">
        <v>1806</v>
      </c>
      <c r="DA7" s="20" t="s">
        <v>1807</v>
      </c>
      <c r="DB7" s="20" t="s">
        <v>1808</v>
      </c>
      <c r="DC7" s="20" t="s">
        <v>1809</v>
      </c>
      <c r="DD7" s="20" t="s">
        <v>1810</v>
      </c>
      <c r="DE7" s="20" t="s">
        <v>1811</v>
      </c>
      <c r="DF7" s="20" t="s">
        <v>1812</v>
      </c>
      <c r="DG7" s="20" t="s">
        <v>1813</v>
      </c>
      <c r="DH7" s="20" t="s">
        <v>1814</v>
      </c>
      <c r="DI7" s="20" t="s">
        <v>1815</v>
      </c>
      <c r="DJ7" s="20" t="s">
        <v>1816</v>
      </c>
      <c r="DK7" s="20" t="s">
        <v>1817</v>
      </c>
      <c r="DL7" s="20" t="s">
        <v>1818</v>
      </c>
      <c r="DM7" s="20" t="s">
        <v>1819</v>
      </c>
      <c r="DN7" s="20" t="s">
        <v>1820</v>
      </c>
      <c r="DO7" s="20" t="s">
        <v>1821</v>
      </c>
      <c r="DP7" s="20" t="s">
        <v>1822</v>
      </c>
      <c r="DQ7" s="20" t="s">
        <v>1823</v>
      </c>
      <c r="DR7" s="20" t="s">
        <v>1824</v>
      </c>
      <c r="DS7" s="20" t="s">
        <v>1825</v>
      </c>
      <c r="DT7" s="20" t="s">
        <v>1826</v>
      </c>
      <c r="DU7" s="20" t="s">
        <v>1827</v>
      </c>
      <c r="DV7" s="20" t="s">
        <v>1828</v>
      </c>
      <c r="DW7" s="20" t="s">
        <v>1829</v>
      </c>
      <c r="DX7" s="20" t="s">
        <v>1830</v>
      </c>
      <c r="DY7" s="20" t="s">
        <v>1831</v>
      </c>
      <c r="DZ7" s="20" t="s">
        <v>1832</v>
      </c>
      <c r="EA7" s="20" t="s">
        <v>1833</v>
      </c>
      <c r="EB7" s="20">
        <v>0</v>
      </c>
      <c r="EC7" s="20">
        <v>0</v>
      </c>
      <c r="ED7" s="20">
        <v>0</v>
      </c>
      <c r="EE7" s="20">
        <v>0</v>
      </c>
      <c r="EF7" s="20">
        <v>0</v>
      </c>
      <c r="EG7" s="20">
        <v>0</v>
      </c>
      <c r="EH7" s="20">
        <v>0</v>
      </c>
      <c r="EI7" s="20">
        <v>0</v>
      </c>
      <c r="EJ7" s="20" t="s">
        <v>1834</v>
      </c>
      <c r="EK7" s="20" t="s">
        <v>1835</v>
      </c>
      <c r="EL7" s="20">
        <v>0</v>
      </c>
    </row>
    <row r="8" spans="1:142" s="20" customFormat="1" ht="11.25" x14ac:dyDescent="0.2">
      <c r="A8" s="905" t="str">
        <f>MARBUNK</f>
        <v>International marine bunkers</v>
      </c>
      <c r="B8" s="230" t="s">
        <v>890</v>
      </c>
      <c r="C8" s="230" t="s">
        <v>1653</v>
      </c>
      <c r="D8" s="221">
        <f>MATCH(C8,CFHeadings,0)</f>
        <v>16</v>
      </c>
      <c r="E8" s="2169">
        <f t="shared" ca="1" si="9"/>
        <v>0</v>
      </c>
      <c r="F8" s="2169">
        <f t="shared" ca="1" si="9"/>
        <v>0</v>
      </c>
      <c r="G8" s="2169">
        <f t="shared" ca="1" si="9"/>
        <v>0</v>
      </c>
      <c r="H8" s="2169">
        <f t="shared" ca="1" si="9"/>
        <v>0</v>
      </c>
      <c r="I8" s="2169">
        <f t="shared" ca="1" si="9"/>
        <v>0</v>
      </c>
      <c r="J8" s="2169">
        <f t="shared" ca="1" si="9"/>
        <v>0</v>
      </c>
      <c r="K8" s="2169">
        <f t="shared" ca="1" si="9"/>
        <v>0</v>
      </c>
      <c r="L8" s="2169">
        <f t="shared" ca="1" si="9"/>
        <v>0</v>
      </c>
      <c r="M8" s="2169">
        <f t="shared" ca="1" si="9"/>
        <v>0</v>
      </c>
      <c r="N8" s="2169">
        <f t="shared" ca="1" si="9"/>
        <v>0</v>
      </c>
      <c r="O8" s="2157">
        <f t="shared" ca="1" si="10"/>
        <v>0</v>
      </c>
      <c r="P8" s="2157">
        <f t="shared" ca="1" si="10"/>
        <v>0</v>
      </c>
      <c r="Q8" s="2157">
        <f t="shared" ca="1" si="10"/>
        <v>0</v>
      </c>
      <c r="R8" s="2157">
        <f t="shared" ca="1" si="10"/>
        <v>0</v>
      </c>
      <c r="S8" s="2170">
        <v>0</v>
      </c>
      <c r="T8" s="2169">
        <f t="shared" ca="1" si="11"/>
        <v>0</v>
      </c>
      <c r="U8" s="2169">
        <f t="shared" ca="1" si="11"/>
        <v>0</v>
      </c>
      <c r="V8" s="2169">
        <f t="shared" ca="1" si="11"/>
        <v>0</v>
      </c>
      <c r="W8" s="2161">
        <f t="shared" ref="W8:AA10" ca="1" si="13">VLOOKUP($B8,RawData,W$4,FALSE)*VLOOKUP(W$3,ConversionFactors,2,FALSE)/1000</f>
        <v>0</v>
      </c>
      <c r="X8" s="2161">
        <f t="shared" ca="1" si="13"/>
        <v>0</v>
      </c>
      <c r="Y8" s="2161">
        <f t="shared" ca="1" si="13"/>
        <v>0</v>
      </c>
      <c r="Z8" s="2161">
        <f t="shared" ca="1" si="13"/>
        <v>0</v>
      </c>
      <c r="AA8" s="2161">
        <f t="shared" ca="1" si="13"/>
        <v>0</v>
      </c>
      <c r="AB8" s="2161">
        <f t="shared" ca="1" si="4"/>
        <v>0</v>
      </c>
      <c r="AC8" s="2161">
        <f t="shared" ca="1" si="4"/>
        <v>0</v>
      </c>
      <c r="AD8" s="2161">
        <f t="shared" ca="1" si="4"/>
        <v>0</v>
      </c>
      <c r="AE8" s="2161">
        <f t="shared" ca="1" si="4"/>
        <v>0</v>
      </c>
      <c r="AF8" s="2161">
        <f t="shared" ca="1" si="4"/>
        <v>0</v>
      </c>
      <c r="AG8" s="2161">
        <f t="shared" ca="1" si="4"/>
        <v>0</v>
      </c>
      <c r="AH8" s="2161">
        <f t="shared" ca="1" si="4"/>
        <v>0</v>
      </c>
      <c r="AI8" s="2161">
        <f t="shared" ca="1" si="4"/>
        <v>0</v>
      </c>
      <c r="AJ8" s="2161">
        <f t="shared" ca="1" si="4"/>
        <v>-17668.285618252601</v>
      </c>
      <c r="AK8" s="2161">
        <f t="shared" ca="1" si="4"/>
        <v>0</v>
      </c>
      <c r="AL8" s="2161">
        <f t="shared" ca="1" si="4"/>
        <v>0</v>
      </c>
      <c r="AM8" s="2161">
        <f t="shared" ca="1" si="4"/>
        <v>0</v>
      </c>
      <c r="AN8" s="2161">
        <f t="shared" ca="1" si="12"/>
        <v>0</v>
      </c>
      <c r="AO8" s="2161">
        <f t="shared" ca="1" si="12"/>
        <v>0</v>
      </c>
      <c r="AP8" s="2161">
        <f t="shared" ca="1" si="12"/>
        <v>0</v>
      </c>
      <c r="AQ8" s="2161">
        <f t="shared" ca="1" si="12"/>
        <v>0</v>
      </c>
      <c r="AR8" s="2171">
        <f t="shared" ca="1" si="12"/>
        <v>0</v>
      </c>
      <c r="AS8" s="2172">
        <f ca="1">VLOOKUP($B8,RawData,AS$4,FALSE)*VLOOKUP(AS$3,ConversionFactors,2,FALSE)*1</f>
        <v>0</v>
      </c>
      <c r="AT8" s="2164">
        <f t="shared" si="5"/>
        <v>0</v>
      </c>
      <c r="AU8" s="2164">
        <f t="shared" si="5"/>
        <v>0</v>
      </c>
      <c r="AV8" s="2164">
        <f t="shared" si="5"/>
        <v>0</v>
      </c>
      <c r="AW8" s="2164">
        <f t="shared" si="5"/>
        <v>0</v>
      </c>
      <c r="AX8" s="2173">
        <f t="shared" si="5"/>
        <v>0</v>
      </c>
      <c r="AY8" s="2173">
        <f t="shared" ca="1" si="6"/>
        <v>0</v>
      </c>
      <c r="AZ8" s="2173">
        <f t="shared" ca="1" si="6"/>
        <v>0</v>
      </c>
      <c r="BA8" s="2173">
        <f t="shared" ca="1" si="6"/>
        <v>0</v>
      </c>
      <c r="BB8" s="2173">
        <f t="shared" ca="1" si="6"/>
        <v>0</v>
      </c>
      <c r="BC8" s="2173">
        <f t="shared" si="7"/>
        <v>0</v>
      </c>
      <c r="BD8" s="2174">
        <f ca="1">VLOOKUP($B8,RawData,BD$4,FALSE)*VLOOKUP(BD$3,ConversionFactors,2,FALSE)/1000</f>
        <v>0</v>
      </c>
      <c r="BE8" s="2167">
        <v>0</v>
      </c>
      <c r="BF8" s="2167">
        <v>0</v>
      </c>
      <c r="BG8" s="2167">
        <v>0</v>
      </c>
      <c r="BH8" s="2167">
        <v>0</v>
      </c>
      <c r="BI8" s="2167">
        <v>0</v>
      </c>
      <c r="BJ8" s="2167">
        <v>0</v>
      </c>
      <c r="BK8" s="2167">
        <v>0</v>
      </c>
      <c r="BL8" s="2167">
        <v>0</v>
      </c>
      <c r="BM8" s="2167">
        <f>VLOOKUP($B8,RawData,BM$4,FALSE)*3.6</f>
        <v>0</v>
      </c>
      <c r="BN8" s="2167">
        <f>VLOOKUP($B8,RawData,BN$4,FALSE)*1</f>
        <v>0</v>
      </c>
      <c r="BO8" s="2170">
        <v>0</v>
      </c>
      <c r="BP8" s="2168">
        <f t="shared" ca="1" si="8"/>
        <v>-17668.285618252601</v>
      </c>
      <c r="BQ8" s="914"/>
      <c r="CA8" s="555" t="s">
        <v>890</v>
      </c>
      <c r="CB8" s="20" t="s">
        <v>1836</v>
      </c>
      <c r="CC8" s="20" t="s">
        <v>1837</v>
      </c>
      <c r="CD8" s="20" t="s">
        <v>1838</v>
      </c>
      <c r="CE8" s="20" t="s">
        <v>1839</v>
      </c>
      <c r="CF8" s="20" t="s">
        <v>1840</v>
      </c>
      <c r="CG8" s="20" t="s">
        <v>1841</v>
      </c>
      <c r="CH8" s="20" t="s">
        <v>1842</v>
      </c>
      <c r="CI8" s="20" t="s">
        <v>1843</v>
      </c>
      <c r="CJ8" s="20" t="s">
        <v>1844</v>
      </c>
      <c r="CK8" s="20" t="s">
        <v>1845</v>
      </c>
      <c r="CL8" s="20" t="s">
        <v>1846</v>
      </c>
      <c r="CM8" s="20" t="s">
        <v>1847</v>
      </c>
      <c r="CN8" s="20" t="s">
        <v>1848</v>
      </c>
      <c r="CO8" s="20" t="s">
        <v>1849</v>
      </c>
      <c r="CP8" s="20">
        <v>0</v>
      </c>
      <c r="CQ8" s="20" t="s">
        <v>1850</v>
      </c>
      <c r="CR8" s="20" t="s">
        <v>1851</v>
      </c>
      <c r="CS8" s="20" t="s">
        <v>1852</v>
      </c>
      <c r="CT8" s="20" t="s">
        <v>1853</v>
      </c>
      <c r="CU8" s="20" t="s">
        <v>1854</v>
      </c>
      <c r="CV8" s="20" t="s">
        <v>1855</v>
      </c>
      <c r="CW8" s="20" t="s">
        <v>1856</v>
      </c>
      <c r="CX8" s="20" t="s">
        <v>1857</v>
      </c>
      <c r="CY8" s="20" t="s">
        <v>1858</v>
      </c>
      <c r="CZ8" s="20" t="s">
        <v>1859</v>
      </c>
      <c r="DA8" s="20" t="s">
        <v>1860</v>
      </c>
      <c r="DB8" s="20" t="s">
        <v>1861</v>
      </c>
      <c r="DC8" s="20" t="s">
        <v>1862</v>
      </c>
      <c r="DD8" s="20" t="s">
        <v>1863</v>
      </c>
      <c r="DE8" s="20" t="s">
        <v>1864</v>
      </c>
      <c r="DF8" s="20" t="s">
        <v>1865</v>
      </c>
      <c r="DG8" s="20" t="s">
        <v>1866</v>
      </c>
      <c r="DH8" s="20" t="s">
        <v>1867</v>
      </c>
      <c r="DI8" s="20" t="s">
        <v>1868</v>
      </c>
      <c r="DJ8" s="20" t="s">
        <v>1869</v>
      </c>
      <c r="DK8" s="20" t="s">
        <v>1870</v>
      </c>
      <c r="DL8" s="20" t="s">
        <v>1871</v>
      </c>
      <c r="DM8" s="20" t="s">
        <v>1872</v>
      </c>
      <c r="DN8" s="20" t="s">
        <v>1873</v>
      </c>
      <c r="DO8" s="20" t="s">
        <v>1874</v>
      </c>
      <c r="DP8" s="20" t="s">
        <v>1875</v>
      </c>
      <c r="DQ8" s="20" t="s">
        <v>1876</v>
      </c>
      <c r="DR8" s="20" t="s">
        <v>1877</v>
      </c>
      <c r="DS8" s="20" t="s">
        <v>1878</v>
      </c>
      <c r="DT8" s="20" t="s">
        <v>1879</v>
      </c>
      <c r="DU8" s="20" t="s">
        <v>1880</v>
      </c>
      <c r="DV8" s="20" t="s">
        <v>1881</v>
      </c>
      <c r="DW8" s="20" t="s">
        <v>1882</v>
      </c>
      <c r="DX8" s="20" t="s">
        <v>1883</v>
      </c>
      <c r="DY8" s="20" t="s">
        <v>1884</v>
      </c>
      <c r="DZ8" s="20" t="s">
        <v>1885</v>
      </c>
      <c r="EA8" s="20" t="s">
        <v>1886</v>
      </c>
      <c r="EB8" s="20">
        <v>0</v>
      </c>
      <c r="EC8" s="20">
        <v>0</v>
      </c>
      <c r="ED8" s="20">
        <v>0</v>
      </c>
      <c r="EE8" s="20">
        <v>0</v>
      </c>
      <c r="EF8" s="20">
        <v>0</v>
      </c>
      <c r="EG8" s="20">
        <v>0</v>
      </c>
      <c r="EH8" s="20">
        <v>0</v>
      </c>
      <c r="EI8" s="20">
        <v>0</v>
      </c>
      <c r="EJ8" s="20" t="s">
        <v>1887</v>
      </c>
      <c r="EK8" s="20" t="s">
        <v>1888</v>
      </c>
      <c r="EL8" s="20">
        <v>0</v>
      </c>
    </row>
    <row r="9" spans="1:142" s="20" customFormat="1" ht="11.25" x14ac:dyDescent="0.2">
      <c r="A9" s="905" t="str">
        <f>AVBUNK</f>
        <v>International aviation bunkers</v>
      </c>
      <c r="B9" s="230" t="s">
        <v>897</v>
      </c>
      <c r="C9" s="230" t="s">
        <v>1653</v>
      </c>
      <c r="D9" s="221">
        <f>MATCH(C9,CFHeadings,0)</f>
        <v>16</v>
      </c>
      <c r="E9" s="2169">
        <f t="shared" ca="1" si="9"/>
        <v>0</v>
      </c>
      <c r="F9" s="2169">
        <f t="shared" ca="1" si="9"/>
        <v>0</v>
      </c>
      <c r="G9" s="2169">
        <f t="shared" ca="1" si="9"/>
        <v>0</v>
      </c>
      <c r="H9" s="2169">
        <f t="shared" ca="1" si="9"/>
        <v>0</v>
      </c>
      <c r="I9" s="2169">
        <f t="shared" ca="1" si="9"/>
        <v>0</v>
      </c>
      <c r="J9" s="2169">
        <f t="shared" ca="1" si="9"/>
        <v>0</v>
      </c>
      <c r="K9" s="2169">
        <f t="shared" ca="1" si="9"/>
        <v>0</v>
      </c>
      <c r="L9" s="2169">
        <f t="shared" ca="1" si="9"/>
        <v>0</v>
      </c>
      <c r="M9" s="2169">
        <f t="shared" ca="1" si="9"/>
        <v>0</v>
      </c>
      <c r="N9" s="2169">
        <f t="shared" ca="1" si="9"/>
        <v>0</v>
      </c>
      <c r="O9" s="2157">
        <f t="shared" ca="1" si="10"/>
        <v>0</v>
      </c>
      <c r="P9" s="2157">
        <f t="shared" ca="1" si="10"/>
        <v>0</v>
      </c>
      <c r="Q9" s="2157">
        <f t="shared" ca="1" si="10"/>
        <v>0</v>
      </c>
      <c r="R9" s="2157">
        <f t="shared" ca="1" si="10"/>
        <v>0</v>
      </c>
      <c r="S9" s="2170">
        <v>0</v>
      </c>
      <c r="T9" s="2169">
        <f t="shared" ca="1" si="11"/>
        <v>0</v>
      </c>
      <c r="U9" s="2169">
        <f t="shared" ca="1" si="11"/>
        <v>0</v>
      </c>
      <c r="V9" s="2169">
        <f t="shared" ca="1" si="11"/>
        <v>0</v>
      </c>
      <c r="W9" s="2161">
        <f t="shared" ca="1" si="13"/>
        <v>0</v>
      </c>
      <c r="X9" s="2161">
        <f t="shared" ca="1" si="13"/>
        <v>0</v>
      </c>
      <c r="Y9" s="2161">
        <f t="shared" ca="1" si="13"/>
        <v>0</v>
      </c>
      <c r="Z9" s="2161">
        <f t="shared" ca="1" si="13"/>
        <v>0</v>
      </c>
      <c r="AA9" s="2161">
        <f t="shared" ca="1" si="13"/>
        <v>0</v>
      </c>
      <c r="AB9" s="2161">
        <f t="shared" ca="1" si="4"/>
        <v>0</v>
      </c>
      <c r="AC9" s="2161">
        <f t="shared" ca="1" si="4"/>
        <v>0</v>
      </c>
      <c r="AD9" s="2161">
        <f t="shared" ca="1" si="4"/>
        <v>0</v>
      </c>
      <c r="AE9" s="2161">
        <f t="shared" ca="1" si="4"/>
        <v>0</v>
      </c>
      <c r="AF9" s="2161">
        <f t="shared" ca="1" si="4"/>
        <v>-51.780688566000002</v>
      </c>
      <c r="AG9" s="2161">
        <f t="shared" ca="1" si="4"/>
        <v>0</v>
      </c>
      <c r="AH9" s="2161">
        <f t="shared" ca="1" si="4"/>
        <v>0</v>
      </c>
      <c r="AI9" s="2161">
        <f t="shared" ca="1" si="4"/>
        <v>0</v>
      </c>
      <c r="AJ9" s="2161">
        <f t="shared" ca="1" si="4"/>
        <v>0</v>
      </c>
      <c r="AK9" s="2161">
        <f t="shared" ca="1" si="4"/>
        <v>0</v>
      </c>
      <c r="AL9" s="2161">
        <f t="shared" ca="1" si="4"/>
        <v>0</v>
      </c>
      <c r="AM9" s="2161">
        <f t="shared" ca="1" si="4"/>
        <v>0</v>
      </c>
      <c r="AN9" s="2161">
        <f t="shared" ca="1" si="12"/>
        <v>0</v>
      </c>
      <c r="AO9" s="2161">
        <f t="shared" ca="1" si="12"/>
        <v>0</v>
      </c>
      <c r="AP9" s="2161">
        <f t="shared" ca="1" si="12"/>
        <v>0</v>
      </c>
      <c r="AQ9" s="2161">
        <f t="shared" ca="1" si="12"/>
        <v>0</v>
      </c>
      <c r="AR9" s="2171">
        <f t="shared" ca="1" si="12"/>
        <v>0</v>
      </c>
      <c r="AS9" s="2172">
        <f ca="1">VLOOKUP($B9,RawData,AS$4,FALSE)*VLOOKUP(AS$3,ConversionFactors,2,FALSE)*1</f>
        <v>0</v>
      </c>
      <c r="AT9" s="2164">
        <f t="shared" si="5"/>
        <v>0</v>
      </c>
      <c r="AU9" s="2164">
        <f t="shared" si="5"/>
        <v>0</v>
      </c>
      <c r="AV9" s="2164">
        <f t="shared" si="5"/>
        <v>0</v>
      </c>
      <c r="AW9" s="2164">
        <f t="shared" si="5"/>
        <v>0</v>
      </c>
      <c r="AX9" s="2173">
        <f t="shared" si="5"/>
        <v>0</v>
      </c>
      <c r="AY9" s="2173">
        <f t="shared" ca="1" si="6"/>
        <v>0</v>
      </c>
      <c r="AZ9" s="2173">
        <f t="shared" ca="1" si="6"/>
        <v>0</v>
      </c>
      <c r="BA9" s="2173">
        <f t="shared" ca="1" si="6"/>
        <v>0</v>
      </c>
      <c r="BB9" s="2173">
        <f t="shared" ca="1" si="6"/>
        <v>0</v>
      </c>
      <c r="BC9" s="2173">
        <f t="shared" si="7"/>
        <v>0</v>
      </c>
      <c r="BD9" s="2174">
        <f ca="1">VLOOKUP($B9,RawData,BD$4,FALSE)*VLOOKUP(BD$3,ConversionFactors,2,FALSE)/1000</f>
        <v>0</v>
      </c>
      <c r="BE9" s="2167">
        <v>0</v>
      </c>
      <c r="BF9" s="2167">
        <v>0</v>
      </c>
      <c r="BG9" s="2167">
        <f>VLOOKUP($B9,RawData,BG$4,FALSE)*1</f>
        <v>0</v>
      </c>
      <c r="BH9" s="2167">
        <v>0</v>
      </c>
      <c r="BI9" s="2167">
        <f>VLOOKUP($B9,RawData,BI$4,FALSE)*1</f>
        <v>0</v>
      </c>
      <c r="BJ9" s="2167">
        <v>0</v>
      </c>
      <c r="BK9" s="2167">
        <v>0</v>
      </c>
      <c r="BL9" s="2167">
        <v>0</v>
      </c>
      <c r="BM9" s="2167">
        <f>VLOOKUP($B9,RawData,BM$4,FALSE)*3.6</f>
        <v>0</v>
      </c>
      <c r="BN9" s="2167">
        <f>VLOOKUP($B9,RawData,BN$4,FALSE)*1</f>
        <v>0</v>
      </c>
      <c r="BO9" s="2170">
        <v>0</v>
      </c>
      <c r="BP9" s="2168">
        <f t="shared" ca="1" si="8"/>
        <v>-51.780688566000002</v>
      </c>
      <c r="BQ9" s="915"/>
      <c r="CA9" s="555" t="s">
        <v>897</v>
      </c>
      <c r="CB9" s="20" t="s">
        <v>1889</v>
      </c>
      <c r="CC9" s="20" t="s">
        <v>1890</v>
      </c>
      <c r="CD9" s="20" t="s">
        <v>1891</v>
      </c>
      <c r="CE9" s="20" t="s">
        <v>1892</v>
      </c>
      <c r="CF9" s="20" t="s">
        <v>1893</v>
      </c>
      <c r="CG9" s="20" t="s">
        <v>1894</v>
      </c>
      <c r="CH9" s="20" t="s">
        <v>1895</v>
      </c>
      <c r="CI9" s="20" t="s">
        <v>1896</v>
      </c>
      <c r="CJ9" s="20" t="s">
        <v>1897</v>
      </c>
      <c r="CK9" s="20" t="s">
        <v>1898</v>
      </c>
      <c r="CL9" s="20" t="s">
        <v>1899</v>
      </c>
      <c r="CM9" s="20" t="s">
        <v>1900</v>
      </c>
      <c r="CN9" s="20" t="s">
        <v>1901</v>
      </c>
      <c r="CO9" s="20" t="s">
        <v>1902</v>
      </c>
      <c r="CP9" s="20">
        <v>0</v>
      </c>
      <c r="CQ9" s="20" t="s">
        <v>1903</v>
      </c>
      <c r="CR9" s="20" t="s">
        <v>1904</v>
      </c>
      <c r="CS9" s="20" t="s">
        <v>1905</v>
      </c>
      <c r="CT9" s="20" t="s">
        <v>1906</v>
      </c>
      <c r="CU9" s="20" t="s">
        <v>1907</v>
      </c>
      <c r="CV9" s="20" t="s">
        <v>1908</v>
      </c>
      <c r="CW9" s="20" t="s">
        <v>1909</v>
      </c>
      <c r="CX9" s="20" t="s">
        <v>1910</v>
      </c>
      <c r="CY9" s="20" t="s">
        <v>1911</v>
      </c>
      <c r="CZ9" s="20" t="s">
        <v>1912</v>
      </c>
      <c r="DA9" s="20" t="s">
        <v>1913</v>
      </c>
      <c r="DB9" s="20" t="s">
        <v>1914</v>
      </c>
      <c r="DC9" s="20" t="s">
        <v>1915</v>
      </c>
      <c r="DD9" s="20" t="s">
        <v>1916</v>
      </c>
      <c r="DE9" s="20" t="s">
        <v>1917</v>
      </c>
      <c r="DF9" s="20" t="s">
        <v>1918</v>
      </c>
      <c r="DG9" s="20" t="s">
        <v>1919</v>
      </c>
      <c r="DH9" s="20" t="s">
        <v>1920</v>
      </c>
      <c r="DI9" s="20" t="s">
        <v>1921</v>
      </c>
      <c r="DJ9" s="20" t="s">
        <v>1922</v>
      </c>
      <c r="DK9" s="20" t="s">
        <v>1923</v>
      </c>
      <c r="DL9" s="20" t="s">
        <v>1924</v>
      </c>
      <c r="DM9" s="20" t="s">
        <v>1925</v>
      </c>
      <c r="DN9" s="20" t="s">
        <v>1926</v>
      </c>
      <c r="DO9" s="20" t="s">
        <v>1927</v>
      </c>
      <c r="DP9" s="20" t="s">
        <v>1928</v>
      </c>
      <c r="DQ9" s="20" t="s">
        <v>1929</v>
      </c>
      <c r="DR9" s="20" t="s">
        <v>1930</v>
      </c>
      <c r="DS9" s="20" t="s">
        <v>1931</v>
      </c>
      <c r="DT9" s="20" t="s">
        <v>1932</v>
      </c>
      <c r="DU9" s="20" t="s">
        <v>1933</v>
      </c>
      <c r="DV9" s="20" t="s">
        <v>1934</v>
      </c>
      <c r="DW9" s="20" t="s">
        <v>1935</v>
      </c>
      <c r="DX9" s="20" t="s">
        <v>1936</v>
      </c>
      <c r="DY9" s="20" t="s">
        <v>1937</v>
      </c>
      <c r="DZ9" s="20" t="s">
        <v>1938</v>
      </c>
      <c r="EA9" s="20" t="s">
        <v>1939</v>
      </c>
      <c r="EB9" s="20">
        <v>0</v>
      </c>
      <c r="EC9" s="20">
        <v>0</v>
      </c>
      <c r="ED9" s="20" t="s">
        <v>1940</v>
      </c>
      <c r="EE9" s="20">
        <v>0</v>
      </c>
      <c r="EF9" s="20" t="s">
        <v>1941</v>
      </c>
      <c r="EG9" s="20">
        <v>0</v>
      </c>
      <c r="EH9" s="20">
        <v>0</v>
      </c>
      <c r="EI9" s="20">
        <v>0</v>
      </c>
      <c r="EJ9" s="20" t="s">
        <v>1942</v>
      </c>
      <c r="EK9" s="20" t="s">
        <v>1943</v>
      </c>
      <c r="EL9" s="20">
        <v>0</v>
      </c>
    </row>
    <row r="10" spans="1:142" s="20" customFormat="1" ht="11.25" x14ac:dyDescent="0.2">
      <c r="A10" s="905" t="str">
        <f>STOCKCHA</f>
        <v>Stock changes</v>
      </c>
      <c r="B10" s="230" t="s">
        <v>904</v>
      </c>
      <c r="C10" s="230" t="s">
        <v>1639</v>
      </c>
      <c r="D10" s="221">
        <v>2</v>
      </c>
      <c r="E10" s="2169">
        <f t="shared" ca="1" si="9"/>
        <v>0</v>
      </c>
      <c r="F10" s="2169">
        <f t="shared" ca="1" si="9"/>
        <v>0</v>
      </c>
      <c r="G10" s="2169">
        <f t="shared" ca="1" si="9"/>
        <v>0</v>
      </c>
      <c r="H10" s="2169">
        <f t="shared" ca="1" si="9"/>
        <v>0</v>
      </c>
      <c r="I10" s="2169">
        <f t="shared" ca="1" si="9"/>
        <v>0</v>
      </c>
      <c r="J10" s="2169">
        <f t="shared" ca="1" si="9"/>
        <v>0</v>
      </c>
      <c r="K10" s="2169">
        <f t="shared" ca="1" si="9"/>
        <v>0</v>
      </c>
      <c r="L10" s="2169">
        <f t="shared" ca="1" si="9"/>
        <v>0</v>
      </c>
      <c r="M10" s="2169">
        <f t="shared" ca="1" si="9"/>
        <v>0</v>
      </c>
      <c r="N10" s="2169">
        <f t="shared" ca="1" si="9"/>
        <v>0</v>
      </c>
      <c r="O10" s="2157">
        <f t="shared" ca="1" si="10"/>
        <v>0</v>
      </c>
      <c r="P10" s="2157">
        <f t="shared" ca="1" si="10"/>
        <v>0</v>
      </c>
      <c r="Q10" s="2157">
        <f t="shared" ca="1" si="10"/>
        <v>0</v>
      </c>
      <c r="R10" s="2157">
        <f t="shared" ca="1" si="10"/>
        <v>0</v>
      </c>
      <c r="S10" s="2170">
        <v>0</v>
      </c>
      <c r="T10" s="2169">
        <f t="shared" ca="1" si="11"/>
        <v>0</v>
      </c>
      <c r="U10" s="2169">
        <f t="shared" ca="1" si="11"/>
        <v>0</v>
      </c>
      <c r="V10" s="2169">
        <f t="shared" ca="1" si="11"/>
        <v>0</v>
      </c>
      <c r="W10" s="2161">
        <f t="shared" ca="1" si="13"/>
        <v>-17439.866999999998</v>
      </c>
      <c r="X10" s="2161">
        <f t="shared" ca="1" si="13"/>
        <v>0</v>
      </c>
      <c r="Y10" s="2161">
        <f t="shared" ca="1" si="13"/>
        <v>0</v>
      </c>
      <c r="Z10" s="2161">
        <f t="shared" ca="1" si="13"/>
        <v>0</v>
      </c>
      <c r="AA10" s="2161">
        <f t="shared" ca="1" si="13"/>
        <v>0</v>
      </c>
      <c r="AB10" s="2161">
        <f t="shared" ca="1" si="4"/>
        <v>0</v>
      </c>
      <c r="AC10" s="2161">
        <f t="shared" ca="1" si="4"/>
        <v>0</v>
      </c>
      <c r="AD10" s="2161">
        <f t="shared" ca="1" si="4"/>
        <v>-212.615400384</v>
      </c>
      <c r="AE10" s="2161">
        <f t="shared" ca="1" si="4"/>
        <v>-436.67847983921996</v>
      </c>
      <c r="AF10" s="2161">
        <f t="shared" ca="1" si="4"/>
        <v>367.30947797699997</v>
      </c>
      <c r="AG10" s="2161">
        <f t="shared" ca="1" si="4"/>
        <v>5773.9764744468002</v>
      </c>
      <c r="AH10" s="2161">
        <f t="shared" ca="1" si="4"/>
        <v>-720.86558592684992</v>
      </c>
      <c r="AI10" s="2161">
        <f t="shared" ca="1" si="4"/>
        <v>147.756217335282</v>
      </c>
      <c r="AJ10" s="2161">
        <f t="shared" ca="1" si="4"/>
        <v>-17097.486917749298</v>
      </c>
      <c r="AK10" s="2161">
        <f t="shared" ca="1" si="4"/>
        <v>12237.319737841801</v>
      </c>
      <c r="AL10" s="2161">
        <f t="shared" ca="1" si="4"/>
        <v>85.683030979533996</v>
      </c>
      <c r="AM10" s="2161">
        <f t="shared" ca="1" si="4"/>
        <v>1038.28311920086</v>
      </c>
      <c r="AN10" s="2161">
        <f t="shared" ca="1" si="12"/>
        <v>327.60000000000002</v>
      </c>
      <c r="AO10" s="2161">
        <f t="shared" ca="1" si="12"/>
        <v>826.8</v>
      </c>
      <c r="AP10" s="2161">
        <f t="shared" ca="1" si="12"/>
        <v>-27.599999999999998</v>
      </c>
      <c r="AQ10" s="2161">
        <f t="shared" ca="1" si="12"/>
        <v>0</v>
      </c>
      <c r="AR10" s="2171">
        <f t="shared" ca="1" si="12"/>
        <v>0</v>
      </c>
      <c r="AS10" s="2172">
        <f ca="1">VLOOKUP($B10,RawData,AS$4,FALSE)*VLOOKUP(AS$3,ConversionFactors,2,FALSE)*1</f>
        <v>0</v>
      </c>
      <c r="AT10" s="2164">
        <f t="shared" si="5"/>
        <v>0</v>
      </c>
      <c r="AU10" s="2164">
        <f t="shared" si="5"/>
        <v>0</v>
      </c>
      <c r="AV10" s="2164">
        <f t="shared" si="5"/>
        <v>0</v>
      </c>
      <c r="AW10" s="2164">
        <f t="shared" si="5"/>
        <v>0</v>
      </c>
      <c r="AX10" s="2173">
        <f t="shared" si="5"/>
        <v>0</v>
      </c>
      <c r="AY10" s="2173">
        <f t="shared" ca="1" si="6"/>
        <v>0</v>
      </c>
      <c r="AZ10" s="2173">
        <f t="shared" ca="1" si="6"/>
        <v>0</v>
      </c>
      <c r="BA10" s="2173">
        <f t="shared" ca="1" si="6"/>
        <v>0</v>
      </c>
      <c r="BB10" s="2173">
        <f t="shared" ca="1" si="6"/>
        <v>0</v>
      </c>
      <c r="BC10" s="2173">
        <f t="shared" si="7"/>
        <v>0</v>
      </c>
      <c r="BD10" s="2174">
        <f ca="1">VLOOKUP($B10,RawData,BD$4,FALSE)*VLOOKUP(BD$3,ConversionFactors,2,FALSE)/1000</f>
        <v>0</v>
      </c>
      <c r="BE10" s="2167">
        <v>0</v>
      </c>
      <c r="BF10" s="2167">
        <v>0</v>
      </c>
      <c r="BG10" s="2167">
        <v>0</v>
      </c>
      <c r="BH10" s="2167">
        <v>0</v>
      </c>
      <c r="BI10" s="2167">
        <v>0</v>
      </c>
      <c r="BJ10" s="2167">
        <v>0</v>
      </c>
      <c r="BK10" s="2167">
        <v>0</v>
      </c>
      <c r="BL10" s="2167">
        <v>0</v>
      </c>
      <c r="BM10" s="2167">
        <f>VLOOKUP($B10,RawData,BM$4,FALSE)*3.6</f>
        <v>0</v>
      </c>
      <c r="BN10" s="2167">
        <f>VLOOKUP($B10,RawData,BN$4,FALSE)*1</f>
        <v>0</v>
      </c>
      <c r="BO10" s="2170">
        <v>0</v>
      </c>
      <c r="BP10" s="2168">
        <f t="shared" ca="1" si="8"/>
        <v>-15130.385326118085</v>
      </c>
      <c r="BQ10" s="916"/>
      <c r="CA10" s="555" t="s">
        <v>904</v>
      </c>
      <c r="CB10" s="20" t="s">
        <v>1944</v>
      </c>
      <c r="CC10" s="20" t="s">
        <v>1945</v>
      </c>
      <c r="CD10" s="20" t="s">
        <v>1946</v>
      </c>
      <c r="CE10" s="20" t="s">
        <v>1947</v>
      </c>
      <c r="CF10" s="20" t="s">
        <v>1948</v>
      </c>
      <c r="CG10" s="20" t="s">
        <v>1949</v>
      </c>
      <c r="CH10" s="20" t="s">
        <v>1950</v>
      </c>
      <c r="CI10" s="20" t="s">
        <v>1951</v>
      </c>
      <c r="CJ10" s="20" t="s">
        <v>1952</v>
      </c>
      <c r="CK10" s="20" t="s">
        <v>1953</v>
      </c>
      <c r="CL10" s="20" t="s">
        <v>1954</v>
      </c>
      <c r="CM10" s="20" t="s">
        <v>1955</v>
      </c>
      <c r="CN10" s="20" t="s">
        <v>1956</v>
      </c>
      <c r="CO10" s="20" t="s">
        <v>1957</v>
      </c>
      <c r="CP10" s="20">
        <v>0</v>
      </c>
      <c r="CQ10" s="20" t="s">
        <v>1958</v>
      </c>
      <c r="CR10" s="20" t="s">
        <v>1959</v>
      </c>
      <c r="CS10" s="20" t="s">
        <v>1960</v>
      </c>
      <c r="CT10" s="20" t="s">
        <v>1961</v>
      </c>
      <c r="CU10" s="20" t="s">
        <v>1962</v>
      </c>
      <c r="CV10" s="20" t="s">
        <v>1963</v>
      </c>
      <c r="CW10" s="20" t="s">
        <v>1964</v>
      </c>
      <c r="CX10" s="20" t="s">
        <v>1965</v>
      </c>
      <c r="CY10" s="20" t="s">
        <v>1966</v>
      </c>
      <c r="CZ10" s="20" t="s">
        <v>1967</v>
      </c>
      <c r="DA10" s="20" t="s">
        <v>1968</v>
      </c>
      <c r="DB10" s="20" t="s">
        <v>1969</v>
      </c>
      <c r="DC10" s="20" t="s">
        <v>1970</v>
      </c>
      <c r="DD10" s="20" t="s">
        <v>1971</v>
      </c>
      <c r="DE10" s="20" t="s">
        <v>1972</v>
      </c>
      <c r="DF10" s="20" t="s">
        <v>1973</v>
      </c>
      <c r="DG10" s="20" t="s">
        <v>1974</v>
      </c>
      <c r="DH10" s="20" t="s">
        <v>1975</v>
      </c>
      <c r="DI10" s="20" t="s">
        <v>1976</v>
      </c>
      <c r="DJ10" s="20" t="s">
        <v>1977</v>
      </c>
      <c r="DK10" s="20" t="s">
        <v>1978</v>
      </c>
      <c r="DL10" s="20" t="s">
        <v>1979</v>
      </c>
      <c r="DM10" s="20" t="s">
        <v>1980</v>
      </c>
      <c r="DN10" s="20" t="s">
        <v>1981</v>
      </c>
      <c r="DO10" s="20" t="s">
        <v>1982</v>
      </c>
      <c r="DP10" s="20" t="s">
        <v>1983</v>
      </c>
      <c r="DQ10" s="20" t="s">
        <v>1984</v>
      </c>
      <c r="DR10" s="20" t="s">
        <v>1985</v>
      </c>
      <c r="DS10" s="20" t="s">
        <v>1986</v>
      </c>
      <c r="DT10" s="20" t="s">
        <v>1987</v>
      </c>
      <c r="DU10" s="20" t="s">
        <v>1988</v>
      </c>
      <c r="DV10" s="20" t="s">
        <v>1989</v>
      </c>
      <c r="DW10" s="20" t="s">
        <v>1990</v>
      </c>
      <c r="DX10" s="20" t="s">
        <v>1991</v>
      </c>
      <c r="DY10" s="20" t="s">
        <v>1992</v>
      </c>
      <c r="DZ10" s="20" t="s">
        <v>1993</v>
      </c>
      <c r="EA10" s="20" t="s">
        <v>1994</v>
      </c>
      <c r="EB10" s="20">
        <v>0</v>
      </c>
      <c r="EC10" s="20">
        <v>0</v>
      </c>
      <c r="ED10" s="20">
        <v>0</v>
      </c>
      <c r="EE10" s="20">
        <v>0</v>
      </c>
      <c r="EF10" s="20">
        <v>0</v>
      </c>
      <c r="EG10" s="20">
        <v>0</v>
      </c>
      <c r="EH10" s="20">
        <v>0</v>
      </c>
      <c r="EI10" s="20">
        <v>0</v>
      </c>
      <c r="EJ10" s="20" t="s">
        <v>1995</v>
      </c>
      <c r="EK10" s="20" t="s">
        <v>1996</v>
      </c>
      <c r="EL10" s="20">
        <v>0</v>
      </c>
    </row>
    <row r="11" spans="1:142" s="259" customFormat="1" ht="11.25" x14ac:dyDescent="0.2">
      <c r="A11" s="553" t="str">
        <f>DOMSUP</f>
        <v>Domestic supply</v>
      </c>
      <c r="B11" s="554" t="s">
        <v>916</v>
      </c>
      <c r="C11" s="877"/>
      <c r="D11" s="878"/>
      <c r="E11" s="2175">
        <f t="shared" ref="E11:R11" ca="1" si="14">SUM(E5:E10)</f>
        <v>54256.235101000013</v>
      </c>
      <c r="F11" s="2175">
        <f t="shared" ca="1" si="14"/>
        <v>31950.23490499999</v>
      </c>
      <c r="G11" s="2175">
        <f t="shared" ca="1" si="14"/>
        <v>4001788.9715360003</v>
      </c>
      <c r="H11" s="2175">
        <f t="shared" ca="1" si="14"/>
        <v>0</v>
      </c>
      <c r="I11" s="2175">
        <f t="shared" ca="1" si="14"/>
        <v>0</v>
      </c>
      <c r="J11" s="2175">
        <f t="shared" ca="1" si="14"/>
        <v>0</v>
      </c>
      <c r="K11" s="2175">
        <f t="shared" ca="1" si="14"/>
        <v>0</v>
      </c>
      <c r="L11" s="2175">
        <f t="shared" ca="1" si="14"/>
        <v>0</v>
      </c>
      <c r="M11" s="2175">
        <f t="shared" ca="1" si="14"/>
        <v>0</v>
      </c>
      <c r="N11" s="2175">
        <f t="shared" ca="1" si="14"/>
        <v>0</v>
      </c>
      <c r="O11" s="2175">
        <f t="shared" ca="1" si="14"/>
        <v>0</v>
      </c>
      <c r="P11" s="2175">
        <f t="shared" ca="1" si="14"/>
        <v>0</v>
      </c>
      <c r="Q11" s="2175">
        <f t="shared" ca="1" si="14"/>
        <v>0</v>
      </c>
      <c r="R11" s="2175">
        <f t="shared" ca="1" si="14"/>
        <v>0</v>
      </c>
      <c r="S11" s="2175">
        <v>0</v>
      </c>
      <c r="T11" s="2175">
        <f t="shared" ref="T11:Z11" ca="1" si="15">SUM(T5:T10)</f>
        <v>0</v>
      </c>
      <c r="U11" s="2175">
        <f t="shared" ca="1" si="15"/>
        <v>0</v>
      </c>
      <c r="V11" s="2175">
        <f t="shared" ca="1" si="15"/>
        <v>0</v>
      </c>
      <c r="W11" s="2175">
        <f t="shared" ca="1" si="15"/>
        <v>1008600.0058709686</v>
      </c>
      <c r="X11" s="2175">
        <f t="shared" ca="1" si="15"/>
        <v>16798.853859999999</v>
      </c>
      <c r="Y11" s="2175">
        <f t="shared" ca="1" si="15"/>
        <v>0</v>
      </c>
      <c r="Z11" s="2175">
        <f t="shared" ca="1" si="15"/>
        <v>0</v>
      </c>
      <c r="AA11" s="2175">
        <f ca="1">SUM(AA6:AA10)</f>
        <v>0</v>
      </c>
      <c r="AB11" s="2175">
        <f t="shared" ref="AB11:BN11" ca="1" si="16">SUM(AB5:AB10)</f>
        <v>8.0334797109960938</v>
      </c>
      <c r="AC11" s="2175">
        <f t="shared" ca="1" si="16"/>
        <v>0</v>
      </c>
      <c r="AD11" s="2175">
        <f t="shared" ca="1" si="16"/>
        <v>9677.5603496160002</v>
      </c>
      <c r="AE11" s="2175">
        <f t="shared" ca="1" si="16"/>
        <v>199094.40257244976</v>
      </c>
      <c r="AF11" s="2175">
        <f t="shared" ca="1" si="16"/>
        <v>15989.292890772329</v>
      </c>
      <c r="AG11" s="2175">
        <f t="shared" ca="1" si="16"/>
        <v>20013.806426446801</v>
      </c>
      <c r="AH11" s="2175">
        <f t="shared" ca="1" si="16"/>
        <v>28679.385610166904</v>
      </c>
      <c r="AI11" s="2175">
        <f t="shared" ca="1" si="16"/>
        <v>11869.612650815743</v>
      </c>
      <c r="AJ11" s="2175">
        <f t="shared" ca="1" si="16"/>
        <v>295998.01516084431</v>
      </c>
      <c r="AK11" s="2175">
        <f t="shared" ca="1" si="16"/>
        <v>106165.93041447461</v>
      </c>
      <c r="AL11" s="2175">
        <f t="shared" ca="1" si="16"/>
        <v>7002.4051771670338</v>
      </c>
      <c r="AM11" s="2175">
        <f t="shared" ca="1" si="16"/>
        <v>1539.2683467647944</v>
      </c>
      <c r="AN11" s="2175">
        <f t="shared" ca="1" si="16"/>
        <v>327.50465998077397</v>
      </c>
      <c r="AO11" s="2175">
        <f t="shared" ca="1" si="16"/>
        <v>822.60828001785273</v>
      </c>
      <c r="AP11" s="2175">
        <f t="shared" ca="1" si="16"/>
        <v>-27.560400009155273</v>
      </c>
      <c r="AQ11" s="2175">
        <f t="shared" ca="1" si="16"/>
        <v>9.6368003120422348</v>
      </c>
      <c r="AR11" s="2176">
        <f t="shared" ca="1" si="16"/>
        <v>0</v>
      </c>
      <c r="AS11" s="2177">
        <f t="shared" ca="1" si="16"/>
        <v>117672.17901916505</v>
      </c>
      <c r="AT11" s="2175">
        <f t="shared" si="16"/>
        <v>0</v>
      </c>
      <c r="AU11" s="2175">
        <f t="shared" si="16"/>
        <v>0</v>
      </c>
      <c r="AV11" s="2175">
        <f t="shared" si="16"/>
        <v>0</v>
      </c>
      <c r="AW11" s="2175">
        <f t="shared" si="16"/>
        <v>0</v>
      </c>
      <c r="AX11" s="2175">
        <f t="shared" si="16"/>
        <v>0</v>
      </c>
      <c r="AY11" s="2175">
        <f t="shared" ca="1" si="16"/>
        <v>0</v>
      </c>
      <c r="AZ11" s="2175">
        <f t="shared" ca="1" si="16"/>
        <v>0</v>
      </c>
      <c r="BA11" s="2175">
        <f t="shared" ca="1" si="16"/>
        <v>0</v>
      </c>
      <c r="BB11" s="2175">
        <f t="shared" ca="1" si="16"/>
        <v>0</v>
      </c>
      <c r="BC11" s="2175">
        <f t="shared" si="16"/>
        <v>0</v>
      </c>
      <c r="BD11" s="2176">
        <f t="shared" ca="1" si="16"/>
        <v>0</v>
      </c>
      <c r="BE11" s="2175">
        <f t="shared" si="16"/>
        <v>198135.20818181819</v>
      </c>
      <c r="BF11" s="2175">
        <f t="shared" si="16"/>
        <v>-56949.423599999995</v>
      </c>
      <c r="BG11" s="2175">
        <f t="shared" si="16"/>
        <v>0</v>
      </c>
      <c r="BH11" s="2175">
        <f t="shared" si="16"/>
        <v>14061.509999999998</v>
      </c>
      <c r="BI11" s="2175">
        <f t="shared" si="16"/>
        <v>0</v>
      </c>
      <c r="BJ11" s="2175">
        <f t="shared" si="16"/>
        <v>0</v>
      </c>
      <c r="BK11" s="2175">
        <f t="shared" si="16"/>
        <v>29971.68</v>
      </c>
      <c r="BL11" s="2175">
        <f t="shared" si="16"/>
        <v>0</v>
      </c>
      <c r="BM11" s="2175">
        <f t="shared" si="16"/>
        <v>-23499.017999999993</v>
      </c>
      <c r="BN11" s="2175">
        <f t="shared" si="16"/>
        <v>0</v>
      </c>
      <c r="BO11" s="2175">
        <v>0</v>
      </c>
      <c r="BP11" s="2178">
        <f t="shared" ca="1" si="8"/>
        <v>6089956.3392934818</v>
      </c>
      <c r="BQ11" s="1144">
        <f ca="1">IFERROR(SUM(AU11,AW11:BD11,BF11:BK11)/BP11,"..")</f>
        <v>-2.1209074220552553E-3</v>
      </c>
      <c r="CA11" s="561" t="s">
        <v>916</v>
      </c>
      <c r="CB11" s="20" t="s">
        <v>1997</v>
      </c>
      <c r="CC11" s="20" t="s">
        <v>1998</v>
      </c>
      <c r="CD11" s="20" t="s">
        <v>1999</v>
      </c>
      <c r="CE11" s="20" t="s">
        <v>2000</v>
      </c>
      <c r="CF11" s="20" t="s">
        <v>2001</v>
      </c>
      <c r="CG11" s="20" t="s">
        <v>2002</v>
      </c>
      <c r="CH11" s="20" t="s">
        <v>2003</v>
      </c>
      <c r="CI11" s="20" t="s">
        <v>2004</v>
      </c>
      <c r="CJ11" s="20" t="s">
        <v>2005</v>
      </c>
      <c r="CK11" s="20" t="s">
        <v>2006</v>
      </c>
      <c r="CL11" s="20" t="s">
        <v>2007</v>
      </c>
      <c r="CM11" s="20" t="s">
        <v>2008</v>
      </c>
      <c r="CN11" s="20" t="s">
        <v>2009</v>
      </c>
      <c r="CO11" s="20" t="s">
        <v>2010</v>
      </c>
      <c r="CP11" s="20">
        <v>0</v>
      </c>
      <c r="CQ11" s="20" t="s">
        <v>2011</v>
      </c>
      <c r="CR11" s="20" t="s">
        <v>2012</v>
      </c>
      <c r="CS11" s="20" t="s">
        <v>2013</v>
      </c>
      <c r="CT11" s="20" t="s">
        <v>2014</v>
      </c>
      <c r="CU11" s="20" t="s">
        <v>2015</v>
      </c>
      <c r="CV11" s="20" t="s">
        <v>2016</v>
      </c>
      <c r="CW11" s="20" t="s">
        <v>2017</v>
      </c>
      <c r="CX11" s="20" t="s">
        <v>2018</v>
      </c>
      <c r="CY11" s="20" t="s">
        <v>2019</v>
      </c>
      <c r="CZ11" s="20" t="s">
        <v>2020</v>
      </c>
      <c r="DA11" s="20" t="s">
        <v>2021</v>
      </c>
      <c r="DB11" s="20" t="s">
        <v>2022</v>
      </c>
      <c r="DC11" s="20" t="s">
        <v>2023</v>
      </c>
      <c r="DD11" s="20" t="s">
        <v>2024</v>
      </c>
      <c r="DE11" s="20" t="s">
        <v>2025</v>
      </c>
      <c r="DF11" s="20" t="s">
        <v>2026</v>
      </c>
      <c r="DG11" s="20" t="s">
        <v>2027</v>
      </c>
      <c r="DH11" s="20" t="s">
        <v>2028</v>
      </c>
      <c r="DI11" s="20" t="s">
        <v>2029</v>
      </c>
      <c r="DJ11" s="20" t="s">
        <v>2030</v>
      </c>
      <c r="DK11" s="20" t="s">
        <v>2031</v>
      </c>
      <c r="DL11" s="20" t="s">
        <v>2032</v>
      </c>
      <c r="DM11" s="20" t="s">
        <v>2033</v>
      </c>
      <c r="DN11" s="20" t="s">
        <v>2034</v>
      </c>
      <c r="DO11" s="20" t="s">
        <v>2035</v>
      </c>
      <c r="DP11" s="20" t="s">
        <v>2036</v>
      </c>
      <c r="DQ11" s="20" t="s">
        <v>2037</v>
      </c>
      <c r="DR11" s="20" t="s">
        <v>2038</v>
      </c>
      <c r="DS11" s="20" t="s">
        <v>2039</v>
      </c>
      <c r="DT11" s="20" t="s">
        <v>2040</v>
      </c>
      <c r="DU11" s="20" t="s">
        <v>2041</v>
      </c>
      <c r="DV11" s="20" t="s">
        <v>2042</v>
      </c>
      <c r="DW11" s="20" t="s">
        <v>2043</v>
      </c>
      <c r="DX11" s="20" t="s">
        <v>2044</v>
      </c>
      <c r="DY11" s="20" t="s">
        <v>2045</v>
      </c>
      <c r="DZ11" s="20" t="s">
        <v>2046</v>
      </c>
      <c r="EA11" s="20" t="s">
        <v>2047</v>
      </c>
      <c r="EB11" s="20" t="s">
        <v>2048</v>
      </c>
      <c r="EC11" s="20" t="s">
        <v>2049</v>
      </c>
      <c r="ED11" s="20" t="s">
        <v>2050</v>
      </c>
      <c r="EE11" s="20" t="s">
        <v>2051</v>
      </c>
      <c r="EF11" s="20" t="s">
        <v>2052</v>
      </c>
      <c r="EG11" s="20" t="s">
        <v>2053</v>
      </c>
      <c r="EH11" s="20" t="s">
        <v>2054</v>
      </c>
      <c r="EI11" s="20" t="s">
        <v>2055</v>
      </c>
      <c r="EJ11" s="20" t="s">
        <v>2056</v>
      </c>
      <c r="EK11" s="20" t="s">
        <v>2057</v>
      </c>
      <c r="EL11" s="20">
        <v>0</v>
      </c>
    </row>
    <row r="12" spans="1:142" s="20" customFormat="1" ht="11.25" x14ac:dyDescent="0.2">
      <c r="A12" s="905" t="str">
        <f>TRANSFER</f>
        <v>Transfers</v>
      </c>
      <c r="B12" s="230" t="s">
        <v>922</v>
      </c>
      <c r="C12" s="230" t="s">
        <v>1653</v>
      </c>
      <c r="D12" s="221">
        <f>MATCH(C12,CFHeadings,0)</f>
        <v>16</v>
      </c>
      <c r="E12" s="2169">
        <f t="shared" ref="E12:N12" ca="1" si="17">VLOOKUP($B12,RawData,E$4,FALSE)*VLOOKUP(E$3,ConversionFactors,$D12,FALSE)/1000</f>
        <v>0</v>
      </c>
      <c r="F12" s="2169">
        <f t="shared" ca="1" si="17"/>
        <v>0</v>
      </c>
      <c r="G12" s="2169">
        <f t="shared" ca="1" si="17"/>
        <v>0</v>
      </c>
      <c r="H12" s="2169">
        <f t="shared" ca="1" si="17"/>
        <v>0</v>
      </c>
      <c r="I12" s="2169">
        <f t="shared" ca="1" si="17"/>
        <v>0</v>
      </c>
      <c r="J12" s="2169">
        <f t="shared" ca="1" si="17"/>
        <v>0</v>
      </c>
      <c r="K12" s="2169">
        <f t="shared" ca="1" si="17"/>
        <v>0</v>
      </c>
      <c r="L12" s="2169">
        <f t="shared" ca="1" si="17"/>
        <v>0</v>
      </c>
      <c r="M12" s="2169">
        <f t="shared" ca="1" si="17"/>
        <v>0</v>
      </c>
      <c r="N12" s="2169">
        <f t="shared" ca="1" si="17"/>
        <v>0</v>
      </c>
      <c r="O12" s="2169">
        <f ca="1">(VLOOKUP($B12,RawData,O$4,FALSE)*VLOOKUP(O$3,ConversionFactors,2,FALSE))*1</f>
        <v>0</v>
      </c>
      <c r="P12" s="2169">
        <f ca="1">(VLOOKUP($B12,RawData,P$4,FALSE)*VLOOKUP(P$3,ConversionFactors,2,FALSE))*1</f>
        <v>0</v>
      </c>
      <c r="Q12" s="2169">
        <f ca="1">(VLOOKUP($B12,RawData,Q$4,FALSE)*VLOOKUP(Q$3,ConversionFactors,2,FALSE))*1</f>
        <v>0</v>
      </c>
      <c r="R12" s="2169">
        <f ca="1">(VLOOKUP($B12,RawData,R$4,FALSE)*VLOOKUP(R$3,ConversionFactors,2,FALSE))*1</f>
        <v>0</v>
      </c>
      <c r="S12" s="2170">
        <v>0</v>
      </c>
      <c r="T12" s="2169">
        <f ca="1">VLOOKUP($B12,RawData,T$4,FALSE)*VLOOKUP(T$3,ConversionFactors,$D12,FALSE)/1000</f>
        <v>0</v>
      </c>
      <c r="U12" s="2169">
        <f ca="1">VLOOKUP($B12,RawData,U$4,FALSE)*VLOOKUP(U$3,ConversionFactors,$D12,FALSE)/1000</f>
        <v>0</v>
      </c>
      <c r="V12" s="2169">
        <f ca="1">VLOOKUP($B12,RawData,V$4,FALSE)*VLOOKUP(V$3,ConversionFactors,$D12,FALSE)/1000</f>
        <v>0</v>
      </c>
      <c r="W12" s="2161">
        <f t="shared" ref="W12:AR12" ca="1" si="18">VLOOKUP($B12,RawData,W$4,FALSE)*VLOOKUP(W$3,ConversionFactors,2,FALSE)/1000</f>
        <v>0</v>
      </c>
      <c r="X12" s="2161">
        <f t="shared" ca="1" si="18"/>
        <v>0</v>
      </c>
      <c r="Y12" s="2161">
        <f t="shared" ca="1" si="18"/>
        <v>0</v>
      </c>
      <c r="Z12" s="2161">
        <f t="shared" ca="1" si="18"/>
        <v>0</v>
      </c>
      <c r="AA12" s="2161">
        <f t="shared" ca="1" si="18"/>
        <v>-203607.73240000001</v>
      </c>
      <c r="AB12" s="2161">
        <f t="shared" ca="1" si="18"/>
        <v>0</v>
      </c>
      <c r="AC12" s="2161">
        <f t="shared" ca="1" si="18"/>
        <v>0</v>
      </c>
      <c r="AD12" s="2161">
        <f t="shared" ca="1" si="18"/>
        <v>0</v>
      </c>
      <c r="AE12" s="2161">
        <f t="shared" ca="1" si="18"/>
        <v>0</v>
      </c>
      <c r="AF12" s="2161">
        <f t="shared" ca="1" si="18"/>
        <v>0</v>
      </c>
      <c r="AG12" s="2161">
        <f t="shared" ca="1" si="18"/>
        <v>0</v>
      </c>
      <c r="AH12" s="2161">
        <f t="shared" ca="1" si="18"/>
        <v>0</v>
      </c>
      <c r="AI12" s="2161">
        <f t="shared" ca="1" si="18"/>
        <v>0</v>
      </c>
      <c r="AJ12" s="2161">
        <f t="shared" ca="1" si="18"/>
        <v>0</v>
      </c>
      <c r="AK12" s="2161">
        <f t="shared" ca="1" si="18"/>
        <v>0</v>
      </c>
      <c r="AL12" s="2161">
        <f t="shared" ca="1" si="18"/>
        <v>0</v>
      </c>
      <c r="AM12" s="2161">
        <f t="shared" ca="1" si="18"/>
        <v>0</v>
      </c>
      <c r="AN12" s="2161">
        <f t="shared" ca="1" si="18"/>
        <v>0</v>
      </c>
      <c r="AO12" s="2161">
        <f t="shared" ca="1" si="18"/>
        <v>0</v>
      </c>
      <c r="AP12" s="2161">
        <f t="shared" ca="1" si="18"/>
        <v>0</v>
      </c>
      <c r="AQ12" s="2161">
        <f t="shared" ca="1" si="18"/>
        <v>0</v>
      </c>
      <c r="AR12" s="2171">
        <f t="shared" ca="1" si="18"/>
        <v>0</v>
      </c>
      <c r="AS12" s="2172">
        <f ca="1">VLOOKUP($B12,RawData,AS$4,FALSE)*VLOOKUP(AS$3,ConversionFactors,2,FALSE)*1</f>
        <v>0</v>
      </c>
      <c r="AT12" s="2173">
        <f>VLOOKUP($B12,RawData,AT$4,FALSE)*1</f>
        <v>0</v>
      </c>
      <c r="AU12" s="2173">
        <f>VLOOKUP($B12,RawData,AU$4,FALSE)*1</f>
        <v>0</v>
      </c>
      <c r="AV12" s="2173">
        <f>VLOOKUP($B12,RawData,AV$4,FALSE)*1</f>
        <v>0</v>
      </c>
      <c r="AW12" s="2173">
        <f>VLOOKUP($B12,RawData,AW$4,FALSE)*1</f>
        <v>0</v>
      </c>
      <c r="AX12" s="2173">
        <f>VLOOKUP($B12,RawData,AX$4,FALSE)*1</f>
        <v>0</v>
      </c>
      <c r="AY12" s="2173">
        <f ca="1">VLOOKUP($B12,RawData,AY$4,FALSE)*VLOOKUP(AY$3,ConversionFactors,2,FALSE)/1000</f>
        <v>0</v>
      </c>
      <c r="AZ12" s="2173">
        <f ca="1">VLOOKUP($B12,RawData,AZ$4,FALSE)*VLOOKUP(AZ$3,ConversionFactors,2,FALSE)/1000</f>
        <v>0</v>
      </c>
      <c r="BA12" s="2173">
        <f ca="1">VLOOKUP($B12,RawData,BA$4,FALSE)*VLOOKUP(BA$3,ConversionFactors,2,FALSE)/1000</f>
        <v>0</v>
      </c>
      <c r="BB12" s="2173">
        <f ca="1">VLOOKUP($B12,RawData,BB$4,FALSE)*VLOOKUP(BB$3,ConversionFactors,2,FALSE)/1000</f>
        <v>0</v>
      </c>
      <c r="BC12" s="2173">
        <f>VLOOKUP($B12,RawData,BC$4,FALSE)*1</f>
        <v>0</v>
      </c>
      <c r="BD12" s="2174">
        <f ca="1">VLOOKUP($B12,RawData,BD$4,FALSE)*VLOOKUP(BD$3,ConversionFactors,2,FALSE)/1000</f>
        <v>0</v>
      </c>
      <c r="BE12" s="2167">
        <v>0</v>
      </c>
      <c r="BF12" s="2167">
        <v>0</v>
      </c>
      <c r="BG12" s="2167">
        <v>0</v>
      </c>
      <c r="BH12" s="2167">
        <v>0</v>
      </c>
      <c r="BI12" s="2167">
        <v>0</v>
      </c>
      <c r="BJ12" s="2167">
        <v>0</v>
      </c>
      <c r="BK12" s="2167">
        <v>0</v>
      </c>
      <c r="BL12" s="2167">
        <v>0</v>
      </c>
      <c r="BM12" s="2167">
        <f>VLOOKUP($B12,RawData,BM$4,FALSE)*3.6</f>
        <v>0</v>
      </c>
      <c r="BN12" s="2167">
        <f>VLOOKUP($B12,RawData,BN$4,FALSE)*1</f>
        <v>0</v>
      </c>
      <c r="BO12" s="2170">
        <v>0</v>
      </c>
      <c r="BP12" s="2168">
        <f t="shared" ca="1" si="8"/>
        <v>-203607.73240000001</v>
      </c>
      <c r="BQ12" s="910"/>
      <c r="CA12" s="555" t="s">
        <v>922</v>
      </c>
      <c r="CB12" s="20" t="s">
        <v>2058</v>
      </c>
      <c r="CC12" s="20" t="s">
        <v>2059</v>
      </c>
      <c r="CD12" s="20" t="s">
        <v>2060</v>
      </c>
      <c r="CE12" s="20" t="s">
        <v>2061</v>
      </c>
      <c r="CF12" s="20" t="s">
        <v>2062</v>
      </c>
      <c r="CG12" s="20" t="s">
        <v>2063</v>
      </c>
      <c r="CH12" s="20" t="s">
        <v>2064</v>
      </c>
      <c r="CI12" s="20" t="s">
        <v>2065</v>
      </c>
      <c r="CJ12" s="20" t="s">
        <v>2066</v>
      </c>
      <c r="CK12" s="20" t="s">
        <v>2067</v>
      </c>
      <c r="CL12" s="20" t="s">
        <v>2068</v>
      </c>
      <c r="CM12" s="20" t="s">
        <v>2069</v>
      </c>
      <c r="CN12" s="20" t="s">
        <v>2070</v>
      </c>
      <c r="CO12" s="20" t="s">
        <v>2071</v>
      </c>
      <c r="CP12" s="20">
        <v>0</v>
      </c>
      <c r="CQ12" s="20" t="s">
        <v>2072</v>
      </c>
      <c r="CR12" s="20" t="s">
        <v>2073</v>
      </c>
      <c r="CS12" s="20" t="s">
        <v>2074</v>
      </c>
      <c r="CT12" s="20" t="s">
        <v>2075</v>
      </c>
      <c r="CU12" s="20" t="s">
        <v>2076</v>
      </c>
      <c r="CV12" s="20" t="s">
        <v>2077</v>
      </c>
      <c r="CW12" s="20" t="s">
        <v>2078</v>
      </c>
      <c r="CX12" s="20" t="s">
        <v>2079</v>
      </c>
      <c r="CY12" s="20" t="s">
        <v>2080</v>
      </c>
      <c r="CZ12" s="20" t="s">
        <v>2081</v>
      </c>
      <c r="DA12" s="20" t="s">
        <v>2082</v>
      </c>
      <c r="DB12" s="20" t="s">
        <v>2083</v>
      </c>
      <c r="DC12" s="20" t="s">
        <v>2084</v>
      </c>
      <c r="DD12" s="20" t="s">
        <v>2085</v>
      </c>
      <c r="DE12" s="20" t="s">
        <v>2086</v>
      </c>
      <c r="DF12" s="20" t="s">
        <v>2087</v>
      </c>
      <c r="DG12" s="20" t="s">
        <v>2088</v>
      </c>
      <c r="DH12" s="20" t="s">
        <v>2089</v>
      </c>
      <c r="DI12" s="20" t="s">
        <v>2090</v>
      </c>
      <c r="DJ12" s="20" t="s">
        <v>2091</v>
      </c>
      <c r="DK12" s="20" t="s">
        <v>2092</v>
      </c>
      <c r="DL12" s="20" t="s">
        <v>2093</v>
      </c>
      <c r="DM12" s="20" t="s">
        <v>2094</v>
      </c>
      <c r="DN12" s="20" t="s">
        <v>2095</v>
      </c>
      <c r="DO12" s="20" t="s">
        <v>2096</v>
      </c>
      <c r="DP12" s="20" t="s">
        <v>2097</v>
      </c>
      <c r="DQ12" s="20" t="s">
        <v>2098</v>
      </c>
      <c r="DR12" s="20" t="s">
        <v>2099</v>
      </c>
      <c r="DS12" s="20" t="s">
        <v>2100</v>
      </c>
      <c r="DT12" s="20" t="s">
        <v>2101</v>
      </c>
      <c r="DU12" s="20" t="s">
        <v>2102</v>
      </c>
      <c r="DV12" s="20" t="s">
        <v>2103</v>
      </c>
      <c r="DW12" s="20" t="s">
        <v>2104</v>
      </c>
      <c r="DX12" s="20" t="s">
        <v>2105</v>
      </c>
      <c r="DY12" s="20" t="s">
        <v>2106</v>
      </c>
      <c r="DZ12" s="20" t="s">
        <v>2107</v>
      </c>
      <c r="EA12" s="20" t="s">
        <v>2108</v>
      </c>
      <c r="EB12" s="20">
        <v>0</v>
      </c>
      <c r="EC12" s="20">
        <v>0</v>
      </c>
      <c r="ED12" s="20">
        <v>0</v>
      </c>
      <c r="EE12" s="20">
        <v>0</v>
      </c>
      <c r="EF12" s="20">
        <v>0</v>
      </c>
      <c r="EG12" s="20">
        <v>0</v>
      </c>
      <c r="EH12" s="20">
        <v>0</v>
      </c>
      <c r="EI12" s="20">
        <v>0</v>
      </c>
      <c r="EJ12" s="20" t="s">
        <v>2109</v>
      </c>
      <c r="EK12" s="20" t="s">
        <v>2110</v>
      </c>
      <c r="EL12" s="20">
        <v>0</v>
      </c>
    </row>
    <row r="13" spans="1:142" s="20" customFormat="1" ht="11.25" x14ac:dyDescent="0.2">
      <c r="A13" s="905" t="str">
        <f>STATDIFF</f>
        <v>Statistical differences</v>
      </c>
      <c r="B13" s="230" t="s">
        <v>198</v>
      </c>
      <c r="C13" s="867"/>
      <c r="D13" s="221"/>
      <c r="E13" s="2169">
        <f t="shared" ref="E13:R13" ca="1" si="19">E55-SUM(E11,E12,E14,E36,E54)</f>
        <v>10421.942526999992</v>
      </c>
      <c r="F13" s="2169">
        <f t="shared" ca="1" si="19"/>
        <v>7.2759576141834259E-12</v>
      </c>
      <c r="G13" s="2169">
        <f t="shared" ca="1" si="19"/>
        <v>-1167350.7941410001</v>
      </c>
      <c r="H13" s="2169">
        <f t="shared" ca="1" si="19"/>
        <v>0</v>
      </c>
      <c r="I13" s="2169">
        <f t="shared" ca="1" si="19"/>
        <v>0</v>
      </c>
      <c r="J13" s="2169">
        <f t="shared" ca="1" si="19"/>
        <v>0</v>
      </c>
      <c r="K13" s="2169">
        <f t="shared" ca="1" si="19"/>
        <v>-662.2910120000015</v>
      </c>
      <c r="L13" s="2169">
        <f t="shared" ca="1" si="19"/>
        <v>0</v>
      </c>
      <c r="M13" s="2169">
        <f t="shared" ca="1" si="19"/>
        <v>0</v>
      </c>
      <c r="N13" s="2169">
        <f t="shared" ca="1" si="19"/>
        <v>0</v>
      </c>
      <c r="O13" s="2169">
        <f t="shared" ca="1" si="19"/>
        <v>0.42299999999886495</v>
      </c>
      <c r="P13" s="2169">
        <f t="shared" ca="1" si="19"/>
        <v>4895.1000000000004</v>
      </c>
      <c r="Q13" s="2169">
        <f t="shared" ca="1" si="19"/>
        <v>11129</v>
      </c>
      <c r="R13" s="2169">
        <f t="shared" ca="1" si="19"/>
        <v>0</v>
      </c>
      <c r="S13" s="2170">
        <v>0</v>
      </c>
      <c r="T13" s="2169">
        <f t="shared" ref="T13:BN13" ca="1" si="20">T55-SUM(T11,T12,T14,T36,T54)</f>
        <v>0</v>
      </c>
      <c r="U13" s="2169">
        <f t="shared" ca="1" si="20"/>
        <v>0</v>
      </c>
      <c r="V13" s="2169">
        <f t="shared" ca="1" si="20"/>
        <v>0</v>
      </c>
      <c r="W13" s="2161">
        <f t="shared" ca="1" si="20"/>
        <v>-201545.61587096856</v>
      </c>
      <c r="X13" s="2161">
        <f t="shared" ca="1" si="20"/>
        <v>0</v>
      </c>
      <c r="Y13" s="2161">
        <f t="shared" ca="1" si="20"/>
        <v>6363.9359999999997</v>
      </c>
      <c r="Z13" s="2161">
        <f t="shared" ca="1" si="20"/>
        <v>0</v>
      </c>
      <c r="AA13" s="2161">
        <f t="shared" ca="1" si="20"/>
        <v>0</v>
      </c>
      <c r="AB13" s="2161">
        <f t="shared" ca="1" si="20"/>
        <v>-8.0334797109960938</v>
      </c>
      <c r="AC13" s="2161">
        <f t="shared" ca="1" si="20"/>
        <v>0</v>
      </c>
      <c r="AD13" s="2161">
        <f t="shared" ca="1" si="20"/>
        <v>-14065.370507945303</v>
      </c>
      <c r="AE13" s="2161">
        <f t="shared" ca="1" si="20"/>
        <v>-102484.14475256077</v>
      </c>
      <c r="AF13" s="2161">
        <f t="shared" ca="1" si="20"/>
        <v>-15635.070246709827</v>
      </c>
      <c r="AG13" s="2161">
        <f t="shared" ca="1" si="20"/>
        <v>14405.043924647907</v>
      </c>
      <c r="AH13" s="2161">
        <f t="shared" ca="1" si="20"/>
        <v>-58008.926895791905</v>
      </c>
      <c r="AI13" s="2161">
        <f t="shared" ca="1" si="20"/>
        <v>-6539.6499773345204</v>
      </c>
      <c r="AJ13" s="2161">
        <f t="shared" ca="1" si="20"/>
        <v>-30538.615236865648</v>
      </c>
      <c r="AK13" s="2161">
        <f t="shared" ca="1" si="20"/>
        <v>-193444.20843896703</v>
      </c>
      <c r="AL13" s="2161">
        <f t="shared" ca="1" si="20"/>
        <v>-6978.207264497034</v>
      </c>
      <c r="AM13" s="2161">
        <f t="shared" ca="1" si="20"/>
        <v>-2123.797658132431</v>
      </c>
      <c r="AN13" s="2161">
        <f t="shared" ca="1" si="20"/>
        <v>-6925.7530584182732</v>
      </c>
      <c r="AO13" s="2161">
        <f t="shared" ca="1" si="20"/>
        <v>10517.942773693083</v>
      </c>
      <c r="AP13" s="2161">
        <f t="shared" ca="1" si="20"/>
        <v>1675.9610115814212</v>
      </c>
      <c r="AQ13" s="2161">
        <f t="shared" ca="1" si="20"/>
        <v>-1539.5568003120422</v>
      </c>
      <c r="AR13" s="2171">
        <f t="shared" ca="1" si="20"/>
        <v>-33945.673112640383</v>
      </c>
      <c r="AS13" s="2172">
        <f t="shared" ca="1" si="20"/>
        <v>19331.847036743158</v>
      </c>
      <c r="AT13" s="2173">
        <f t="shared" si="20"/>
        <v>0</v>
      </c>
      <c r="AU13" s="2173">
        <f t="shared" si="20"/>
        <v>0</v>
      </c>
      <c r="AV13" s="2173">
        <f t="shared" si="20"/>
        <v>0</v>
      </c>
      <c r="AW13" s="2173">
        <f t="shared" si="20"/>
        <v>651219.17000000004</v>
      </c>
      <c r="AX13" s="2173">
        <f t="shared" si="20"/>
        <v>0</v>
      </c>
      <c r="AY13" s="2173">
        <f t="shared" ca="1" si="20"/>
        <v>0</v>
      </c>
      <c r="AZ13" s="2173">
        <f t="shared" ca="1" si="20"/>
        <v>0</v>
      </c>
      <c r="BA13" s="2173">
        <f t="shared" ca="1" si="20"/>
        <v>0</v>
      </c>
      <c r="BB13" s="2173">
        <f t="shared" ca="1" si="20"/>
        <v>0</v>
      </c>
      <c r="BC13" s="2173">
        <f t="shared" si="20"/>
        <v>0</v>
      </c>
      <c r="BD13" s="2174">
        <f t="shared" ca="1" si="20"/>
        <v>0</v>
      </c>
      <c r="BE13" s="2167">
        <f t="shared" si="20"/>
        <v>-43073.390000000014</v>
      </c>
      <c r="BF13" s="2167">
        <f t="shared" si="20"/>
        <v>-781.80000000000291</v>
      </c>
      <c r="BG13" s="2167">
        <f t="shared" si="20"/>
        <v>0</v>
      </c>
      <c r="BH13" s="2167">
        <f t="shared" si="20"/>
        <v>-3114.4499999999989</v>
      </c>
      <c r="BI13" s="2167">
        <f t="shared" si="20"/>
        <v>0</v>
      </c>
      <c r="BJ13" s="2167">
        <f t="shared" si="20"/>
        <v>0</v>
      </c>
      <c r="BK13" s="2167">
        <f t="shared" si="20"/>
        <v>-6691.02</v>
      </c>
      <c r="BL13" s="2167">
        <f t="shared" si="20"/>
        <v>0</v>
      </c>
      <c r="BM13" s="2167">
        <f t="shared" si="20"/>
        <v>13360.503600000171</v>
      </c>
      <c r="BN13" s="2167">
        <f t="shared" si="20"/>
        <v>0</v>
      </c>
      <c r="BO13" s="2170">
        <v>0</v>
      </c>
      <c r="BP13" s="2168">
        <f t="shared" ca="1" si="8"/>
        <v>-1152135.4985801892</v>
      </c>
      <c r="BQ13" s="910"/>
      <c r="CA13" s="555" t="s">
        <v>198</v>
      </c>
      <c r="CB13" s="20" t="s">
        <v>2111</v>
      </c>
      <c r="CC13" s="20" t="s">
        <v>2112</v>
      </c>
      <c r="CD13" s="20" t="s">
        <v>2113</v>
      </c>
      <c r="CE13" s="20" t="s">
        <v>2114</v>
      </c>
      <c r="CF13" s="20" t="s">
        <v>2115</v>
      </c>
      <c r="CG13" s="20" t="s">
        <v>2116</v>
      </c>
      <c r="CH13" s="20" t="s">
        <v>2117</v>
      </c>
      <c r="CI13" s="20" t="s">
        <v>2118</v>
      </c>
      <c r="CJ13" s="20" t="s">
        <v>2119</v>
      </c>
      <c r="CK13" s="20" t="s">
        <v>2120</v>
      </c>
      <c r="CL13" s="20" t="s">
        <v>2121</v>
      </c>
      <c r="CM13" s="20" t="s">
        <v>2122</v>
      </c>
      <c r="CN13" s="20" t="s">
        <v>2123</v>
      </c>
      <c r="CO13" s="20" t="s">
        <v>2124</v>
      </c>
      <c r="CP13" s="20">
        <v>0</v>
      </c>
      <c r="CQ13" s="20" t="s">
        <v>2125</v>
      </c>
      <c r="CR13" s="20" t="s">
        <v>2126</v>
      </c>
      <c r="CS13" s="20" t="s">
        <v>2127</v>
      </c>
      <c r="CT13" s="20" t="s">
        <v>2128</v>
      </c>
      <c r="CU13" s="20" t="s">
        <v>2129</v>
      </c>
      <c r="CV13" s="20" t="s">
        <v>2130</v>
      </c>
      <c r="CW13" s="20" t="s">
        <v>2131</v>
      </c>
      <c r="CX13" s="20" t="s">
        <v>2132</v>
      </c>
      <c r="CY13" s="20" t="s">
        <v>2133</v>
      </c>
      <c r="CZ13" s="20" t="s">
        <v>2134</v>
      </c>
      <c r="DA13" s="20" t="s">
        <v>2135</v>
      </c>
      <c r="DB13" s="20" t="s">
        <v>2136</v>
      </c>
      <c r="DC13" s="20" t="s">
        <v>2137</v>
      </c>
      <c r="DD13" s="20" t="s">
        <v>2138</v>
      </c>
      <c r="DE13" s="20" t="s">
        <v>2139</v>
      </c>
      <c r="DF13" s="20" t="s">
        <v>2140</v>
      </c>
      <c r="DG13" s="20" t="s">
        <v>2141</v>
      </c>
      <c r="DH13" s="20" t="s">
        <v>2142</v>
      </c>
      <c r="DI13" s="20" t="s">
        <v>2143</v>
      </c>
      <c r="DJ13" s="20" t="s">
        <v>2144</v>
      </c>
      <c r="DK13" s="20" t="s">
        <v>2145</v>
      </c>
      <c r="DL13" s="20" t="s">
        <v>2146</v>
      </c>
      <c r="DM13" s="20" t="s">
        <v>2147</v>
      </c>
      <c r="DN13" s="20" t="s">
        <v>2148</v>
      </c>
      <c r="DO13" s="20" t="s">
        <v>2149</v>
      </c>
      <c r="DP13" s="20" t="s">
        <v>2150</v>
      </c>
      <c r="DQ13" s="20" t="s">
        <v>2151</v>
      </c>
      <c r="DR13" s="20" t="s">
        <v>2152</v>
      </c>
      <c r="DS13" s="20" t="s">
        <v>2153</v>
      </c>
      <c r="DT13" s="20" t="s">
        <v>2154</v>
      </c>
      <c r="DU13" s="20" t="s">
        <v>2155</v>
      </c>
      <c r="DV13" s="20" t="s">
        <v>2156</v>
      </c>
      <c r="DW13" s="20" t="s">
        <v>2157</v>
      </c>
      <c r="DX13" s="20" t="s">
        <v>2158</v>
      </c>
      <c r="DY13" s="20" t="s">
        <v>2159</v>
      </c>
      <c r="DZ13" s="20" t="s">
        <v>2160</v>
      </c>
      <c r="EA13" s="20" t="s">
        <v>2161</v>
      </c>
      <c r="EB13" s="20" t="s">
        <v>2162</v>
      </c>
      <c r="EC13" s="20" t="s">
        <v>2163</v>
      </c>
      <c r="ED13" s="20" t="s">
        <v>2164</v>
      </c>
      <c r="EE13" s="20" t="s">
        <v>2165</v>
      </c>
      <c r="EF13" s="20" t="s">
        <v>2166</v>
      </c>
      <c r="EG13" s="20" t="s">
        <v>2167</v>
      </c>
      <c r="EH13" s="20" t="s">
        <v>2168</v>
      </c>
      <c r="EI13" s="20" t="s">
        <v>2169</v>
      </c>
      <c r="EJ13" s="20" t="s">
        <v>2170</v>
      </c>
      <c r="EK13" s="20" t="s">
        <v>2171</v>
      </c>
      <c r="EL13" s="20">
        <v>0</v>
      </c>
    </row>
    <row r="14" spans="1:142" s="259" customFormat="1" ht="11.25" x14ac:dyDescent="0.2">
      <c r="A14" s="553" t="str">
        <f>TOTTRANF</f>
        <v>Transformation processes</v>
      </c>
      <c r="B14" s="554" t="s">
        <v>936</v>
      </c>
      <c r="C14" s="877"/>
      <c r="D14" s="878"/>
      <c r="E14" s="2175">
        <f t="shared" ref="E14:R14" ca="1" si="21">SUM(E15:E35)</f>
        <v>0</v>
      </c>
      <c r="F14" s="2175">
        <f t="shared" ca="1" si="21"/>
        <v>-31950.234904999998</v>
      </c>
      <c r="G14" s="2175">
        <f t="shared" ca="1" si="21"/>
        <v>-2363678.5554510001</v>
      </c>
      <c r="H14" s="2175">
        <f t="shared" ca="1" si="21"/>
        <v>0</v>
      </c>
      <c r="I14" s="2175">
        <f t="shared" ca="1" si="21"/>
        <v>0</v>
      </c>
      <c r="J14" s="2175">
        <f t="shared" ca="1" si="21"/>
        <v>0</v>
      </c>
      <c r="K14" s="2175">
        <f t="shared" ca="1" si="21"/>
        <v>5298.3015980000018</v>
      </c>
      <c r="L14" s="2175">
        <f t="shared" ca="1" si="21"/>
        <v>0</v>
      </c>
      <c r="M14" s="2175">
        <f t="shared" ca="1" si="21"/>
        <v>0</v>
      </c>
      <c r="N14" s="2175">
        <f t="shared" ca="1" si="21"/>
        <v>0</v>
      </c>
      <c r="O14" s="2175">
        <f t="shared" ca="1" si="21"/>
        <v>19611.900000000001</v>
      </c>
      <c r="P14" s="2175">
        <f t="shared" ca="1" si="21"/>
        <v>0</v>
      </c>
      <c r="Q14" s="2175">
        <f t="shared" ca="1" si="21"/>
        <v>0</v>
      </c>
      <c r="R14" s="2175">
        <f t="shared" ca="1" si="21"/>
        <v>0</v>
      </c>
      <c r="S14" s="2175">
        <v>0</v>
      </c>
      <c r="T14" s="2175">
        <f t="shared" ref="T14:BN14" ca="1" si="22">SUM(T15:T35)</f>
        <v>0</v>
      </c>
      <c r="U14" s="2175">
        <f t="shared" ca="1" si="22"/>
        <v>0</v>
      </c>
      <c r="V14" s="2175">
        <f t="shared" ca="1" si="22"/>
        <v>0</v>
      </c>
      <c r="W14" s="2175">
        <f t="shared" ca="1" si="22"/>
        <v>-807054.39</v>
      </c>
      <c r="X14" s="2175">
        <f t="shared" ca="1" si="22"/>
        <v>-16798.853859999999</v>
      </c>
      <c r="Y14" s="2175">
        <f t="shared" ca="1" si="22"/>
        <v>-6363.9359999999997</v>
      </c>
      <c r="Z14" s="2175">
        <f t="shared" ca="1" si="22"/>
        <v>0</v>
      </c>
      <c r="AA14" s="2175">
        <f t="shared" ca="1" si="22"/>
        <v>203607.73240000001</v>
      </c>
      <c r="AB14" s="2175">
        <f t="shared" ca="1" si="22"/>
        <v>0</v>
      </c>
      <c r="AC14" s="2175">
        <f t="shared" ca="1" si="22"/>
        <v>0</v>
      </c>
      <c r="AD14" s="2175">
        <f t="shared" ca="1" si="22"/>
        <v>9097.5154199999997</v>
      </c>
      <c r="AE14" s="2175">
        <f t="shared" ca="1" si="22"/>
        <v>178435.83564041401</v>
      </c>
      <c r="AF14" s="2175">
        <f t="shared" ca="1" si="22"/>
        <v>15428.993114687501</v>
      </c>
      <c r="AG14" s="2175">
        <f t="shared" ca="1" si="22"/>
        <v>14239.829952</v>
      </c>
      <c r="AH14" s="2175">
        <f t="shared" ca="1" si="22"/>
        <v>29329.541285625</v>
      </c>
      <c r="AI14" s="2175">
        <f t="shared" ca="1" si="22"/>
        <v>13127.19428053125</v>
      </c>
      <c r="AJ14" s="2175">
        <f t="shared" ca="1" si="22"/>
        <v>192162.43621122118</v>
      </c>
      <c r="AK14" s="2175">
        <f t="shared" ca="1" si="22"/>
        <v>111010.97427000001</v>
      </c>
      <c r="AL14" s="2175">
        <f t="shared" ca="1" si="22"/>
        <v>0</v>
      </c>
      <c r="AM14" s="2175">
        <f t="shared" ca="1" si="22"/>
        <v>586.91550067382809</v>
      </c>
      <c r="AN14" s="2175">
        <f t="shared" ca="1" si="22"/>
        <v>20004.599999999999</v>
      </c>
      <c r="AO14" s="2175">
        <f t="shared" ca="1" si="22"/>
        <v>12949.56</v>
      </c>
      <c r="AP14" s="2175">
        <f t="shared" ca="1" si="22"/>
        <v>11833.705</v>
      </c>
      <c r="AQ14" s="2175">
        <f t="shared" ca="1" si="22"/>
        <v>1529.92</v>
      </c>
      <c r="AR14" s="2176">
        <f t="shared" ca="1" si="22"/>
        <v>35022</v>
      </c>
      <c r="AS14" s="2177">
        <f t="shared" ca="1" si="22"/>
        <v>-52231.303124999999</v>
      </c>
      <c r="AT14" s="2175">
        <f t="shared" si="22"/>
        <v>0</v>
      </c>
      <c r="AU14" s="2175">
        <f t="shared" si="22"/>
        <v>0</v>
      </c>
      <c r="AV14" s="2175">
        <f t="shared" si="22"/>
        <v>0</v>
      </c>
      <c r="AW14" s="2175">
        <f t="shared" si="22"/>
        <v>-225796.88</v>
      </c>
      <c r="AX14" s="2175">
        <f t="shared" si="22"/>
        <v>0</v>
      </c>
      <c r="AY14" s="2175">
        <f t="shared" ca="1" si="22"/>
        <v>0</v>
      </c>
      <c r="AZ14" s="2175">
        <f t="shared" ca="1" si="22"/>
        <v>0</v>
      </c>
      <c r="BA14" s="2175">
        <f t="shared" ca="1" si="22"/>
        <v>0</v>
      </c>
      <c r="BB14" s="2175">
        <f t="shared" ca="1" si="22"/>
        <v>0</v>
      </c>
      <c r="BC14" s="2175">
        <f t="shared" si="22"/>
        <v>0</v>
      </c>
      <c r="BD14" s="2176">
        <f t="shared" ca="1" si="22"/>
        <v>0</v>
      </c>
      <c r="BE14" s="2175">
        <f t="shared" si="22"/>
        <v>-155061.81818181818</v>
      </c>
      <c r="BF14" s="2175">
        <f t="shared" si="22"/>
        <v>57731.223599999998</v>
      </c>
      <c r="BG14" s="2175">
        <f t="shared" si="22"/>
        <v>0</v>
      </c>
      <c r="BH14" s="2175">
        <f t="shared" si="22"/>
        <v>-10947.06</v>
      </c>
      <c r="BI14" s="2175">
        <f t="shared" si="22"/>
        <v>0</v>
      </c>
      <c r="BJ14" s="2175">
        <f t="shared" si="22"/>
        <v>0</v>
      </c>
      <c r="BK14" s="2175">
        <f t="shared" si="22"/>
        <v>-23280.66</v>
      </c>
      <c r="BL14" s="2175">
        <f t="shared" si="22"/>
        <v>0</v>
      </c>
      <c r="BM14" s="2175">
        <f t="shared" si="22"/>
        <v>753169.56839999999</v>
      </c>
      <c r="BN14" s="2175">
        <f t="shared" si="22"/>
        <v>0</v>
      </c>
      <c r="BO14" s="2175">
        <v>0</v>
      </c>
      <c r="BP14" s="2178">
        <f t="shared" ca="1" si="8"/>
        <v>-2008985.944849665</v>
      </c>
      <c r="BQ14" s="910"/>
      <c r="CA14" s="561" t="s">
        <v>936</v>
      </c>
      <c r="CB14" s="20" t="s">
        <v>2172</v>
      </c>
      <c r="CC14" s="20" t="s">
        <v>2173</v>
      </c>
      <c r="CD14" s="20" t="s">
        <v>2174</v>
      </c>
      <c r="CE14" s="20" t="s">
        <v>2175</v>
      </c>
      <c r="CF14" s="20" t="s">
        <v>2176</v>
      </c>
      <c r="CG14" s="20" t="s">
        <v>2177</v>
      </c>
      <c r="CH14" s="20" t="s">
        <v>2178</v>
      </c>
      <c r="CI14" s="20" t="s">
        <v>2179</v>
      </c>
      <c r="CJ14" s="20" t="s">
        <v>2180</v>
      </c>
      <c r="CK14" s="20" t="s">
        <v>2181</v>
      </c>
      <c r="CL14" s="20" t="s">
        <v>2182</v>
      </c>
      <c r="CM14" s="20" t="s">
        <v>2183</v>
      </c>
      <c r="CN14" s="20" t="s">
        <v>2184</v>
      </c>
      <c r="CO14" s="20" t="s">
        <v>2185</v>
      </c>
      <c r="CP14" s="20">
        <v>0</v>
      </c>
      <c r="CQ14" s="20" t="s">
        <v>2186</v>
      </c>
      <c r="CR14" s="20" t="s">
        <v>2187</v>
      </c>
      <c r="CS14" s="20" t="s">
        <v>2188</v>
      </c>
      <c r="CT14" s="20" t="s">
        <v>2189</v>
      </c>
      <c r="CU14" s="20" t="s">
        <v>2190</v>
      </c>
      <c r="CV14" s="20" t="s">
        <v>2191</v>
      </c>
      <c r="CW14" s="20" t="s">
        <v>2192</v>
      </c>
      <c r="CX14" s="20" t="s">
        <v>2193</v>
      </c>
      <c r="CY14" s="20" t="s">
        <v>2194</v>
      </c>
      <c r="CZ14" s="20" t="s">
        <v>2195</v>
      </c>
      <c r="DA14" s="20" t="s">
        <v>2196</v>
      </c>
      <c r="DB14" s="20" t="s">
        <v>2197</v>
      </c>
      <c r="DC14" s="20" t="s">
        <v>2198</v>
      </c>
      <c r="DD14" s="20" t="s">
        <v>2199</v>
      </c>
      <c r="DE14" s="20" t="s">
        <v>2200</v>
      </c>
      <c r="DF14" s="20" t="s">
        <v>2201</v>
      </c>
      <c r="DG14" s="20" t="s">
        <v>2202</v>
      </c>
      <c r="DH14" s="20" t="s">
        <v>2203</v>
      </c>
      <c r="DI14" s="20" t="s">
        <v>2204</v>
      </c>
      <c r="DJ14" s="20" t="s">
        <v>2205</v>
      </c>
      <c r="DK14" s="20" t="s">
        <v>2206</v>
      </c>
      <c r="DL14" s="20" t="s">
        <v>2207</v>
      </c>
      <c r="DM14" s="20" t="s">
        <v>2208</v>
      </c>
      <c r="DN14" s="20" t="s">
        <v>2209</v>
      </c>
      <c r="DO14" s="20" t="s">
        <v>2210</v>
      </c>
      <c r="DP14" s="20" t="s">
        <v>2211</v>
      </c>
      <c r="DQ14" s="20" t="s">
        <v>2212</v>
      </c>
      <c r="DR14" s="20" t="s">
        <v>2213</v>
      </c>
      <c r="DS14" s="20" t="s">
        <v>2214</v>
      </c>
      <c r="DT14" s="20" t="s">
        <v>2215</v>
      </c>
      <c r="DU14" s="20" t="s">
        <v>2216</v>
      </c>
      <c r="DV14" s="20" t="s">
        <v>2217</v>
      </c>
      <c r="DW14" s="20" t="s">
        <v>2218</v>
      </c>
      <c r="DX14" s="20" t="s">
        <v>2219</v>
      </c>
      <c r="DY14" s="20" t="s">
        <v>2220</v>
      </c>
      <c r="DZ14" s="20" t="s">
        <v>2221</v>
      </c>
      <c r="EA14" s="20" t="s">
        <v>2222</v>
      </c>
      <c r="EB14" s="20" t="s">
        <v>2223</v>
      </c>
      <c r="EC14" s="20" t="s">
        <v>2224</v>
      </c>
      <c r="ED14" s="20" t="s">
        <v>2225</v>
      </c>
      <c r="EE14" s="20" t="s">
        <v>2226</v>
      </c>
      <c r="EF14" s="20" t="s">
        <v>2227</v>
      </c>
      <c r="EG14" s="20" t="s">
        <v>2228</v>
      </c>
      <c r="EH14" s="20" t="s">
        <v>2229</v>
      </c>
      <c r="EI14" s="20" t="s">
        <v>2230</v>
      </c>
      <c r="EJ14" s="20" t="s">
        <v>2231</v>
      </c>
      <c r="EK14" s="20" t="s">
        <v>2232</v>
      </c>
      <c r="EL14" s="20">
        <v>0</v>
      </c>
    </row>
    <row r="15" spans="1:142" s="20" customFormat="1" ht="11.25" x14ac:dyDescent="0.2">
      <c r="A15" s="557" t="str">
        <f>MAINELEC</f>
        <v>Main activity electricity plants</v>
      </c>
      <c r="B15" s="230" t="s">
        <v>940</v>
      </c>
      <c r="C15" s="230" t="s">
        <v>1646</v>
      </c>
      <c r="D15" s="221">
        <f t="shared" ref="D15:D35" si="23">MATCH(C15,CFHeadings,0)</f>
        <v>9</v>
      </c>
      <c r="E15" s="2169">
        <f t="shared" ref="E15:N23" ca="1" si="24">-VLOOKUP($B15,RawData,E$4,FALSE)*VLOOKUP(E$3,ConversionFactors,$D15,FALSE)/1000</f>
        <v>0</v>
      </c>
      <c r="F15" s="2169">
        <f t="shared" ca="1" si="24"/>
        <v>0</v>
      </c>
      <c r="G15" s="2169">
        <f t="shared" ca="1" si="24"/>
        <v>-2352560.7486149999</v>
      </c>
      <c r="H15" s="2169">
        <f t="shared" ca="1" si="24"/>
        <v>0</v>
      </c>
      <c r="I15" s="2169">
        <f t="shared" ca="1" si="24"/>
        <v>0</v>
      </c>
      <c r="J15" s="2169">
        <f t="shared" ca="1" si="24"/>
        <v>0</v>
      </c>
      <c r="K15" s="2169">
        <f t="shared" ca="1" si="24"/>
        <v>0</v>
      </c>
      <c r="L15" s="2169">
        <f t="shared" ca="1" si="24"/>
        <v>0</v>
      </c>
      <c r="M15" s="2169">
        <f t="shared" ca="1" si="24"/>
        <v>0</v>
      </c>
      <c r="N15" s="2169">
        <f t="shared" ca="1" si="24"/>
        <v>0</v>
      </c>
      <c r="O15" s="2169">
        <f t="shared" ref="O15:R24" ca="1" si="25">(-VLOOKUP($B15,RawData,O$4,FALSE)*VLOOKUP(O$3,ConversionFactors,2,FALSE))*1</f>
        <v>0</v>
      </c>
      <c r="P15" s="2169">
        <f t="shared" ca="1" si="25"/>
        <v>0</v>
      </c>
      <c r="Q15" s="2169">
        <f t="shared" ca="1" si="25"/>
        <v>0</v>
      </c>
      <c r="R15" s="2169">
        <f t="shared" ca="1" si="25"/>
        <v>0</v>
      </c>
      <c r="S15" s="2170">
        <v>0</v>
      </c>
      <c r="T15" s="2169">
        <f t="shared" ref="T15:V28" ca="1" si="26">-VLOOKUP($B15,RawData,T$4,FALSE)*VLOOKUP(T$3,ConversionFactors,$D15,FALSE)/1000</f>
        <v>0</v>
      </c>
      <c r="U15" s="2169">
        <f t="shared" ca="1" si="26"/>
        <v>0</v>
      </c>
      <c r="V15" s="2169">
        <f t="shared" ca="1" si="26"/>
        <v>0</v>
      </c>
      <c r="W15" s="2161">
        <f t="shared" ref="W15:AF27" ca="1" si="27">-VLOOKUP($B15,RawData,W$4,FALSE)*VLOOKUP(W$3,ConversionFactors,2,FALSE)/1000</f>
        <v>0</v>
      </c>
      <c r="X15" s="2161">
        <f t="shared" ca="1" si="27"/>
        <v>0</v>
      </c>
      <c r="Y15" s="2161">
        <f t="shared" ca="1" si="27"/>
        <v>0</v>
      </c>
      <c r="Z15" s="2161">
        <f t="shared" ca="1" si="27"/>
        <v>0</v>
      </c>
      <c r="AA15" s="2161">
        <f t="shared" ca="1" si="27"/>
        <v>0</v>
      </c>
      <c r="AB15" s="2161">
        <f t="shared" ca="1" si="27"/>
        <v>0</v>
      </c>
      <c r="AC15" s="2161">
        <f t="shared" ca="1" si="27"/>
        <v>0</v>
      </c>
      <c r="AD15" s="2161">
        <f t="shared" ca="1" si="27"/>
        <v>0</v>
      </c>
      <c r="AE15" s="2161">
        <f t="shared" ca="1" si="27"/>
        <v>0</v>
      </c>
      <c r="AF15" s="2161">
        <f t="shared" ca="1" si="27"/>
        <v>0</v>
      </c>
      <c r="AG15" s="2161">
        <f t="shared" ref="AG15:AR27" ca="1" si="28">-VLOOKUP($B15,RawData,AG$4,FALSE)*VLOOKUP(AG$3,ConversionFactors,2,FALSE)/1000</f>
        <v>0</v>
      </c>
      <c r="AH15" s="2161">
        <f t="shared" ca="1" si="28"/>
        <v>0</v>
      </c>
      <c r="AI15" s="2161">
        <f t="shared" ca="1" si="28"/>
        <v>0</v>
      </c>
      <c r="AJ15" s="2161">
        <f t="shared" ca="1" si="28"/>
        <v>0</v>
      </c>
      <c r="AK15" s="2161">
        <f t="shared" ca="1" si="28"/>
        <v>0</v>
      </c>
      <c r="AL15" s="2161">
        <f t="shared" ca="1" si="28"/>
        <v>0</v>
      </c>
      <c r="AM15" s="2161">
        <f t="shared" ca="1" si="28"/>
        <v>0</v>
      </c>
      <c r="AN15" s="2161">
        <f t="shared" ca="1" si="28"/>
        <v>0</v>
      </c>
      <c r="AO15" s="2161">
        <f t="shared" ca="1" si="28"/>
        <v>0</v>
      </c>
      <c r="AP15" s="2161">
        <f t="shared" ca="1" si="28"/>
        <v>0</v>
      </c>
      <c r="AQ15" s="2161">
        <f t="shared" ca="1" si="28"/>
        <v>0</v>
      </c>
      <c r="AR15" s="2171">
        <f t="shared" ca="1" si="28"/>
        <v>0</v>
      </c>
      <c r="AS15" s="2172">
        <f t="shared" ref="AS15:AS32" ca="1" si="29">-VLOOKUP($B15,RawData,AS$4,FALSE)*VLOOKUP(AS$3,ConversionFactors,2,FALSE)*1</f>
        <v>0</v>
      </c>
      <c r="AT15" s="2173">
        <f t="shared" ref="AT15:AX24" si="30">-VLOOKUP($B15,RawData,AT$4,FALSE)*1</f>
        <v>0</v>
      </c>
      <c r="AU15" s="2173">
        <f t="shared" si="30"/>
        <v>0</v>
      </c>
      <c r="AV15" s="2173">
        <f t="shared" si="30"/>
        <v>0</v>
      </c>
      <c r="AW15" s="2173">
        <f t="shared" si="30"/>
        <v>0</v>
      </c>
      <c r="AX15" s="2173">
        <f t="shared" si="30"/>
        <v>0</v>
      </c>
      <c r="AY15" s="2173">
        <f t="shared" ref="AY15:BB35" ca="1" si="31">-VLOOKUP($B15,RawData,AY$4,FALSE)*VLOOKUP(AY$3,ConversionFactors,2,FALSE)/1000</f>
        <v>0</v>
      </c>
      <c r="AZ15" s="2173">
        <f t="shared" ca="1" si="31"/>
        <v>0</v>
      </c>
      <c r="BA15" s="2173">
        <f t="shared" ca="1" si="31"/>
        <v>0</v>
      </c>
      <c r="BB15" s="2173">
        <f t="shared" ca="1" si="31"/>
        <v>0</v>
      </c>
      <c r="BC15" s="2173">
        <f t="shared" ref="BC15:BC35" si="32">-VLOOKUP($B15,RawData,BC$4,FALSE)*1</f>
        <v>0</v>
      </c>
      <c r="BD15" s="2174">
        <f t="shared" ref="BD15:BD33" ca="1" si="33">-VLOOKUP($B15,RawData,BD$4,FALSE)*VLOOKUP(BD$3,ConversionFactors,2,FALSE)/1000</f>
        <v>0</v>
      </c>
      <c r="BE15" s="2167">
        <f>-VLOOKUP("ELMAINE",RawData,BE$4,FALSE)*3.6/0.33</f>
        <v>-155061.81818181818</v>
      </c>
      <c r="BF15" s="2167">
        <f>-(VLOOKUP("ELMAINE",RawData,BF$4,FALSE)-VLOOKUP("MHYDPUMP",RawData,BF$4,FALSE))*3.6</f>
        <v>58106.667600000001</v>
      </c>
      <c r="BG15" s="2167">
        <f t="shared" ref="BG15:BG35" si="34">-VLOOKUP($B15,RawData,BG$4,FALSE)*1</f>
        <v>0</v>
      </c>
      <c r="BH15" s="2167">
        <f>-VLOOKUP("ELMAINE",RawData,BH$4,FALSE)*3.6</f>
        <v>0</v>
      </c>
      <c r="BI15" s="2167">
        <f t="shared" ref="BI15:BI35" si="35">-VLOOKUP($B15,RawData,BI$4,FALSE)*1</f>
        <v>0</v>
      </c>
      <c r="BJ15" s="2167">
        <f>-VLOOKUP("ELMAINE",RawData,BJ$4,FALSE)*3.6</f>
        <v>0</v>
      </c>
      <c r="BK15" s="2167">
        <f>-VLOOKUP("ELMAINE",RawData,BK$4,FALSE)*3.6</f>
        <v>-1018.8000000000001</v>
      </c>
      <c r="BL15" s="2167">
        <f>-VLOOKUP("ELMAINE",RawData,BL$4,FALSE)*3.6</f>
        <v>0</v>
      </c>
      <c r="BM15" s="2167">
        <f>(VLOOKUP("ELMAINE",RawData,BM$4,FALSE)-VLOOKUP("MHYDPUMP",RawData,BF$4,FALSE)-VLOOKUP("ELMAINE",RawData,MATCH("CHEMHEAT",RawDataHeadings,0),FALSE))*3.6</f>
        <v>696926.80440000002</v>
      </c>
      <c r="BN15" s="2167">
        <f>-VLOOKUP($B15,RawData,BN$4,FALSE)*1</f>
        <v>0</v>
      </c>
      <c r="BO15" s="2170">
        <v>0</v>
      </c>
      <c r="BP15" s="2168">
        <f t="shared" ca="1" si="8"/>
        <v>-1753607.8947968183</v>
      </c>
      <c r="BQ15" s="910"/>
      <c r="CA15" s="555" t="s">
        <v>940</v>
      </c>
      <c r="CB15" s="20" t="s">
        <v>2233</v>
      </c>
      <c r="CC15" s="20" t="s">
        <v>2234</v>
      </c>
      <c r="CD15" s="20" t="s">
        <v>2235</v>
      </c>
      <c r="CE15" s="20" t="s">
        <v>2236</v>
      </c>
      <c r="CF15" s="20" t="s">
        <v>2237</v>
      </c>
      <c r="CG15" s="20" t="s">
        <v>2238</v>
      </c>
      <c r="CH15" s="20" t="s">
        <v>2239</v>
      </c>
      <c r="CI15" s="20" t="s">
        <v>2240</v>
      </c>
      <c r="CJ15" s="20" t="s">
        <v>2241</v>
      </c>
      <c r="CK15" s="20" t="s">
        <v>2242</v>
      </c>
      <c r="CL15" s="20" t="s">
        <v>2243</v>
      </c>
      <c r="CM15" s="20" t="s">
        <v>2244</v>
      </c>
      <c r="CN15" s="20" t="s">
        <v>2245</v>
      </c>
      <c r="CO15" s="20" t="s">
        <v>2246</v>
      </c>
      <c r="CP15" s="20">
        <v>0</v>
      </c>
      <c r="CQ15" s="20" t="s">
        <v>2247</v>
      </c>
      <c r="CR15" s="20" t="s">
        <v>2248</v>
      </c>
      <c r="CS15" s="20" t="s">
        <v>2249</v>
      </c>
      <c r="CT15" s="20" t="s">
        <v>2250</v>
      </c>
      <c r="CU15" s="20" t="s">
        <v>2251</v>
      </c>
      <c r="CV15" s="20" t="s">
        <v>2252</v>
      </c>
      <c r="CW15" s="20" t="s">
        <v>2253</v>
      </c>
      <c r="CX15" s="20" t="s">
        <v>2254</v>
      </c>
      <c r="CY15" s="20" t="s">
        <v>2255</v>
      </c>
      <c r="CZ15" s="20" t="s">
        <v>2256</v>
      </c>
      <c r="DA15" s="20" t="s">
        <v>2257</v>
      </c>
      <c r="DB15" s="20" t="s">
        <v>2258</v>
      </c>
      <c r="DC15" s="20" t="s">
        <v>2259</v>
      </c>
      <c r="DD15" s="20" t="s">
        <v>2260</v>
      </c>
      <c r="DE15" s="20" t="s">
        <v>2261</v>
      </c>
      <c r="DF15" s="20" t="s">
        <v>2262</v>
      </c>
      <c r="DG15" s="20" t="s">
        <v>2263</v>
      </c>
      <c r="DH15" s="20" t="s">
        <v>2264</v>
      </c>
      <c r="DI15" s="20" t="s">
        <v>2265</v>
      </c>
      <c r="DJ15" s="20" t="s">
        <v>2266</v>
      </c>
      <c r="DK15" s="20" t="s">
        <v>2267</v>
      </c>
      <c r="DL15" s="20" t="s">
        <v>2268</v>
      </c>
      <c r="DM15" s="20" t="s">
        <v>2269</v>
      </c>
      <c r="DN15" s="20" t="s">
        <v>2270</v>
      </c>
      <c r="DO15" s="20" t="s">
        <v>2271</v>
      </c>
      <c r="DP15" s="20" t="s">
        <v>2272</v>
      </c>
      <c r="DQ15" s="20" t="s">
        <v>2273</v>
      </c>
      <c r="DR15" s="20" t="s">
        <v>2274</v>
      </c>
      <c r="DS15" s="20" t="s">
        <v>2275</v>
      </c>
      <c r="DT15" s="20" t="s">
        <v>2276</v>
      </c>
      <c r="DU15" s="20" t="s">
        <v>2277</v>
      </c>
      <c r="DV15" s="20" t="s">
        <v>2278</v>
      </c>
      <c r="DW15" s="20" t="s">
        <v>2279</v>
      </c>
      <c r="DX15" s="20" t="s">
        <v>2280</v>
      </c>
      <c r="DY15" s="20" t="s">
        <v>2281</v>
      </c>
      <c r="DZ15" s="20" t="s">
        <v>2282</v>
      </c>
      <c r="EA15" s="20" t="s">
        <v>2283</v>
      </c>
      <c r="EB15" s="20" t="s">
        <v>2284</v>
      </c>
      <c r="EC15" s="20" t="s">
        <v>2285</v>
      </c>
      <c r="ED15" s="20" t="s">
        <v>2286</v>
      </c>
      <c r="EE15" s="20" t="s">
        <v>2287</v>
      </c>
      <c r="EF15" s="20" t="s">
        <v>2288</v>
      </c>
      <c r="EG15" s="20" t="s">
        <v>2289</v>
      </c>
      <c r="EH15" s="20" t="s">
        <v>2290</v>
      </c>
      <c r="EI15" s="20" t="s">
        <v>2291</v>
      </c>
      <c r="EJ15" s="20" t="s">
        <v>2292</v>
      </c>
      <c r="EK15" s="20" t="s">
        <v>2293</v>
      </c>
      <c r="EL15" s="20">
        <v>0</v>
      </c>
    </row>
    <row r="16" spans="1:142" s="20" customFormat="1" ht="11.25" x14ac:dyDescent="0.2">
      <c r="A16" s="557" t="str">
        <f>AUTOELEC</f>
        <v>Autoproducer electricity plants</v>
      </c>
      <c r="B16" s="230" t="s">
        <v>947</v>
      </c>
      <c r="C16" s="230" t="s">
        <v>1647</v>
      </c>
      <c r="D16" s="221">
        <f t="shared" si="23"/>
        <v>10</v>
      </c>
      <c r="E16" s="2169">
        <f t="shared" ca="1" si="24"/>
        <v>0</v>
      </c>
      <c r="F16" s="2169">
        <f t="shared" ca="1" si="24"/>
        <v>0</v>
      </c>
      <c r="G16" s="2169">
        <f t="shared" ca="1" si="24"/>
        <v>-6191.2896359999995</v>
      </c>
      <c r="H16" s="2169">
        <f t="shared" ca="1" si="24"/>
        <v>0</v>
      </c>
      <c r="I16" s="2169">
        <f t="shared" ca="1" si="24"/>
        <v>0</v>
      </c>
      <c r="J16" s="2169">
        <f t="shared" ca="1" si="24"/>
        <v>0</v>
      </c>
      <c r="K16" s="2169">
        <f t="shared" ca="1" si="24"/>
        <v>0</v>
      </c>
      <c r="L16" s="2169">
        <f t="shared" ca="1" si="24"/>
        <v>0</v>
      </c>
      <c r="M16" s="2169">
        <f t="shared" ca="1" si="24"/>
        <v>0</v>
      </c>
      <c r="N16" s="2169">
        <f t="shared" ca="1" si="24"/>
        <v>0</v>
      </c>
      <c r="O16" s="2169">
        <f t="shared" ca="1" si="25"/>
        <v>0</v>
      </c>
      <c r="P16" s="2169">
        <f t="shared" ca="1" si="25"/>
        <v>0</v>
      </c>
      <c r="Q16" s="2169">
        <f t="shared" ca="1" si="25"/>
        <v>0</v>
      </c>
      <c r="R16" s="2169">
        <f t="shared" ca="1" si="25"/>
        <v>0</v>
      </c>
      <c r="S16" s="2170">
        <v>0</v>
      </c>
      <c r="T16" s="2169">
        <f t="shared" ca="1" si="26"/>
        <v>0</v>
      </c>
      <c r="U16" s="2169">
        <f t="shared" ca="1" si="26"/>
        <v>0</v>
      </c>
      <c r="V16" s="2169">
        <f t="shared" ca="1" si="26"/>
        <v>0</v>
      </c>
      <c r="W16" s="2161">
        <f t="shared" ca="1" si="27"/>
        <v>0</v>
      </c>
      <c r="X16" s="2161">
        <f t="shared" ca="1" si="27"/>
        <v>0</v>
      </c>
      <c r="Y16" s="2161">
        <f t="shared" ca="1" si="27"/>
        <v>0</v>
      </c>
      <c r="Z16" s="2161">
        <f t="shared" ca="1" si="27"/>
        <v>0</v>
      </c>
      <c r="AA16" s="2161">
        <f t="shared" ca="1" si="27"/>
        <v>0</v>
      </c>
      <c r="AB16" s="2161">
        <f t="shared" ca="1" si="27"/>
        <v>0</v>
      </c>
      <c r="AC16" s="2161">
        <f t="shared" ca="1" si="27"/>
        <v>0</v>
      </c>
      <c r="AD16" s="2161">
        <f t="shared" ca="1" si="27"/>
        <v>0</v>
      </c>
      <c r="AE16" s="2161">
        <f t="shared" ca="1" si="27"/>
        <v>0</v>
      </c>
      <c r="AF16" s="2161">
        <f t="shared" ca="1" si="27"/>
        <v>0</v>
      </c>
      <c r="AG16" s="2161">
        <f t="shared" ca="1" si="28"/>
        <v>0</v>
      </c>
      <c r="AH16" s="2161">
        <f t="shared" ca="1" si="28"/>
        <v>0</v>
      </c>
      <c r="AI16" s="2161">
        <f t="shared" ca="1" si="28"/>
        <v>0</v>
      </c>
      <c r="AJ16" s="2161">
        <f t="shared" ca="1" si="28"/>
        <v>0</v>
      </c>
      <c r="AK16" s="2161">
        <f t="shared" ca="1" si="28"/>
        <v>0</v>
      </c>
      <c r="AL16" s="2161">
        <f t="shared" ca="1" si="28"/>
        <v>0</v>
      </c>
      <c r="AM16" s="2161">
        <f t="shared" ca="1" si="28"/>
        <v>0</v>
      </c>
      <c r="AN16" s="2161">
        <f t="shared" ca="1" si="28"/>
        <v>0</v>
      </c>
      <c r="AO16" s="2161">
        <f t="shared" ca="1" si="28"/>
        <v>0</v>
      </c>
      <c r="AP16" s="2161">
        <f t="shared" ca="1" si="28"/>
        <v>0</v>
      </c>
      <c r="AQ16" s="2161">
        <f t="shared" ca="1" si="28"/>
        <v>0</v>
      </c>
      <c r="AR16" s="2171">
        <f t="shared" ca="1" si="28"/>
        <v>0</v>
      </c>
      <c r="AS16" s="2172">
        <f t="shared" ca="1" si="29"/>
        <v>0</v>
      </c>
      <c r="AT16" s="2173">
        <f t="shared" si="30"/>
        <v>0</v>
      </c>
      <c r="AU16" s="2173">
        <f t="shared" si="30"/>
        <v>0</v>
      </c>
      <c r="AV16" s="2173">
        <f t="shared" si="30"/>
        <v>0</v>
      </c>
      <c r="AW16" s="2173">
        <f t="shared" si="30"/>
        <v>-4295.21</v>
      </c>
      <c r="AX16" s="2173">
        <f t="shared" si="30"/>
        <v>0</v>
      </c>
      <c r="AY16" s="2173">
        <f t="shared" ca="1" si="31"/>
        <v>0</v>
      </c>
      <c r="AZ16" s="2173">
        <f t="shared" ca="1" si="31"/>
        <v>0</v>
      </c>
      <c r="BA16" s="2173">
        <f t="shared" ca="1" si="31"/>
        <v>0</v>
      </c>
      <c r="BB16" s="2173">
        <f t="shared" ca="1" si="31"/>
        <v>0</v>
      </c>
      <c r="BC16" s="2173">
        <f t="shared" si="32"/>
        <v>0</v>
      </c>
      <c r="BD16" s="2174">
        <f t="shared" ca="1" si="33"/>
        <v>0</v>
      </c>
      <c r="BE16" s="2167">
        <f>-VLOOKUP("ELAUTOE",RawData,BE$4,FALSE)*3.6/0.33</f>
        <v>0</v>
      </c>
      <c r="BF16" s="2167">
        <f>-(VLOOKUP("ELAUTOE",RawData,BF$4,FALSE)-VLOOKUP("AHYDPUMP",RawData,BF$4,FALSE))*3.6</f>
        <v>-375.44400000000002</v>
      </c>
      <c r="BG16" s="2167">
        <f t="shared" si="34"/>
        <v>0</v>
      </c>
      <c r="BH16" s="2167">
        <f>-VLOOKUP("ELAUTOE",RawData,BH$4,FALSE)*3.6</f>
        <v>-10947.06</v>
      </c>
      <c r="BI16" s="2167">
        <f t="shared" si="35"/>
        <v>0</v>
      </c>
      <c r="BJ16" s="2167">
        <f>-VLOOKUP("ELAUTOE",RawData,BJ$4,FALSE)*3.6</f>
        <v>0</v>
      </c>
      <c r="BK16" s="2167">
        <f>-VLOOKUP("ELAUTOE",RawData,BK$4,FALSE)*3.6</f>
        <v>-22261.86</v>
      </c>
      <c r="BL16" s="2167">
        <f>-VLOOKUP("ELAUTOE",RawData,BL$4,FALSE)*3.6</f>
        <v>0</v>
      </c>
      <c r="BM16" s="2167">
        <f>(VLOOKUP("ELAUTOE",RawData,BM$4,FALSE)-VLOOKUP("AHYDPUMP",RawData,BF$4,FALSE)-VLOOKUP("ELAUTOE",RawData,MATCH("CHEMHEAT",RawDataHeadings,0),FALSE))*3.6</f>
        <v>56242.764000000003</v>
      </c>
      <c r="BN16" s="2167">
        <f>-VLOOKUP($B16,RawData,BN$4,FALSE)*1</f>
        <v>0</v>
      </c>
      <c r="BO16" s="2170">
        <v>0</v>
      </c>
      <c r="BP16" s="2168">
        <f t="shared" ca="1" si="8"/>
        <v>12171.900364000001</v>
      </c>
      <c r="BQ16" s="910"/>
      <c r="CA16" s="555" t="s">
        <v>947</v>
      </c>
      <c r="CB16" s="20" t="s">
        <v>2294</v>
      </c>
      <c r="CC16" s="20" t="s">
        <v>2295</v>
      </c>
      <c r="CD16" s="20" t="s">
        <v>2296</v>
      </c>
      <c r="CE16" s="20" t="s">
        <v>2297</v>
      </c>
      <c r="CF16" s="20" t="s">
        <v>2298</v>
      </c>
      <c r="CG16" s="20" t="s">
        <v>2299</v>
      </c>
      <c r="CH16" s="20" t="s">
        <v>2300</v>
      </c>
      <c r="CI16" s="20" t="s">
        <v>2301</v>
      </c>
      <c r="CJ16" s="20" t="s">
        <v>2302</v>
      </c>
      <c r="CK16" s="20" t="s">
        <v>2303</v>
      </c>
      <c r="CL16" s="20" t="s">
        <v>2304</v>
      </c>
      <c r="CM16" s="20" t="s">
        <v>2305</v>
      </c>
      <c r="CN16" s="20" t="s">
        <v>2306</v>
      </c>
      <c r="CO16" s="20" t="s">
        <v>2307</v>
      </c>
      <c r="CP16" s="20">
        <v>0</v>
      </c>
      <c r="CQ16" s="20" t="s">
        <v>2308</v>
      </c>
      <c r="CR16" s="20" t="s">
        <v>2309</v>
      </c>
      <c r="CS16" s="20" t="s">
        <v>2310</v>
      </c>
      <c r="CT16" s="20" t="s">
        <v>2311</v>
      </c>
      <c r="CU16" s="20" t="s">
        <v>2312</v>
      </c>
      <c r="CV16" s="20" t="s">
        <v>2313</v>
      </c>
      <c r="CW16" s="20" t="s">
        <v>2314</v>
      </c>
      <c r="CX16" s="20" t="s">
        <v>2315</v>
      </c>
      <c r="CY16" s="20" t="s">
        <v>2316</v>
      </c>
      <c r="CZ16" s="20" t="s">
        <v>2317</v>
      </c>
      <c r="DA16" s="20" t="s">
        <v>2318</v>
      </c>
      <c r="DB16" s="20" t="s">
        <v>2319</v>
      </c>
      <c r="DC16" s="20" t="s">
        <v>2320</v>
      </c>
      <c r="DD16" s="20" t="s">
        <v>2321</v>
      </c>
      <c r="DE16" s="20" t="s">
        <v>2322</v>
      </c>
      <c r="DF16" s="20" t="s">
        <v>2323</v>
      </c>
      <c r="DG16" s="20" t="s">
        <v>2324</v>
      </c>
      <c r="DH16" s="20" t="s">
        <v>2325</v>
      </c>
      <c r="DI16" s="20" t="s">
        <v>2326</v>
      </c>
      <c r="DJ16" s="20" t="s">
        <v>2327</v>
      </c>
      <c r="DK16" s="20" t="s">
        <v>2328</v>
      </c>
      <c r="DL16" s="20" t="s">
        <v>2329</v>
      </c>
      <c r="DM16" s="20" t="s">
        <v>2330</v>
      </c>
      <c r="DN16" s="20" t="s">
        <v>2331</v>
      </c>
      <c r="DO16" s="20" t="s">
        <v>2332</v>
      </c>
      <c r="DP16" s="20" t="s">
        <v>2333</v>
      </c>
      <c r="DQ16" s="20" t="s">
        <v>2334</v>
      </c>
      <c r="DR16" s="20" t="s">
        <v>2335</v>
      </c>
      <c r="DS16" s="20" t="s">
        <v>2336</v>
      </c>
      <c r="DT16" s="20" t="s">
        <v>2337</v>
      </c>
      <c r="DU16" s="20" t="s">
        <v>2338</v>
      </c>
      <c r="DV16" s="20" t="s">
        <v>2339</v>
      </c>
      <c r="DW16" s="20" t="s">
        <v>2340</v>
      </c>
      <c r="DX16" s="20" t="s">
        <v>2341</v>
      </c>
      <c r="DY16" s="20" t="s">
        <v>2342</v>
      </c>
      <c r="DZ16" s="20" t="s">
        <v>2343</v>
      </c>
      <c r="EA16" s="20" t="s">
        <v>2344</v>
      </c>
      <c r="EB16" s="20" t="s">
        <v>2345</v>
      </c>
      <c r="EC16" s="20" t="s">
        <v>2346</v>
      </c>
      <c r="ED16" s="20" t="s">
        <v>2347</v>
      </c>
      <c r="EE16" s="20" t="s">
        <v>2348</v>
      </c>
      <c r="EF16" s="20" t="s">
        <v>2349</v>
      </c>
      <c r="EG16" s="20" t="s">
        <v>2350</v>
      </c>
      <c r="EH16" s="20" t="s">
        <v>2351</v>
      </c>
      <c r="EI16" s="20" t="s">
        <v>2352</v>
      </c>
      <c r="EJ16" s="20" t="s">
        <v>2353</v>
      </c>
      <c r="EK16" s="20" t="s">
        <v>2354</v>
      </c>
      <c r="EL16" s="20">
        <v>0</v>
      </c>
    </row>
    <row r="17" spans="1:142" s="20" customFormat="1" ht="11.25" x14ac:dyDescent="0.2">
      <c r="A17" s="557" t="str">
        <f>MAINCHP</f>
        <v>Main activity producer CHP plants</v>
      </c>
      <c r="B17" s="230" t="s">
        <v>954</v>
      </c>
      <c r="C17" s="230" t="s">
        <v>1648</v>
      </c>
      <c r="D17" s="221">
        <f t="shared" si="23"/>
        <v>11</v>
      </c>
      <c r="E17" s="2169">
        <f t="shared" ca="1" si="24"/>
        <v>0</v>
      </c>
      <c r="F17" s="2169">
        <f t="shared" ca="1" si="24"/>
        <v>0</v>
      </c>
      <c r="G17" s="2169">
        <f t="shared" ca="1" si="24"/>
        <v>0</v>
      </c>
      <c r="H17" s="2169">
        <f t="shared" ca="1" si="24"/>
        <v>0</v>
      </c>
      <c r="I17" s="2169">
        <f t="shared" ca="1" si="24"/>
        <v>0</v>
      </c>
      <c r="J17" s="2169">
        <f t="shared" ca="1" si="24"/>
        <v>0</v>
      </c>
      <c r="K17" s="2169">
        <f t="shared" ca="1" si="24"/>
        <v>0</v>
      </c>
      <c r="L17" s="2169">
        <f t="shared" ca="1" si="24"/>
        <v>0</v>
      </c>
      <c r="M17" s="2169">
        <f t="shared" ca="1" si="24"/>
        <v>0</v>
      </c>
      <c r="N17" s="2169">
        <f t="shared" ca="1" si="24"/>
        <v>0</v>
      </c>
      <c r="O17" s="2169">
        <f t="shared" ca="1" si="25"/>
        <v>0</v>
      </c>
      <c r="P17" s="2169">
        <f t="shared" ca="1" si="25"/>
        <v>0</v>
      </c>
      <c r="Q17" s="2169">
        <f t="shared" ca="1" si="25"/>
        <v>0</v>
      </c>
      <c r="R17" s="2169">
        <f t="shared" ca="1" si="25"/>
        <v>0</v>
      </c>
      <c r="S17" s="2170">
        <v>0</v>
      </c>
      <c r="T17" s="2169">
        <f t="shared" ca="1" si="26"/>
        <v>0</v>
      </c>
      <c r="U17" s="2169">
        <f t="shared" ca="1" si="26"/>
        <v>0</v>
      </c>
      <c r="V17" s="2169">
        <f t="shared" ca="1" si="26"/>
        <v>0</v>
      </c>
      <c r="W17" s="2161">
        <f t="shared" ca="1" si="27"/>
        <v>0</v>
      </c>
      <c r="X17" s="2161">
        <f t="shared" ca="1" si="27"/>
        <v>0</v>
      </c>
      <c r="Y17" s="2161">
        <f t="shared" ca="1" si="27"/>
        <v>0</v>
      </c>
      <c r="Z17" s="2161">
        <f t="shared" ca="1" si="27"/>
        <v>0</v>
      </c>
      <c r="AA17" s="2161">
        <f t="shared" ca="1" si="27"/>
        <v>0</v>
      </c>
      <c r="AB17" s="2161">
        <f t="shared" ca="1" si="27"/>
        <v>0</v>
      </c>
      <c r="AC17" s="2161">
        <f t="shared" ca="1" si="27"/>
        <v>0</v>
      </c>
      <c r="AD17" s="2161">
        <f t="shared" ca="1" si="27"/>
        <v>0</v>
      </c>
      <c r="AE17" s="2161">
        <f t="shared" ca="1" si="27"/>
        <v>0</v>
      </c>
      <c r="AF17" s="2161">
        <f t="shared" ca="1" si="27"/>
        <v>0</v>
      </c>
      <c r="AG17" s="2161">
        <f t="shared" ca="1" si="28"/>
        <v>0</v>
      </c>
      <c r="AH17" s="2161">
        <f t="shared" ca="1" si="28"/>
        <v>0</v>
      </c>
      <c r="AI17" s="2161">
        <f t="shared" ca="1" si="28"/>
        <v>0</v>
      </c>
      <c r="AJ17" s="2161">
        <f t="shared" ca="1" si="28"/>
        <v>0</v>
      </c>
      <c r="AK17" s="2161">
        <f t="shared" ca="1" si="28"/>
        <v>0</v>
      </c>
      <c r="AL17" s="2161">
        <f t="shared" ca="1" si="28"/>
        <v>0</v>
      </c>
      <c r="AM17" s="2161">
        <f t="shared" ca="1" si="28"/>
        <v>0</v>
      </c>
      <c r="AN17" s="2161">
        <f t="shared" ca="1" si="28"/>
        <v>0</v>
      </c>
      <c r="AO17" s="2161">
        <f t="shared" ca="1" si="28"/>
        <v>0</v>
      </c>
      <c r="AP17" s="2161">
        <f t="shared" ca="1" si="28"/>
        <v>0</v>
      </c>
      <c r="AQ17" s="2161">
        <f t="shared" ca="1" si="28"/>
        <v>0</v>
      </c>
      <c r="AR17" s="2171">
        <f t="shared" ca="1" si="28"/>
        <v>0</v>
      </c>
      <c r="AS17" s="2172">
        <f t="shared" ca="1" si="29"/>
        <v>0</v>
      </c>
      <c r="AT17" s="2173">
        <f t="shared" si="30"/>
        <v>0</v>
      </c>
      <c r="AU17" s="2173">
        <f t="shared" si="30"/>
        <v>0</v>
      </c>
      <c r="AV17" s="2173">
        <f t="shared" si="30"/>
        <v>0</v>
      </c>
      <c r="AW17" s="2173">
        <f t="shared" si="30"/>
        <v>0</v>
      </c>
      <c r="AX17" s="2173">
        <f t="shared" si="30"/>
        <v>0</v>
      </c>
      <c r="AY17" s="2173">
        <f t="shared" ca="1" si="31"/>
        <v>0</v>
      </c>
      <c r="AZ17" s="2173">
        <f t="shared" ca="1" si="31"/>
        <v>0</v>
      </c>
      <c r="BA17" s="2173">
        <f t="shared" ca="1" si="31"/>
        <v>0</v>
      </c>
      <c r="BB17" s="2173">
        <f t="shared" ca="1" si="31"/>
        <v>0</v>
      </c>
      <c r="BC17" s="2173">
        <f t="shared" si="32"/>
        <v>0</v>
      </c>
      <c r="BD17" s="2174">
        <f t="shared" ca="1" si="33"/>
        <v>0</v>
      </c>
      <c r="BE17" s="2167">
        <f>-VLOOKUP("ELMAINC",RawData,BE$4,FALSE)*3.6/0.33-VLOOKUP("HEMAINC",RawData,BE$4,FALSE)*1</f>
        <v>0</v>
      </c>
      <c r="BF17" s="2167">
        <f>-VLOOKUP("ELMAINC",RawData,BF$4,FALSE)*3.6-VLOOKUP("HEMAINC",RawData,BF$4,FALSE)*1</f>
        <v>0</v>
      </c>
      <c r="BG17" s="2167">
        <f t="shared" si="34"/>
        <v>0</v>
      </c>
      <c r="BH17" s="2167">
        <f>-VLOOKUP("ELMAINC",RawData,BH$4,FALSE)*3.6-VLOOKUP("HEMAINC",RawData,BH$4,FALSE)*1</f>
        <v>0</v>
      </c>
      <c r="BI17" s="2167">
        <f t="shared" si="35"/>
        <v>0</v>
      </c>
      <c r="BJ17" s="2167">
        <f>-VLOOKUP("ELMAINC",RawData,BJ$4,FALSE)*3.6-VLOOKUP("HEMAINC",RawData,BJ$4,FALSE)*3.6</f>
        <v>0</v>
      </c>
      <c r="BK17" s="2167">
        <f>-VLOOKUP("ELMAINC",RawData,BK$4,FALSE)*3.6-VLOOKUP("HEMAINC",RawData,BK$4,FALSE)*1</f>
        <v>0</v>
      </c>
      <c r="BL17" s="2167">
        <f>-VLOOKUP("ELMAINC",RawData,BL$4,FALSE)*3.6-VLOOKUP("HEMAINC",RawData,BL$4,FALSE)*1</f>
        <v>0</v>
      </c>
      <c r="BM17" s="2167">
        <f>(VLOOKUP("ELMAINC",RawData,BM$4,FALSE)-VLOOKUP("ELMAINC",RawData,MATCH("CHEMHEAT",RawDataHeadings,0),FALSE))*3.6</f>
        <v>0</v>
      </c>
      <c r="BN17" s="2167">
        <f>(VLOOKUP("HEMAINC",RawData,BN$4,FALSE)-SUM(VLOOKUP("HEMAINC",RawData,MATCH("HEATPUMP",RawDataHeadings,0),FALSE),VLOOKUP("HEMAINC",RawData,MATCH("BOILER",RawDataHeadings,0),FALSE),VLOOKUP("HEMAINC",RawData,MATCH("CHEMHEAT",RawDataHeadings,0),FALSE)))*1</f>
        <v>0</v>
      </c>
      <c r="BO17" s="2170">
        <v>0</v>
      </c>
      <c r="BP17" s="2168">
        <f t="shared" ca="1" si="8"/>
        <v>0</v>
      </c>
      <c r="BQ17" s="910"/>
      <c r="CA17" s="555" t="s">
        <v>954</v>
      </c>
      <c r="CB17" s="20" t="s">
        <v>2355</v>
      </c>
      <c r="CC17" s="20" t="s">
        <v>2356</v>
      </c>
      <c r="CD17" s="20" t="s">
        <v>2357</v>
      </c>
      <c r="CE17" s="20" t="s">
        <v>2358</v>
      </c>
      <c r="CF17" s="20" t="s">
        <v>2359</v>
      </c>
      <c r="CG17" s="20" t="s">
        <v>2360</v>
      </c>
      <c r="CH17" s="20" t="s">
        <v>2361</v>
      </c>
      <c r="CI17" s="20" t="s">
        <v>2362</v>
      </c>
      <c r="CJ17" s="20" t="s">
        <v>2363</v>
      </c>
      <c r="CK17" s="20" t="s">
        <v>2364</v>
      </c>
      <c r="CL17" s="20" t="s">
        <v>2365</v>
      </c>
      <c r="CM17" s="20" t="s">
        <v>2366</v>
      </c>
      <c r="CN17" s="20" t="s">
        <v>2367</v>
      </c>
      <c r="CO17" s="20" t="s">
        <v>2368</v>
      </c>
      <c r="CP17" s="20">
        <v>0</v>
      </c>
      <c r="CQ17" s="20" t="s">
        <v>2369</v>
      </c>
      <c r="CR17" s="20" t="s">
        <v>2370</v>
      </c>
      <c r="CS17" s="20" t="s">
        <v>2371</v>
      </c>
      <c r="CT17" s="20" t="s">
        <v>2372</v>
      </c>
      <c r="CU17" s="20" t="s">
        <v>2373</v>
      </c>
      <c r="CV17" s="20" t="s">
        <v>2374</v>
      </c>
      <c r="CW17" s="20" t="s">
        <v>2375</v>
      </c>
      <c r="CX17" s="20" t="s">
        <v>2376</v>
      </c>
      <c r="CY17" s="20" t="s">
        <v>2377</v>
      </c>
      <c r="CZ17" s="20" t="s">
        <v>2378</v>
      </c>
      <c r="DA17" s="20" t="s">
        <v>2379</v>
      </c>
      <c r="DB17" s="20" t="s">
        <v>2380</v>
      </c>
      <c r="DC17" s="20" t="s">
        <v>2381</v>
      </c>
      <c r="DD17" s="20" t="s">
        <v>2382</v>
      </c>
      <c r="DE17" s="20" t="s">
        <v>2383</v>
      </c>
      <c r="DF17" s="20" t="s">
        <v>2384</v>
      </c>
      <c r="DG17" s="20" t="s">
        <v>2385</v>
      </c>
      <c r="DH17" s="20" t="s">
        <v>2386</v>
      </c>
      <c r="DI17" s="20" t="s">
        <v>2387</v>
      </c>
      <c r="DJ17" s="20" t="s">
        <v>2388</v>
      </c>
      <c r="DK17" s="20" t="s">
        <v>2389</v>
      </c>
      <c r="DL17" s="20" t="s">
        <v>2390</v>
      </c>
      <c r="DM17" s="20" t="s">
        <v>2391</v>
      </c>
      <c r="DN17" s="20" t="s">
        <v>2392</v>
      </c>
      <c r="DO17" s="20" t="s">
        <v>2393</v>
      </c>
      <c r="DP17" s="20" t="s">
        <v>2394</v>
      </c>
      <c r="DQ17" s="20" t="s">
        <v>2395</v>
      </c>
      <c r="DR17" s="20" t="s">
        <v>2396</v>
      </c>
      <c r="DS17" s="20" t="s">
        <v>2397</v>
      </c>
      <c r="DT17" s="20" t="s">
        <v>2398</v>
      </c>
      <c r="DU17" s="20" t="s">
        <v>2399</v>
      </c>
      <c r="DV17" s="20" t="s">
        <v>2400</v>
      </c>
      <c r="DW17" s="20" t="s">
        <v>2401</v>
      </c>
      <c r="DX17" s="20" t="s">
        <v>2402</v>
      </c>
      <c r="DY17" s="20" t="s">
        <v>2403</v>
      </c>
      <c r="DZ17" s="20" t="s">
        <v>2404</v>
      </c>
      <c r="EA17" s="20" t="s">
        <v>2405</v>
      </c>
      <c r="EB17" s="20" t="s">
        <v>2406</v>
      </c>
      <c r="EC17" s="20" t="s">
        <v>2407</v>
      </c>
      <c r="ED17" s="20" t="s">
        <v>2408</v>
      </c>
      <c r="EE17" s="20" t="s">
        <v>2409</v>
      </c>
      <c r="EF17" s="20" t="s">
        <v>2410</v>
      </c>
      <c r="EG17" s="20" t="s">
        <v>2411</v>
      </c>
      <c r="EH17" s="20" t="s">
        <v>2412</v>
      </c>
      <c r="EI17" s="20" t="s">
        <v>2413</v>
      </c>
      <c r="EJ17" s="20" t="s">
        <v>2414</v>
      </c>
      <c r="EK17" s="20" t="s">
        <v>2415</v>
      </c>
      <c r="EL17" s="20">
        <v>0</v>
      </c>
    </row>
    <row r="18" spans="1:142" s="20" customFormat="1" ht="11.25" x14ac:dyDescent="0.2">
      <c r="A18" s="557" t="str">
        <f>AUTOCHP</f>
        <v>Autoproducer CHP plants</v>
      </c>
      <c r="B18" s="230" t="s">
        <v>961</v>
      </c>
      <c r="C18" s="230" t="s">
        <v>1649</v>
      </c>
      <c r="D18" s="221">
        <f t="shared" si="23"/>
        <v>12</v>
      </c>
      <c r="E18" s="2169">
        <f t="shared" ca="1" si="24"/>
        <v>0</v>
      </c>
      <c r="F18" s="2169">
        <f t="shared" ca="1" si="24"/>
        <v>0</v>
      </c>
      <c r="G18" s="2169">
        <f t="shared" ca="1" si="24"/>
        <v>0</v>
      </c>
      <c r="H18" s="2169">
        <f t="shared" ca="1" si="24"/>
        <v>0</v>
      </c>
      <c r="I18" s="2169">
        <f t="shared" ca="1" si="24"/>
        <v>0</v>
      </c>
      <c r="J18" s="2169">
        <f t="shared" ca="1" si="24"/>
        <v>0</v>
      </c>
      <c r="K18" s="2169">
        <f t="shared" ca="1" si="24"/>
        <v>0</v>
      </c>
      <c r="L18" s="2169">
        <f t="shared" ca="1" si="24"/>
        <v>0</v>
      </c>
      <c r="M18" s="2169">
        <f t="shared" ca="1" si="24"/>
        <v>0</v>
      </c>
      <c r="N18" s="2169">
        <f t="shared" ca="1" si="24"/>
        <v>0</v>
      </c>
      <c r="O18" s="2169">
        <f t="shared" ca="1" si="25"/>
        <v>0</v>
      </c>
      <c r="P18" s="2169">
        <f t="shared" ca="1" si="25"/>
        <v>0</v>
      </c>
      <c r="Q18" s="2169">
        <f t="shared" ca="1" si="25"/>
        <v>0</v>
      </c>
      <c r="R18" s="2169">
        <f t="shared" ca="1" si="25"/>
        <v>0</v>
      </c>
      <c r="S18" s="2170">
        <v>0</v>
      </c>
      <c r="T18" s="2169">
        <f t="shared" ca="1" si="26"/>
        <v>0</v>
      </c>
      <c r="U18" s="2169">
        <f t="shared" ca="1" si="26"/>
        <v>0</v>
      </c>
      <c r="V18" s="2169">
        <f t="shared" ca="1" si="26"/>
        <v>0</v>
      </c>
      <c r="W18" s="2161">
        <f t="shared" ca="1" si="27"/>
        <v>0</v>
      </c>
      <c r="X18" s="2161">
        <f t="shared" ca="1" si="27"/>
        <v>0</v>
      </c>
      <c r="Y18" s="2161">
        <f t="shared" ca="1" si="27"/>
        <v>0</v>
      </c>
      <c r="Z18" s="2161">
        <f t="shared" ca="1" si="27"/>
        <v>0</v>
      </c>
      <c r="AA18" s="2161">
        <f t="shared" ca="1" si="27"/>
        <v>0</v>
      </c>
      <c r="AB18" s="2161">
        <f t="shared" ca="1" si="27"/>
        <v>0</v>
      </c>
      <c r="AC18" s="2161">
        <f t="shared" ca="1" si="27"/>
        <v>0</v>
      </c>
      <c r="AD18" s="2161">
        <f t="shared" ca="1" si="27"/>
        <v>0</v>
      </c>
      <c r="AE18" s="2161">
        <f t="shared" ca="1" si="27"/>
        <v>0</v>
      </c>
      <c r="AF18" s="2161">
        <f t="shared" ca="1" si="27"/>
        <v>0</v>
      </c>
      <c r="AG18" s="2161">
        <f t="shared" ca="1" si="28"/>
        <v>0</v>
      </c>
      <c r="AH18" s="2161">
        <f t="shared" ca="1" si="28"/>
        <v>0</v>
      </c>
      <c r="AI18" s="2161">
        <f t="shared" ca="1" si="28"/>
        <v>0</v>
      </c>
      <c r="AJ18" s="2161">
        <f t="shared" ca="1" si="28"/>
        <v>0</v>
      </c>
      <c r="AK18" s="2161">
        <f t="shared" ca="1" si="28"/>
        <v>0</v>
      </c>
      <c r="AL18" s="2161">
        <f t="shared" ca="1" si="28"/>
        <v>0</v>
      </c>
      <c r="AM18" s="2161">
        <f t="shared" ca="1" si="28"/>
        <v>0</v>
      </c>
      <c r="AN18" s="2161">
        <f t="shared" ca="1" si="28"/>
        <v>0</v>
      </c>
      <c r="AO18" s="2161">
        <f t="shared" ca="1" si="28"/>
        <v>0</v>
      </c>
      <c r="AP18" s="2161">
        <f t="shared" ca="1" si="28"/>
        <v>0</v>
      </c>
      <c r="AQ18" s="2161">
        <f t="shared" ca="1" si="28"/>
        <v>0</v>
      </c>
      <c r="AR18" s="2171">
        <f t="shared" ca="1" si="28"/>
        <v>0</v>
      </c>
      <c r="AS18" s="2172">
        <f t="shared" ca="1" si="29"/>
        <v>0</v>
      </c>
      <c r="AT18" s="2173">
        <f t="shared" si="30"/>
        <v>0</v>
      </c>
      <c r="AU18" s="2173">
        <f t="shared" si="30"/>
        <v>0</v>
      </c>
      <c r="AV18" s="2173">
        <f t="shared" si="30"/>
        <v>0</v>
      </c>
      <c r="AW18" s="2173">
        <f t="shared" si="30"/>
        <v>0</v>
      </c>
      <c r="AX18" s="2173">
        <f t="shared" si="30"/>
        <v>0</v>
      </c>
      <c r="AY18" s="2173">
        <f t="shared" ca="1" si="31"/>
        <v>0</v>
      </c>
      <c r="AZ18" s="2173">
        <f t="shared" ca="1" si="31"/>
        <v>0</v>
      </c>
      <c r="BA18" s="2173">
        <f t="shared" ca="1" si="31"/>
        <v>0</v>
      </c>
      <c r="BB18" s="2173">
        <f t="shared" ca="1" si="31"/>
        <v>0</v>
      </c>
      <c r="BC18" s="2173">
        <f t="shared" si="32"/>
        <v>0</v>
      </c>
      <c r="BD18" s="2174">
        <f t="shared" ca="1" si="33"/>
        <v>0</v>
      </c>
      <c r="BE18" s="2167">
        <f>-VLOOKUP("ELAUTOC",RawData,BE$4,FALSE)*3.6/0.33-VLOOKUP("HEAUTOC",RawData,BE$4,FALSE)*1</f>
        <v>0</v>
      </c>
      <c r="BF18" s="2167">
        <f>-VLOOKUP("ELAUTOC",RawData,BF$4,FALSE)*3.6-VLOOKUP("HEAUTOC",RawData,BF$4,FALSE)*1</f>
        <v>0</v>
      </c>
      <c r="BG18" s="2167">
        <f t="shared" si="34"/>
        <v>0</v>
      </c>
      <c r="BH18" s="2167">
        <f>-VLOOKUP("ELAUTOC",RawData,BH$4,FALSE)*3.6-VLOOKUP("HEAUTOC",RawData,BH$4,FALSE)*1</f>
        <v>0</v>
      </c>
      <c r="BI18" s="2167">
        <f t="shared" si="35"/>
        <v>0</v>
      </c>
      <c r="BJ18" s="2167">
        <f>-VLOOKUP("ELAUTOC",RawData,BJ$4,FALSE)*3.6-VLOOKUP("HEAUTOC",RawData,BJ$4,FALSE)*1</f>
        <v>0</v>
      </c>
      <c r="BK18" s="2167">
        <f>-VLOOKUP("ELAUTOC",RawData,BK$4,FALSE)*3.6-VLOOKUP("HEAUTOC",RawData,BK$4,FALSE)*1</f>
        <v>0</v>
      </c>
      <c r="BL18" s="2167">
        <f>-VLOOKUP("ELAUTOC",RawData,BL$4,FALSE)*3.6-VLOOKUP("HEAUTOC",RawData,BL$4,FALSE)*1</f>
        <v>0</v>
      </c>
      <c r="BM18" s="2167">
        <f>(VLOOKUP("ELAUTOC",RawData,BM$4,FALSE)-VLOOKUP("ELAUTOC",RawData,MATCH("CHEMHEAT",RawDataHeadings,0),FALSE))*3.6</f>
        <v>0</v>
      </c>
      <c r="BN18" s="2167">
        <f>(VLOOKUP("HEAUTOC",RawData,BN$4,FALSE)-SUM(VLOOKUP("HEAUTOC",RawData,MATCH("HEATPUMP",RawDataHeadings,0),FALSE),VLOOKUP("HEAUTOC",RawData,MATCH("BOILER",RawDataHeadings,0),FALSE),VLOOKUP("HEAUTOC",RawData,MATCH("CHEMHEAT",RawDataHeadings,0),FALSE)))*1</f>
        <v>0</v>
      </c>
      <c r="BO18" s="2170">
        <v>0</v>
      </c>
      <c r="BP18" s="2168">
        <f t="shared" ca="1" si="8"/>
        <v>0</v>
      </c>
      <c r="BQ18" s="910"/>
      <c r="CA18" s="555" t="s">
        <v>961</v>
      </c>
      <c r="CB18" s="20" t="s">
        <v>2416</v>
      </c>
      <c r="CC18" s="20" t="s">
        <v>2417</v>
      </c>
      <c r="CD18" s="20" t="s">
        <v>2418</v>
      </c>
      <c r="CE18" s="20" t="s">
        <v>2419</v>
      </c>
      <c r="CF18" s="20" t="s">
        <v>2420</v>
      </c>
      <c r="CG18" s="20" t="s">
        <v>2421</v>
      </c>
      <c r="CH18" s="20" t="s">
        <v>2422</v>
      </c>
      <c r="CI18" s="20" t="s">
        <v>2423</v>
      </c>
      <c r="CJ18" s="20" t="s">
        <v>2424</v>
      </c>
      <c r="CK18" s="20" t="s">
        <v>2425</v>
      </c>
      <c r="CL18" s="20" t="s">
        <v>2426</v>
      </c>
      <c r="CM18" s="20" t="s">
        <v>2427</v>
      </c>
      <c r="CN18" s="20" t="s">
        <v>2428</v>
      </c>
      <c r="CO18" s="20" t="s">
        <v>2429</v>
      </c>
      <c r="CP18" s="20">
        <v>0</v>
      </c>
      <c r="CQ18" s="20" t="s">
        <v>2430</v>
      </c>
      <c r="CR18" s="20" t="s">
        <v>2431</v>
      </c>
      <c r="CS18" s="20" t="s">
        <v>2432</v>
      </c>
      <c r="CT18" s="20" t="s">
        <v>2433</v>
      </c>
      <c r="CU18" s="20" t="s">
        <v>2434</v>
      </c>
      <c r="CV18" s="20" t="s">
        <v>2435</v>
      </c>
      <c r="CW18" s="20" t="s">
        <v>2436</v>
      </c>
      <c r="CX18" s="20" t="s">
        <v>2437</v>
      </c>
      <c r="CY18" s="20" t="s">
        <v>2438</v>
      </c>
      <c r="CZ18" s="20" t="s">
        <v>2439</v>
      </c>
      <c r="DA18" s="20" t="s">
        <v>2440</v>
      </c>
      <c r="DB18" s="20" t="s">
        <v>2441</v>
      </c>
      <c r="DC18" s="20" t="s">
        <v>2442</v>
      </c>
      <c r="DD18" s="20" t="s">
        <v>2443</v>
      </c>
      <c r="DE18" s="20" t="s">
        <v>2444</v>
      </c>
      <c r="DF18" s="20" t="s">
        <v>2445</v>
      </c>
      <c r="DG18" s="20" t="s">
        <v>2446</v>
      </c>
      <c r="DH18" s="20" t="s">
        <v>2447</v>
      </c>
      <c r="DI18" s="20" t="s">
        <v>2448</v>
      </c>
      <c r="DJ18" s="20" t="s">
        <v>2449</v>
      </c>
      <c r="DK18" s="20" t="s">
        <v>2450</v>
      </c>
      <c r="DL18" s="20" t="s">
        <v>2451</v>
      </c>
      <c r="DM18" s="20" t="s">
        <v>2452</v>
      </c>
      <c r="DN18" s="20" t="s">
        <v>2453</v>
      </c>
      <c r="DO18" s="20" t="s">
        <v>2454</v>
      </c>
      <c r="DP18" s="20" t="s">
        <v>2455</v>
      </c>
      <c r="DQ18" s="20" t="s">
        <v>2456</v>
      </c>
      <c r="DR18" s="20" t="s">
        <v>2457</v>
      </c>
      <c r="DS18" s="20" t="s">
        <v>2458</v>
      </c>
      <c r="DT18" s="20" t="s">
        <v>2459</v>
      </c>
      <c r="DU18" s="20" t="s">
        <v>2460</v>
      </c>
      <c r="DV18" s="20" t="s">
        <v>2461</v>
      </c>
      <c r="DW18" s="20" t="s">
        <v>2462</v>
      </c>
      <c r="DX18" s="20" t="s">
        <v>2463</v>
      </c>
      <c r="DY18" s="20" t="s">
        <v>2464</v>
      </c>
      <c r="DZ18" s="20" t="s">
        <v>2465</v>
      </c>
      <c r="EA18" s="20" t="s">
        <v>2466</v>
      </c>
      <c r="EB18" s="20" t="s">
        <v>2467</v>
      </c>
      <c r="EC18" s="20" t="s">
        <v>2468</v>
      </c>
      <c r="ED18" s="20" t="s">
        <v>2469</v>
      </c>
      <c r="EE18" s="20" t="s">
        <v>2470</v>
      </c>
      <c r="EF18" s="20" t="s">
        <v>2471</v>
      </c>
      <c r="EG18" s="20" t="s">
        <v>2472</v>
      </c>
      <c r="EH18" s="20" t="s">
        <v>2473</v>
      </c>
      <c r="EI18" s="20" t="s">
        <v>2474</v>
      </c>
      <c r="EJ18" s="20" t="s">
        <v>2475</v>
      </c>
      <c r="EK18" s="20" t="s">
        <v>2476</v>
      </c>
      <c r="EL18" s="20">
        <v>0</v>
      </c>
    </row>
    <row r="19" spans="1:142" s="20" customFormat="1" ht="11.25" x14ac:dyDescent="0.2">
      <c r="A19" s="557" t="str">
        <f>MAINHEAT</f>
        <v>Main activity producer heat plants</v>
      </c>
      <c r="B19" s="230" t="s">
        <v>968</v>
      </c>
      <c r="C19" s="230" t="s">
        <v>1650</v>
      </c>
      <c r="D19" s="221">
        <f t="shared" si="23"/>
        <v>13</v>
      </c>
      <c r="E19" s="2169">
        <f t="shared" ca="1" si="24"/>
        <v>0</v>
      </c>
      <c r="F19" s="2169">
        <f t="shared" ca="1" si="24"/>
        <v>0</v>
      </c>
      <c r="G19" s="2169">
        <f t="shared" ca="1" si="24"/>
        <v>0</v>
      </c>
      <c r="H19" s="2169">
        <f t="shared" ca="1" si="24"/>
        <v>0</v>
      </c>
      <c r="I19" s="2169">
        <f t="shared" ca="1" si="24"/>
        <v>0</v>
      </c>
      <c r="J19" s="2169">
        <f t="shared" ca="1" si="24"/>
        <v>0</v>
      </c>
      <c r="K19" s="2169">
        <f t="shared" ca="1" si="24"/>
        <v>0</v>
      </c>
      <c r="L19" s="2169">
        <f t="shared" ca="1" si="24"/>
        <v>0</v>
      </c>
      <c r="M19" s="2169">
        <f t="shared" ca="1" si="24"/>
        <v>0</v>
      </c>
      <c r="N19" s="2169">
        <f t="shared" ca="1" si="24"/>
        <v>0</v>
      </c>
      <c r="O19" s="2169">
        <f t="shared" ca="1" si="25"/>
        <v>0</v>
      </c>
      <c r="P19" s="2169">
        <f t="shared" ca="1" si="25"/>
        <v>0</v>
      </c>
      <c r="Q19" s="2169">
        <f t="shared" ca="1" si="25"/>
        <v>0</v>
      </c>
      <c r="R19" s="2169">
        <f t="shared" ca="1" si="25"/>
        <v>0</v>
      </c>
      <c r="S19" s="2170">
        <v>0</v>
      </c>
      <c r="T19" s="2169">
        <f t="shared" ca="1" si="26"/>
        <v>0</v>
      </c>
      <c r="U19" s="2169">
        <f t="shared" ca="1" si="26"/>
        <v>0</v>
      </c>
      <c r="V19" s="2169">
        <f t="shared" ca="1" si="26"/>
        <v>0</v>
      </c>
      <c r="W19" s="2161">
        <f t="shared" ca="1" si="27"/>
        <v>0</v>
      </c>
      <c r="X19" s="2161">
        <f t="shared" ca="1" si="27"/>
        <v>0</v>
      </c>
      <c r="Y19" s="2161">
        <f t="shared" ca="1" si="27"/>
        <v>0</v>
      </c>
      <c r="Z19" s="2161">
        <f t="shared" ca="1" si="27"/>
        <v>0</v>
      </c>
      <c r="AA19" s="2161">
        <f t="shared" ca="1" si="27"/>
        <v>0</v>
      </c>
      <c r="AB19" s="2161">
        <f t="shared" ca="1" si="27"/>
        <v>0</v>
      </c>
      <c r="AC19" s="2161">
        <f t="shared" ca="1" si="27"/>
        <v>0</v>
      </c>
      <c r="AD19" s="2161">
        <f t="shared" ca="1" si="27"/>
        <v>0</v>
      </c>
      <c r="AE19" s="2161">
        <f t="shared" ca="1" si="27"/>
        <v>0</v>
      </c>
      <c r="AF19" s="2161">
        <f t="shared" ca="1" si="27"/>
        <v>0</v>
      </c>
      <c r="AG19" s="2161">
        <f t="shared" ca="1" si="28"/>
        <v>0</v>
      </c>
      <c r="AH19" s="2161">
        <f t="shared" ca="1" si="28"/>
        <v>0</v>
      </c>
      <c r="AI19" s="2161">
        <f t="shared" ca="1" si="28"/>
        <v>0</v>
      </c>
      <c r="AJ19" s="2161">
        <f t="shared" ca="1" si="28"/>
        <v>0</v>
      </c>
      <c r="AK19" s="2161">
        <f t="shared" ca="1" si="28"/>
        <v>0</v>
      </c>
      <c r="AL19" s="2161">
        <f t="shared" ca="1" si="28"/>
        <v>0</v>
      </c>
      <c r="AM19" s="2161">
        <f t="shared" ca="1" si="28"/>
        <v>0</v>
      </c>
      <c r="AN19" s="2161">
        <f t="shared" ca="1" si="28"/>
        <v>0</v>
      </c>
      <c r="AO19" s="2161">
        <f t="shared" ca="1" si="28"/>
        <v>0</v>
      </c>
      <c r="AP19" s="2161">
        <f t="shared" ca="1" si="28"/>
        <v>0</v>
      </c>
      <c r="AQ19" s="2161">
        <f t="shared" ca="1" si="28"/>
        <v>0</v>
      </c>
      <c r="AR19" s="2171">
        <f t="shared" ca="1" si="28"/>
        <v>0</v>
      </c>
      <c r="AS19" s="2172">
        <f t="shared" ca="1" si="29"/>
        <v>0</v>
      </c>
      <c r="AT19" s="2173">
        <f t="shared" si="30"/>
        <v>0</v>
      </c>
      <c r="AU19" s="2173">
        <f t="shared" si="30"/>
        <v>0</v>
      </c>
      <c r="AV19" s="2173">
        <f t="shared" si="30"/>
        <v>0</v>
      </c>
      <c r="AW19" s="2173">
        <f t="shared" si="30"/>
        <v>0</v>
      </c>
      <c r="AX19" s="2173">
        <f t="shared" si="30"/>
        <v>0</v>
      </c>
      <c r="AY19" s="2173">
        <f t="shared" ca="1" si="31"/>
        <v>0</v>
      </c>
      <c r="AZ19" s="2173">
        <f t="shared" ca="1" si="31"/>
        <v>0</v>
      </c>
      <c r="BA19" s="2173">
        <f t="shared" ca="1" si="31"/>
        <v>0</v>
      </c>
      <c r="BB19" s="2173">
        <f t="shared" ca="1" si="31"/>
        <v>0</v>
      </c>
      <c r="BC19" s="2173">
        <f t="shared" si="32"/>
        <v>0</v>
      </c>
      <c r="BD19" s="2174">
        <f t="shared" ca="1" si="33"/>
        <v>0</v>
      </c>
      <c r="BE19" s="2167">
        <f>-VLOOKUP("HEMAINH",RawData,BE$4,FALSE)*1</f>
        <v>0</v>
      </c>
      <c r="BF19" s="2167">
        <f>-VLOOKUP("HEMAINH",RawData,BF$4,FALSE)*1</f>
        <v>0</v>
      </c>
      <c r="BG19" s="2167">
        <f t="shared" si="34"/>
        <v>0</v>
      </c>
      <c r="BH19" s="2167">
        <f>-VLOOKUP("HEMAINH",RawData,BH$4,FALSE)*1</f>
        <v>0</v>
      </c>
      <c r="BI19" s="2167">
        <f t="shared" si="35"/>
        <v>0</v>
      </c>
      <c r="BJ19" s="2167">
        <f>-VLOOKUP("HEMAINH",RawData,BJ$4,FALSE)*1</f>
        <v>0</v>
      </c>
      <c r="BK19" s="2167">
        <f>-VLOOKUP("HEMAINH",RawData,BK$4,FALSE)*1</f>
        <v>0</v>
      </c>
      <c r="BL19" s="2167">
        <f>-VLOOKUP("HEMAINH",RawData,BL$4,FALSE)*1</f>
        <v>0</v>
      </c>
      <c r="BM19" s="2167">
        <f>-VLOOKUP($B19,RawData,BM$4,FALSE)*3.6</f>
        <v>0</v>
      </c>
      <c r="BN19" s="2167">
        <f>(VLOOKUP("HEMAINH",RawData,BN$4,FALSE)-SUM(VLOOKUP("HEMAINH",RawData,MATCH("HEATPUMP",RawDataHeadings,0),FALSE),VLOOKUP("HEMAINH",RawData,MATCH("BOILER",RawDataHeadings,0),FALSE),VLOOKUP("HEMAINH",RawData,MATCH("CHEMHEAT",RawDataHeadings,0),FALSE)))*1</f>
        <v>0</v>
      </c>
      <c r="BO19" s="2170">
        <v>0</v>
      </c>
      <c r="BP19" s="2168">
        <f t="shared" ca="1" si="8"/>
        <v>0</v>
      </c>
      <c r="BQ19" s="910"/>
      <c r="CA19" s="555" t="s">
        <v>968</v>
      </c>
      <c r="CB19" s="20" t="s">
        <v>2477</v>
      </c>
      <c r="CC19" s="20" t="s">
        <v>2478</v>
      </c>
      <c r="CD19" s="20" t="s">
        <v>2479</v>
      </c>
      <c r="CE19" s="20" t="s">
        <v>2480</v>
      </c>
      <c r="CF19" s="20" t="s">
        <v>2481</v>
      </c>
      <c r="CG19" s="20" t="s">
        <v>2482</v>
      </c>
      <c r="CH19" s="20" t="s">
        <v>2483</v>
      </c>
      <c r="CI19" s="20" t="s">
        <v>2484</v>
      </c>
      <c r="CJ19" s="20" t="s">
        <v>2485</v>
      </c>
      <c r="CK19" s="20" t="s">
        <v>2486</v>
      </c>
      <c r="CL19" s="20" t="s">
        <v>2487</v>
      </c>
      <c r="CM19" s="20" t="s">
        <v>2488</v>
      </c>
      <c r="CN19" s="20" t="s">
        <v>2489</v>
      </c>
      <c r="CO19" s="20" t="s">
        <v>2490</v>
      </c>
      <c r="CP19" s="20">
        <v>0</v>
      </c>
      <c r="CQ19" s="20" t="s">
        <v>2491</v>
      </c>
      <c r="CR19" s="20" t="s">
        <v>2492</v>
      </c>
      <c r="CS19" s="20" t="s">
        <v>2493</v>
      </c>
      <c r="CT19" s="20" t="s">
        <v>2494</v>
      </c>
      <c r="CU19" s="20" t="s">
        <v>2495</v>
      </c>
      <c r="CV19" s="20" t="s">
        <v>2496</v>
      </c>
      <c r="CW19" s="20" t="s">
        <v>2497</v>
      </c>
      <c r="CX19" s="20" t="s">
        <v>2498</v>
      </c>
      <c r="CY19" s="20" t="s">
        <v>2499</v>
      </c>
      <c r="CZ19" s="20" t="s">
        <v>2500</v>
      </c>
      <c r="DA19" s="20" t="s">
        <v>2501</v>
      </c>
      <c r="DB19" s="20" t="s">
        <v>2502</v>
      </c>
      <c r="DC19" s="20" t="s">
        <v>2503</v>
      </c>
      <c r="DD19" s="20" t="s">
        <v>2504</v>
      </c>
      <c r="DE19" s="20" t="s">
        <v>2505</v>
      </c>
      <c r="DF19" s="20" t="s">
        <v>2506</v>
      </c>
      <c r="DG19" s="20" t="s">
        <v>2507</v>
      </c>
      <c r="DH19" s="20" t="s">
        <v>2508</v>
      </c>
      <c r="DI19" s="20" t="s">
        <v>2509</v>
      </c>
      <c r="DJ19" s="20" t="s">
        <v>2510</v>
      </c>
      <c r="DK19" s="20" t="s">
        <v>2511</v>
      </c>
      <c r="DL19" s="20" t="s">
        <v>2512</v>
      </c>
      <c r="DM19" s="20" t="s">
        <v>2513</v>
      </c>
      <c r="DN19" s="20" t="s">
        <v>2514</v>
      </c>
      <c r="DO19" s="20" t="s">
        <v>2515</v>
      </c>
      <c r="DP19" s="20" t="s">
        <v>2516</v>
      </c>
      <c r="DQ19" s="20" t="s">
        <v>2517</v>
      </c>
      <c r="DR19" s="20" t="s">
        <v>2518</v>
      </c>
      <c r="DS19" s="20" t="s">
        <v>2519</v>
      </c>
      <c r="DT19" s="20" t="s">
        <v>2520</v>
      </c>
      <c r="DU19" s="20" t="s">
        <v>2521</v>
      </c>
      <c r="DV19" s="20" t="s">
        <v>2522</v>
      </c>
      <c r="DW19" s="20" t="s">
        <v>2523</v>
      </c>
      <c r="DX19" s="20" t="s">
        <v>2524</v>
      </c>
      <c r="DY19" s="20" t="s">
        <v>2525</v>
      </c>
      <c r="DZ19" s="20" t="s">
        <v>2526</v>
      </c>
      <c r="EA19" s="20" t="s">
        <v>2527</v>
      </c>
      <c r="EB19" s="20" t="s">
        <v>2528</v>
      </c>
      <c r="EC19" s="20" t="s">
        <v>2529</v>
      </c>
      <c r="ED19" s="20" t="s">
        <v>2530</v>
      </c>
      <c r="EE19" s="20" t="s">
        <v>2531</v>
      </c>
      <c r="EF19" s="20" t="s">
        <v>2532</v>
      </c>
      <c r="EG19" s="20" t="s">
        <v>2533</v>
      </c>
      <c r="EH19" s="20" t="s">
        <v>2534</v>
      </c>
      <c r="EI19" s="20" t="s">
        <v>2535</v>
      </c>
      <c r="EJ19" s="20" t="s">
        <v>2536</v>
      </c>
      <c r="EK19" s="20" t="s">
        <v>2537</v>
      </c>
      <c r="EL19" s="20">
        <v>0</v>
      </c>
    </row>
    <row r="20" spans="1:142" s="20" customFormat="1" ht="11.25" x14ac:dyDescent="0.2">
      <c r="A20" s="557" t="str">
        <f>AUTOHEAT</f>
        <v>Autoproducer heat plants</v>
      </c>
      <c r="B20" s="230" t="s">
        <v>975</v>
      </c>
      <c r="C20" s="230" t="s">
        <v>1651</v>
      </c>
      <c r="D20" s="221">
        <f t="shared" si="23"/>
        <v>14</v>
      </c>
      <c r="E20" s="2169">
        <f t="shared" ca="1" si="24"/>
        <v>0</v>
      </c>
      <c r="F20" s="2169">
        <f t="shared" ca="1" si="24"/>
        <v>0</v>
      </c>
      <c r="G20" s="2169">
        <f t="shared" ca="1" si="24"/>
        <v>0</v>
      </c>
      <c r="H20" s="2169">
        <f t="shared" ca="1" si="24"/>
        <v>0</v>
      </c>
      <c r="I20" s="2169">
        <f t="shared" ca="1" si="24"/>
        <v>0</v>
      </c>
      <c r="J20" s="2169">
        <f t="shared" ca="1" si="24"/>
        <v>0</v>
      </c>
      <c r="K20" s="2169">
        <f t="shared" ca="1" si="24"/>
        <v>0</v>
      </c>
      <c r="L20" s="2169">
        <f t="shared" ca="1" si="24"/>
        <v>0</v>
      </c>
      <c r="M20" s="2169">
        <f t="shared" ca="1" si="24"/>
        <v>0</v>
      </c>
      <c r="N20" s="2169">
        <f t="shared" ca="1" si="24"/>
        <v>0</v>
      </c>
      <c r="O20" s="2169">
        <f t="shared" ca="1" si="25"/>
        <v>0</v>
      </c>
      <c r="P20" s="2169">
        <f t="shared" ca="1" si="25"/>
        <v>0</v>
      </c>
      <c r="Q20" s="2169">
        <f t="shared" ca="1" si="25"/>
        <v>0</v>
      </c>
      <c r="R20" s="2169">
        <f t="shared" ca="1" si="25"/>
        <v>0</v>
      </c>
      <c r="S20" s="2170">
        <v>0</v>
      </c>
      <c r="T20" s="2169">
        <f t="shared" ca="1" si="26"/>
        <v>0</v>
      </c>
      <c r="U20" s="2169">
        <f t="shared" ca="1" si="26"/>
        <v>0</v>
      </c>
      <c r="V20" s="2169">
        <f t="shared" ca="1" si="26"/>
        <v>0</v>
      </c>
      <c r="W20" s="2161">
        <f t="shared" ca="1" si="27"/>
        <v>0</v>
      </c>
      <c r="X20" s="2161">
        <f t="shared" ca="1" si="27"/>
        <v>0</v>
      </c>
      <c r="Y20" s="2161">
        <f t="shared" ca="1" si="27"/>
        <v>0</v>
      </c>
      <c r="Z20" s="2161">
        <f t="shared" ca="1" si="27"/>
        <v>0</v>
      </c>
      <c r="AA20" s="2161">
        <f t="shared" ca="1" si="27"/>
        <v>0</v>
      </c>
      <c r="AB20" s="2161">
        <f t="shared" ca="1" si="27"/>
        <v>0</v>
      </c>
      <c r="AC20" s="2161">
        <f t="shared" ca="1" si="27"/>
        <v>0</v>
      </c>
      <c r="AD20" s="2161">
        <f t="shared" ca="1" si="27"/>
        <v>0</v>
      </c>
      <c r="AE20" s="2161">
        <f t="shared" ca="1" si="27"/>
        <v>0</v>
      </c>
      <c r="AF20" s="2161">
        <f t="shared" ca="1" si="27"/>
        <v>0</v>
      </c>
      <c r="AG20" s="2161">
        <f t="shared" ca="1" si="28"/>
        <v>0</v>
      </c>
      <c r="AH20" s="2161">
        <f t="shared" ca="1" si="28"/>
        <v>0</v>
      </c>
      <c r="AI20" s="2161">
        <f t="shared" ca="1" si="28"/>
        <v>0</v>
      </c>
      <c r="AJ20" s="2161">
        <f t="shared" ca="1" si="28"/>
        <v>0</v>
      </c>
      <c r="AK20" s="2161">
        <f t="shared" ca="1" si="28"/>
        <v>0</v>
      </c>
      <c r="AL20" s="2161">
        <f t="shared" ca="1" si="28"/>
        <v>0</v>
      </c>
      <c r="AM20" s="2161">
        <f t="shared" ca="1" si="28"/>
        <v>0</v>
      </c>
      <c r="AN20" s="2161">
        <f t="shared" ca="1" si="28"/>
        <v>0</v>
      </c>
      <c r="AO20" s="2161">
        <f t="shared" ca="1" si="28"/>
        <v>0</v>
      </c>
      <c r="AP20" s="2161">
        <f t="shared" ca="1" si="28"/>
        <v>0</v>
      </c>
      <c r="AQ20" s="2161">
        <f t="shared" ca="1" si="28"/>
        <v>0</v>
      </c>
      <c r="AR20" s="2171">
        <f t="shared" ca="1" si="28"/>
        <v>0</v>
      </c>
      <c r="AS20" s="2172">
        <f t="shared" ca="1" si="29"/>
        <v>0</v>
      </c>
      <c r="AT20" s="2173">
        <f t="shared" si="30"/>
        <v>0</v>
      </c>
      <c r="AU20" s="2173">
        <f t="shared" si="30"/>
        <v>0</v>
      </c>
      <c r="AV20" s="2173">
        <f t="shared" si="30"/>
        <v>0</v>
      </c>
      <c r="AW20" s="2173">
        <f t="shared" si="30"/>
        <v>0</v>
      </c>
      <c r="AX20" s="2173">
        <f t="shared" si="30"/>
        <v>0</v>
      </c>
      <c r="AY20" s="2173">
        <f t="shared" ca="1" si="31"/>
        <v>0</v>
      </c>
      <c r="AZ20" s="2173">
        <f t="shared" ca="1" si="31"/>
        <v>0</v>
      </c>
      <c r="BA20" s="2173">
        <f t="shared" ca="1" si="31"/>
        <v>0</v>
      </c>
      <c r="BB20" s="2173">
        <f t="shared" ca="1" si="31"/>
        <v>0</v>
      </c>
      <c r="BC20" s="2173">
        <f t="shared" si="32"/>
        <v>0</v>
      </c>
      <c r="BD20" s="2174">
        <f t="shared" ca="1" si="33"/>
        <v>0</v>
      </c>
      <c r="BE20" s="2167">
        <f>-VLOOKUP("HEAUTOH",RawData,BE$4,FALSE)*1</f>
        <v>0</v>
      </c>
      <c r="BF20" s="2167">
        <f>-VLOOKUP("HEAUTOH",RawData,BF$4,FALSE)*1</f>
        <v>0</v>
      </c>
      <c r="BG20" s="2167">
        <f t="shared" si="34"/>
        <v>0</v>
      </c>
      <c r="BH20" s="2167">
        <f>-VLOOKUP("HEAUTOH",RawData,BH$4,FALSE)*1</f>
        <v>0</v>
      </c>
      <c r="BI20" s="2167">
        <f t="shared" si="35"/>
        <v>0</v>
      </c>
      <c r="BJ20" s="2167">
        <f>-VLOOKUP("HEAUTOH",RawData,BJ$4,FALSE)*1</f>
        <v>0</v>
      </c>
      <c r="BK20" s="2167">
        <f>-VLOOKUP("HEAUTOH",RawData,BK$4,FALSE)*1</f>
        <v>0</v>
      </c>
      <c r="BL20" s="2167">
        <f>-VLOOKUP("HEAUTOH",RawData,BL$4,FALSE)*1</f>
        <v>0</v>
      </c>
      <c r="BM20" s="2167">
        <f>-VLOOKUP($B20,RawData,BM$4,FALSE)*3.6</f>
        <v>0</v>
      </c>
      <c r="BN20" s="2167">
        <f>(VLOOKUP("HEAUTOH",RawData,BN$4,FALSE)-SUM(VLOOKUP("HEAUTOH",RawData,MATCH("HEATPUMP",RawDataHeadings,0),FALSE),VLOOKUP("HEAUTOH",RawData,MATCH("BOILER",RawDataHeadings,0),FALSE),VLOOKUP("HEAUTOH",RawData,MATCH("CHEMHEAT",RawDataHeadings,0),FALSE)))*1</f>
        <v>0</v>
      </c>
      <c r="BO20" s="2170">
        <v>0</v>
      </c>
      <c r="BP20" s="2168">
        <f t="shared" ca="1" si="8"/>
        <v>0</v>
      </c>
      <c r="BQ20" s="910"/>
      <c r="CA20" s="555" t="s">
        <v>975</v>
      </c>
      <c r="CB20" s="20" t="s">
        <v>2538</v>
      </c>
      <c r="CC20" s="20" t="s">
        <v>2539</v>
      </c>
      <c r="CD20" s="20" t="s">
        <v>2540</v>
      </c>
      <c r="CE20" s="20" t="s">
        <v>2541</v>
      </c>
      <c r="CF20" s="20" t="s">
        <v>2542</v>
      </c>
      <c r="CG20" s="20" t="s">
        <v>2543</v>
      </c>
      <c r="CH20" s="20" t="s">
        <v>2544</v>
      </c>
      <c r="CI20" s="20" t="s">
        <v>2545</v>
      </c>
      <c r="CJ20" s="20" t="s">
        <v>2546</v>
      </c>
      <c r="CK20" s="20" t="s">
        <v>2547</v>
      </c>
      <c r="CL20" s="20" t="s">
        <v>2548</v>
      </c>
      <c r="CM20" s="20" t="s">
        <v>2549</v>
      </c>
      <c r="CN20" s="20" t="s">
        <v>2550</v>
      </c>
      <c r="CO20" s="20" t="s">
        <v>2551</v>
      </c>
      <c r="CP20" s="20">
        <v>0</v>
      </c>
      <c r="CQ20" s="20" t="s">
        <v>2552</v>
      </c>
      <c r="CR20" s="20" t="s">
        <v>2553</v>
      </c>
      <c r="CS20" s="20" t="s">
        <v>2554</v>
      </c>
      <c r="CT20" s="20" t="s">
        <v>2555</v>
      </c>
      <c r="CU20" s="20" t="s">
        <v>2556</v>
      </c>
      <c r="CV20" s="20" t="s">
        <v>2557</v>
      </c>
      <c r="CW20" s="20" t="s">
        <v>2558</v>
      </c>
      <c r="CX20" s="20" t="s">
        <v>2559</v>
      </c>
      <c r="CY20" s="20" t="s">
        <v>2560</v>
      </c>
      <c r="CZ20" s="20" t="s">
        <v>2561</v>
      </c>
      <c r="DA20" s="20" t="s">
        <v>2562</v>
      </c>
      <c r="DB20" s="20" t="s">
        <v>2563</v>
      </c>
      <c r="DC20" s="20" t="s">
        <v>2564</v>
      </c>
      <c r="DD20" s="20" t="s">
        <v>2565</v>
      </c>
      <c r="DE20" s="20" t="s">
        <v>2566</v>
      </c>
      <c r="DF20" s="20" t="s">
        <v>2567</v>
      </c>
      <c r="DG20" s="20" t="s">
        <v>2568</v>
      </c>
      <c r="DH20" s="20" t="s">
        <v>2569</v>
      </c>
      <c r="DI20" s="20" t="s">
        <v>2570</v>
      </c>
      <c r="DJ20" s="20" t="s">
        <v>2571</v>
      </c>
      <c r="DK20" s="20" t="s">
        <v>2572</v>
      </c>
      <c r="DL20" s="20" t="s">
        <v>2573</v>
      </c>
      <c r="DM20" s="20" t="s">
        <v>2574</v>
      </c>
      <c r="DN20" s="20" t="s">
        <v>2575</v>
      </c>
      <c r="DO20" s="20" t="s">
        <v>2576</v>
      </c>
      <c r="DP20" s="20" t="s">
        <v>2577</v>
      </c>
      <c r="DQ20" s="20" t="s">
        <v>2578</v>
      </c>
      <c r="DR20" s="20" t="s">
        <v>2579</v>
      </c>
      <c r="DS20" s="20" t="s">
        <v>2580</v>
      </c>
      <c r="DT20" s="20" t="s">
        <v>2581</v>
      </c>
      <c r="DU20" s="20" t="s">
        <v>2582</v>
      </c>
      <c r="DV20" s="20" t="s">
        <v>2583</v>
      </c>
      <c r="DW20" s="20" t="s">
        <v>2584</v>
      </c>
      <c r="DX20" s="20" t="s">
        <v>2585</v>
      </c>
      <c r="DY20" s="20" t="s">
        <v>2586</v>
      </c>
      <c r="DZ20" s="20" t="s">
        <v>2587</v>
      </c>
      <c r="EA20" s="20" t="s">
        <v>2588</v>
      </c>
      <c r="EB20" s="20" t="s">
        <v>2589</v>
      </c>
      <c r="EC20" s="20" t="s">
        <v>2590</v>
      </c>
      <c r="ED20" s="20" t="s">
        <v>2591</v>
      </c>
      <c r="EE20" s="20" t="s">
        <v>2592</v>
      </c>
      <c r="EF20" s="20" t="s">
        <v>2593</v>
      </c>
      <c r="EG20" s="20" t="s">
        <v>2594</v>
      </c>
      <c r="EH20" s="20" t="s">
        <v>2595</v>
      </c>
      <c r="EI20" s="20" t="s">
        <v>2596</v>
      </c>
      <c r="EJ20" s="20" t="s">
        <v>2597</v>
      </c>
      <c r="EK20" s="20" t="s">
        <v>2598</v>
      </c>
      <c r="EL20" s="20">
        <v>0</v>
      </c>
    </row>
    <row r="21" spans="1:142" s="20" customFormat="1" ht="11.25" x14ac:dyDescent="0.2">
      <c r="A21" s="557" t="str">
        <f>THEAT</f>
        <v>Heat pumps</v>
      </c>
      <c r="B21" s="230" t="s">
        <v>982</v>
      </c>
      <c r="C21" s="230" t="s">
        <v>1653</v>
      </c>
      <c r="D21" s="221">
        <f t="shared" si="23"/>
        <v>16</v>
      </c>
      <c r="E21" s="2169">
        <f t="shared" ca="1" si="24"/>
        <v>0</v>
      </c>
      <c r="F21" s="2169">
        <f t="shared" ca="1" si="24"/>
        <v>0</v>
      </c>
      <c r="G21" s="2169">
        <f t="shared" ca="1" si="24"/>
        <v>0</v>
      </c>
      <c r="H21" s="2169">
        <f t="shared" ca="1" si="24"/>
        <v>0</v>
      </c>
      <c r="I21" s="2169">
        <f t="shared" ca="1" si="24"/>
        <v>0</v>
      </c>
      <c r="J21" s="2169">
        <f t="shared" ca="1" si="24"/>
        <v>0</v>
      </c>
      <c r="K21" s="2169">
        <f t="shared" ca="1" si="24"/>
        <v>0</v>
      </c>
      <c r="L21" s="2169">
        <f t="shared" ca="1" si="24"/>
        <v>0</v>
      </c>
      <c r="M21" s="2169">
        <f t="shared" ca="1" si="24"/>
        <v>0</v>
      </c>
      <c r="N21" s="2169">
        <f t="shared" ca="1" si="24"/>
        <v>0</v>
      </c>
      <c r="O21" s="2169">
        <f t="shared" ca="1" si="25"/>
        <v>0</v>
      </c>
      <c r="P21" s="2169">
        <f t="shared" ca="1" si="25"/>
        <v>0</v>
      </c>
      <c r="Q21" s="2169">
        <f t="shared" ca="1" si="25"/>
        <v>0</v>
      </c>
      <c r="R21" s="2169">
        <f t="shared" ca="1" si="25"/>
        <v>0</v>
      </c>
      <c r="S21" s="2170">
        <v>0</v>
      </c>
      <c r="T21" s="2169">
        <f t="shared" ca="1" si="26"/>
        <v>0</v>
      </c>
      <c r="U21" s="2169">
        <f t="shared" ca="1" si="26"/>
        <v>0</v>
      </c>
      <c r="V21" s="2169">
        <f t="shared" ca="1" si="26"/>
        <v>0</v>
      </c>
      <c r="W21" s="2161">
        <f t="shared" ca="1" si="27"/>
        <v>0</v>
      </c>
      <c r="X21" s="2161">
        <f t="shared" ca="1" si="27"/>
        <v>0</v>
      </c>
      <c r="Y21" s="2161">
        <f t="shared" ca="1" si="27"/>
        <v>0</v>
      </c>
      <c r="Z21" s="2161">
        <f t="shared" ca="1" si="27"/>
        <v>0</v>
      </c>
      <c r="AA21" s="2161">
        <f t="shared" ca="1" si="27"/>
        <v>0</v>
      </c>
      <c r="AB21" s="2161">
        <f t="shared" ca="1" si="27"/>
        <v>0</v>
      </c>
      <c r="AC21" s="2161">
        <f t="shared" ca="1" si="27"/>
        <v>0</v>
      </c>
      <c r="AD21" s="2161">
        <f t="shared" ca="1" si="27"/>
        <v>0</v>
      </c>
      <c r="AE21" s="2161">
        <f t="shared" ca="1" si="27"/>
        <v>0</v>
      </c>
      <c r="AF21" s="2161">
        <f t="shared" ca="1" si="27"/>
        <v>0</v>
      </c>
      <c r="AG21" s="2161">
        <f t="shared" ca="1" si="28"/>
        <v>0</v>
      </c>
      <c r="AH21" s="2161">
        <f t="shared" ca="1" si="28"/>
        <v>0</v>
      </c>
      <c r="AI21" s="2161">
        <f t="shared" ca="1" si="28"/>
        <v>0</v>
      </c>
      <c r="AJ21" s="2161">
        <f t="shared" ca="1" si="28"/>
        <v>0</v>
      </c>
      <c r="AK21" s="2161">
        <f t="shared" ca="1" si="28"/>
        <v>0</v>
      </c>
      <c r="AL21" s="2161">
        <f t="shared" ca="1" si="28"/>
        <v>0</v>
      </c>
      <c r="AM21" s="2161">
        <f t="shared" ca="1" si="28"/>
        <v>0</v>
      </c>
      <c r="AN21" s="2161">
        <f t="shared" ca="1" si="28"/>
        <v>0</v>
      </c>
      <c r="AO21" s="2161">
        <f t="shared" ca="1" si="28"/>
        <v>0</v>
      </c>
      <c r="AP21" s="2161">
        <f t="shared" ca="1" si="28"/>
        <v>0</v>
      </c>
      <c r="AQ21" s="2161">
        <f t="shared" ca="1" si="28"/>
        <v>0</v>
      </c>
      <c r="AR21" s="2171">
        <f t="shared" ca="1" si="28"/>
        <v>0</v>
      </c>
      <c r="AS21" s="2172">
        <f t="shared" ca="1" si="29"/>
        <v>0</v>
      </c>
      <c r="AT21" s="2173">
        <f t="shared" si="30"/>
        <v>0</v>
      </c>
      <c r="AU21" s="2173">
        <f t="shared" si="30"/>
        <v>0</v>
      </c>
      <c r="AV21" s="2173">
        <f t="shared" si="30"/>
        <v>0</v>
      </c>
      <c r="AW21" s="2173">
        <f t="shared" si="30"/>
        <v>0</v>
      </c>
      <c r="AX21" s="2173">
        <f t="shared" si="30"/>
        <v>0</v>
      </c>
      <c r="AY21" s="2173">
        <f t="shared" ca="1" si="31"/>
        <v>0</v>
      </c>
      <c r="AZ21" s="2173">
        <f t="shared" ca="1" si="31"/>
        <v>0</v>
      </c>
      <c r="BA21" s="2173">
        <f t="shared" ca="1" si="31"/>
        <v>0</v>
      </c>
      <c r="BB21" s="2173">
        <f t="shared" ca="1" si="31"/>
        <v>0</v>
      </c>
      <c r="BC21" s="2173">
        <f t="shared" si="32"/>
        <v>0</v>
      </c>
      <c r="BD21" s="2174">
        <f t="shared" ca="1" si="33"/>
        <v>0</v>
      </c>
      <c r="BE21" s="2167">
        <v>0</v>
      </c>
      <c r="BF21" s="2167">
        <v>0</v>
      </c>
      <c r="BG21" s="2167">
        <f t="shared" si="34"/>
        <v>0</v>
      </c>
      <c r="BH21" s="2167">
        <v>0</v>
      </c>
      <c r="BI21" s="2167">
        <f t="shared" si="35"/>
        <v>0</v>
      </c>
      <c r="BJ21" s="2167">
        <v>0</v>
      </c>
      <c r="BK21" s="2167">
        <v>0</v>
      </c>
      <c r="BL21" s="2167">
        <v>0</v>
      </c>
      <c r="BM21" s="2167">
        <f>-VLOOKUP($B21,RawData,BM$4,FALSE)*3.6</f>
        <v>0</v>
      </c>
      <c r="BN21" s="2167">
        <f>VLOOKUP($B21,RawData,MATCH("ELECTR",RawDataHeadings,0),FALSE)*3.6</f>
        <v>0</v>
      </c>
      <c r="BO21" s="2158">
        <v>0</v>
      </c>
      <c r="BP21" s="2168">
        <f t="shared" ca="1" si="8"/>
        <v>0</v>
      </c>
      <c r="BQ21" s="910"/>
      <c r="CA21" s="555" t="s">
        <v>982</v>
      </c>
      <c r="CB21" s="20" t="s">
        <v>2599</v>
      </c>
      <c r="CC21" s="20" t="s">
        <v>2600</v>
      </c>
      <c r="CD21" s="20" t="s">
        <v>2601</v>
      </c>
      <c r="CE21" s="20" t="s">
        <v>2602</v>
      </c>
      <c r="CF21" s="20" t="s">
        <v>2603</v>
      </c>
      <c r="CG21" s="20" t="s">
        <v>2604</v>
      </c>
      <c r="CH21" s="20" t="s">
        <v>2605</v>
      </c>
      <c r="CI21" s="20" t="s">
        <v>2606</v>
      </c>
      <c r="CJ21" s="20" t="s">
        <v>2607</v>
      </c>
      <c r="CK21" s="20" t="s">
        <v>2608</v>
      </c>
      <c r="CL21" s="20" t="s">
        <v>2609</v>
      </c>
      <c r="CM21" s="20" t="s">
        <v>2610</v>
      </c>
      <c r="CN21" s="20" t="s">
        <v>2611</v>
      </c>
      <c r="CO21" s="20" t="s">
        <v>2612</v>
      </c>
      <c r="CP21" s="20">
        <v>0</v>
      </c>
      <c r="CQ21" s="20" t="s">
        <v>2613</v>
      </c>
      <c r="CR21" s="20" t="s">
        <v>2614</v>
      </c>
      <c r="CS21" s="20" t="s">
        <v>2615</v>
      </c>
      <c r="CT21" s="20" t="s">
        <v>2616</v>
      </c>
      <c r="CU21" s="20" t="s">
        <v>2617</v>
      </c>
      <c r="CV21" s="20" t="s">
        <v>2618</v>
      </c>
      <c r="CW21" s="20" t="s">
        <v>2619</v>
      </c>
      <c r="CX21" s="20" t="s">
        <v>2620</v>
      </c>
      <c r="CY21" s="20" t="s">
        <v>2621</v>
      </c>
      <c r="CZ21" s="20" t="s">
        <v>2622</v>
      </c>
      <c r="DA21" s="20" t="s">
        <v>2623</v>
      </c>
      <c r="DB21" s="20" t="s">
        <v>2624</v>
      </c>
      <c r="DC21" s="20" t="s">
        <v>2625</v>
      </c>
      <c r="DD21" s="20" t="s">
        <v>2626</v>
      </c>
      <c r="DE21" s="20" t="s">
        <v>2627</v>
      </c>
      <c r="DF21" s="20" t="s">
        <v>2628</v>
      </c>
      <c r="DG21" s="20" t="s">
        <v>2629</v>
      </c>
      <c r="DH21" s="20" t="s">
        <v>2630</v>
      </c>
      <c r="DI21" s="20" t="s">
        <v>2631</v>
      </c>
      <c r="DJ21" s="20" t="s">
        <v>2632</v>
      </c>
      <c r="DK21" s="20" t="s">
        <v>2633</v>
      </c>
      <c r="DL21" s="20" t="s">
        <v>2634</v>
      </c>
      <c r="DM21" s="20" t="s">
        <v>2635</v>
      </c>
      <c r="DN21" s="20" t="s">
        <v>2636</v>
      </c>
      <c r="DO21" s="20" t="s">
        <v>2637</v>
      </c>
      <c r="DP21" s="20" t="s">
        <v>2638</v>
      </c>
      <c r="DQ21" s="20" t="s">
        <v>2639</v>
      </c>
      <c r="DR21" s="20" t="s">
        <v>2640</v>
      </c>
      <c r="DS21" s="20" t="s">
        <v>2641</v>
      </c>
      <c r="DT21" s="20" t="s">
        <v>2642</v>
      </c>
      <c r="DU21" s="20" t="s">
        <v>2643</v>
      </c>
      <c r="DV21" s="20" t="s">
        <v>2644</v>
      </c>
      <c r="DW21" s="20" t="s">
        <v>2645</v>
      </c>
      <c r="DX21" s="20" t="s">
        <v>2646</v>
      </c>
      <c r="DY21" s="20" t="s">
        <v>2647</v>
      </c>
      <c r="DZ21" s="20" t="s">
        <v>2648</v>
      </c>
      <c r="EA21" s="20" t="s">
        <v>2649</v>
      </c>
      <c r="EB21" s="20">
        <v>0</v>
      </c>
      <c r="EC21" s="20">
        <v>0</v>
      </c>
      <c r="ED21" s="20" t="s">
        <v>2650</v>
      </c>
      <c r="EE21" s="20">
        <v>0</v>
      </c>
      <c r="EF21" s="20" t="s">
        <v>2651</v>
      </c>
      <c r="EG21" s="20">
        <v>0</v>
      </c>
      <c r="EH21" s="20">
        <v>0</v>
      </c>
      <c r="EI21" s="20">
        <v>0</v>
      </c>
      <c r="EJ21" s="20" t="s">
        <v>2652</v>
      </c>
      <c r="EK21" s="20" t="s">
        <v>2653</v>
      </c>
      <c r="EL21" s="20">
        <v>0</v>
      </c>
    </row>
    <row r="22" spans="1:142" s="20" customFormat="1" ht="11.25" x14ac:dyDescent="0.2">
      <c r="A22" s="557" t="str">
        <f>TBOILER</f>
        <v>Electric boilers</v>
      </c>
      <c r="B22" s="230" t="s">
        <v>986</v>
      </c>
      <c r="C22" s="230" t="s">
        <v>1653</v>
      </c>
      <c r="D22" s="221">
        <f t="shared" si="23"/>
        <v>16</v>
      </c>
      <c r="E22" s="2169">
        <f t="shared" ca="1" si="24"/>
        <v>0</v>
      </c>
      <c r="F22" s="2169">
        <f t="shared" ca="1" si="24"/>
        <v>0</v>
      </c>
      <c r="G22" s="2169">
        <f t="shared" ca="1" si="24"/>
        <v>0</v>
      </c>
      <c r="H22" s="2169">
        <f t="shared" ca="1" si="24"/>
        <v>0</v>
      </c>
      <c r="I22" s="2169">
        <f t="shared" ca="1" si="24"/>
        <v>0</v>
      </c>
      <c r="J22" s="2169">
        <f t="shared" ca="1" si="24"/>
        <v>0</v>
      </c>
      <c r="K22" s="2169">
        <f t="shared" ca="1" si="24"/>
        <v>0</v>
      </c>
      <c r="L22" s="2169">
        <f t="shared" ca="1" si="24"/>
        <v>0</v>
      </c>
      <c r="M22" s="2169">
        <f t="shared" ca="1" si="24"/>
        <v>0</v>
      </c>
      <c r="N22" s="2169">
        <f t="shared" ca="1" si="24"/>
        <v>0</v>
      </c>
      <c r="O22" s="2169">
        <f t="shared" ca="1" si="25"/>
        <v>0</v>
      </c>
      <c r="P22" s="2169">
        <f t="shared" ca="1" si="25"/>
        <v>0</v>
      </c>
      <c r="Q22" s="2169">
        <f t="shared" ca="1" si="25"/>
        <v>0</v>
      </c>
      <c r="R22" s="2169">
        <f t="shared" ca="1" si="25"/>
        <v>0</v>
      </c>
      <c r="S22" s="2170">
        <v>0</v>
      </c>
      <c r="T22" s="2169">
        <f t="shared" ca="1" si="26"/>
        <v>0</v>
      </c>
      <c r="U22" s="2169">
        <f t="shared" ca="1" si="26"/>
        <v>0</v>
      </c>
      <c r="V22" s="2169">
        <f t="shared" ca="1" si="26"/>
        <v>0</v>
      </c>
      <c r="W22" s="2161">
        <f t="shared" ca="1" si="27"/>
        <v>0</v>
      </c>
      <c r="X22" s="2161">
        <f t="shared" ca="1" si="27"/>
        <v>0</v>
      </c>
      <c r="Y22" s="2161">
        <f t="shared" ca="1" si="27"/>
        <v>0</v>
      </c>
      <c r="Z22" s="2161">
        <f t="shared" ca="1" si="27"/>
        <v>0</v>
      </c>
      <c r="AA22" s="2161">
        <f t="shared" ca="1" si="27"/>
        <v>0</v>
      </c>
      <c r="AB22" s="2161">
        <f t="shared" ca="1" si="27"/>
        <v>0</v>
      </c>
      <c r="AC22" s="2161">
        <f t="shared" ca="1" si="27"/>
        <v>0</v>
      </c>
      <c r="AD22" s="2161">
        <f t="shared" ca="1" si="27"/>
        <v>0</v>
      </c>
      <c r="AE22" s="2161">
        <f t="shared" ca="1" si="27"/>
        <v>0</v>
      </c>
      <c r="AF22" s="2161">
        <f t="shared" ca="1" si="27"/>
        <v>0</v>
      </c>
      <c r="AG22" s="2161">
        <f t="shared" ca="1" si="28"/>
        <v>0</v>
      </c>
      <c r="AH22" s="2161">
        <f t="shared" ca="1" si="28"/>
        <v>0</v>
      </c>
      <c r="AI22" s="2161">
        <f t="shared" ca="1" si="28"/>
        <v>0</v>
      </c>
      <c r="AJ22" s="2161">
        <f t="shared" ca="1" si="28"/>
        <v>0</v>
      </c>
      <c r="AK22" s="2161">
        <f t="shared" ca="1" si="28"/>
        <v>0</v>
      </c>
      <c r="AL22" s="2161">
        <f t="shared" ca="1" si="28"/>
        <v>0</v>
      </c>
      <c r="AM22" s="2161">
        <f t="shared" ca="1" si="28"/>
        <v>0</v>
      </c>
      <c r="AN22" s="2161">
        <f t="shared" ca="1" si="28"/>
        <v>0</v>
      </c>
      <c r="AO22" s="2161">
        <f t="shared" ca="1" si="28"/>
        <v>0</v>
      </c>
      <c r="AP22" s="2161">
        <f t="shared" ca="1" si="28"/>
        <v>0</v>
      </c>
      <c r="AQ22" s="2161">
        <f t="shared" ca="1" si="28"/>
        <v>0</v>
      </c>
      <c r="AR22" s="2171">
        <f t="shared" ca="1" si="28"/>
        <v>0</v>
      </c>
      <c r="AS22" s="2172">
        <f t="shared" ca="1" si="29"/>
        <v>0</v>
      </c>
      <c r="AT22" s="2173">
        <f t="shared" si="30"/>
        <v>0</v>
      </c>
      <c r="AU22" s="2173">
        <f t="shared" si="30"/>
        <v>0</v>
      </c>
      <c r="AV22" s="2173">
        <f t="shared" si="30"/>
        <v>0</v>
      </c>
      <c r="AW22" s="2173">
        <f t="shared" si="30"/>
        <v>0</v>
      </c>
      <c r="AX22" s="2173">
        <f t="shared" si="30"/>
        <v>0</v>
      </c>
      <c r="AY22" s="2173">
        <f t="shared" ca="1" si="31"/>
        <v>0</v>
      </c>
      <c r="AZ22" s="2173">
        <f t="shared" ca="1" si="31"/>
        <v>0</v>
      </c>
      <c r="BA22" s="2173">
        <f t="shared" ca="1" si="31"/>
        <v>0</v>
      </c>
      <c r="BB22" s="2173">
        <f t="shared" ca="1" si="31"/>
        <v>0</v>
      </c>
      <c r="BC22" s="2173">
        <f t="shared" si="32"/>
        <v>0</v>
      </c>
      <c r="BD22" s="2174">
        <f t="shared" ca="1" si="33"/>
        <v>0</v>
      </c>
      <c r="BE22" s="2167">
        <v>0</v>
      </c>
      <c r="BF22" s="2167">
        <v>0</v>
      </c>
      <c r="BG22" s="2167">
        <f t="shared" si="34"/>
        <v>0</v>
      </c>
      <c r="BH22" s="2167">
        <v>0</v>
      </c>
      <c r="BI22" s="2167">
        <f t="shared" si="35"/>
        <v>0</v>
      </c>
      <c r="BJ22" s="2167">
        <v>0</v>
      </c>
      <c r="BK22" s="2167">
        <v>0</v>
      </c>
      <c r="BL22" s="2167">
        <v>0</v>
      </c>
      <c r="BM22" s="2167">
        <f>-VLOOKUP($B22,RawData,BM$4,FALSE)*3.6</f>
        <v>0</v>
      </c>
      <c r="BN22" s="2167">
        <f>VLOOKUP("HEATOUT",RawData,MATCH("BOILER",RawDataHeadings,0),FALSE)*1</f>
        <v>0</v>
      </c>
      <c r="BO22" s="2170">
        <v>0</v>
      </c>
      <c r="BP22" s="2168">
        <f t="shared" ca="1" si="8"/>
        <v>0</v>
      </c>
      <c r="BQ22" s="648"/>
      <c r="CA22" s="555" t="s">
        <v>986</v>
      </c>
      <c r="CB22" s="20" t="s">
        <v>2654</v>
      </c>
      <c r="CC22" s="20" t="s">
        <v>2655</v>
      </c>
      <c r="CD22" s="20" t="s">
        <v>2656</v>
      </c>
      <c r="CE22" s="20" t="s">
        <v>2657</v>
      </c>
      <c r="CF22" s="20" t="s">
        <v>2658</v>
      </c>
      <c r="CG22" s="20" t="s">
        <v>2659</v>
      </c>
      <c r="CH22" s="20" t="s">
        <v>2660</v>
      </c>
      <c r="CI22" s="20" t="s">
        <v>2661</v>
      </c>
      <c r="CJ22" s="20" t="s">
        <v>2662</v>
      </c>
      <c r="CK22" s="20" t="s">
        <v>2663</v>
      </c>
      <c r="CL22" s="20" t="s">
        <v>2664</v>
      </c>
      <c r="CM22" s="20" t="s">
        <v>2665</v>
      </c>
      <c r="CN22" s="20" t="s">
        <v>2666</v>
      </c>
      <c r="CO22" s="20" t="s">
        <v>2667</v>
      </c>
      <c r="CP22" s="20">
        <v>0</v>
      </c>
      <c r="CQ22" s="20" t="s">
        <v>2668</v>
      </c>
      <c r="CR22" s="20" t="s">
        <v>2669</v>
      </c>
      <c r="CS22" s="20" t="s">
        <v>2670</v>
      </c>
      <c r="CT22" s="20" t="s">
        <v>2671</v>
      </c>
      <c r="CU22" s="20" t="s">
        <v>2672</v>
      </c>
      <c r="CV22" s="20" t="s">
        <v>2673</v>
      </c>
      <c r="CW22" s="20" t="s">
        <v>2674</v>
      </c>
      <c r="CX22" s="20" t="s">
        <v>2675</v>
      </c>
      <c r="CY22" s="20" t="s">
        <v>2676</v>
      </c>
      <c r="CZ22" s="20" t="s">
        <v>2677</v>
      </c>
      <c r="DA22" s="20" t="s">
        <v>2678</v>
      </c>
      <c r="DB22" s="20" t="s">
        <v>2679</v>
      </c>
      <c r="DC22" s="20" t="s">
        <v>2680</v>
      </c>
      <c r="DD22" s="20" t="s">
        <v>2681</v>
      </c>
      <c r="DE22" s="20" t="s">
        <v>2682</v>
      </c>
      <c r="DF22" s="20" t="s">
        <v>2683</v>
      </c>
      <c r="DG22" s="20" t="s">
        <v>2684</v>
      </c>
      <c r="DH22" s="20" t="s">
        <v>2685</v>
      </c>
      <c r="DI22" s="20" t="s">
        <v>2686</v>
      </c>
      <c r="DJ22" s="20" t="s">
        <v>2687</v>
      </c>
      <c r="DK22" s="20" t="s">
        <v>2688</v>
      </c>
      <c r="DL22" s="20" t="s">
        <v>2689</v>
      </c>
      <c r="DM22" s="20" t="s">
        <v>2690</v>
      </c>
      <c r="DN22" s="20" t="s">
        <v>2691</v>
      </c>
      <c r="DO22" s="20" t="s">
        <v>2692</v>
      </c>
      <c r="DP22" s="20" t="s">
        <v>2693</v>
      </c>
      <c r="DQ22" s="20" t="s">
        <v>2694</v>
      </c>
      <c r="DR22" s="20" t="s">
        <v>2695</v>
      </c>
      <c r="DS22" s="20" t="s">
        <v>2696</v>
      </c>
      <c r="DT22" s="20" t="s">
        <v>2697</v>
      </c>
      <c r="DU22" s="20" t="s">
        <v>2698</v>
      </c>
      <c r="DV22" s="20" t="s">
        <v>2699</v>
      </c>
      <c r="DW22" s="20" t="s">
        <v>2700</v>
      </c>
      <c r="DX22" s="20" t="s">
        <v>2701</v>
      </c>
      <c r="DY22" s="20" t="s">
        <v>2702</v>
      </c>
      <c r="DZ22" s="20" t="s">
        <v>2703</v>
      </c>
      <c r="EA22" s="20" t="s">
        <v>2704</v>
      </c>
      <c r="EB22" s="20">
        <v>0</v>
      </c>
      <c r="EC22" s="20">
        <v>0</v>
      </c>
      <c r="ED22" s="20" t="s">
        <v>2705</v>
      </c>
      <c r="EE22" s="20">
        <v>0</v>
      </c>
      <c r="EF22" s="20" t="s">
        <v>2706</v>
      </c>
      <c r="EG22" s="20">
        <v>0</v>
      </c>
      <c r="EH22" s="20">
        <v>0</v>
      </c>
      <c r="EI22" s="20">
        <v>0</v>
      </c>
      <c r="EJ22" s="20" t="s">
        <v>2707</v>
      </c>
      <c r="EK22" s="20" t="s">
        <v>2708</v>
      </c>
      <c r="EL22" s="20">
        <v>0</v>
      </c>
    </row>
    <row r="23" spans="1:142" s="20" customFormat="1" ht="11.25" x14ac:dyDescent="0.2">
      <c r="A23" s="557" t="str">
        <f>TELE</f>
        <v>Chemical heat for electricity production</v>
      </c>
      <c r="B23" s="230" t="s">
        <v>991</v>
      </c>
      <c r="C23" s="230" t="s">
        <v>1653</v>
      </c>
      <c r="D23" s="221">
        <f t="shared" si="23"/>
        <v>16</v>
      </c>
      <c r="E23" s="2169">
        <f t="shared" ca="1" si="24"/>
        <v>0</v>
      </c>
      <c r="F23" s="2169">
        <f t="shared" ca="1" si="24"/>
        <v>0</v>
      </c>
      <c r="G23" s="2169">
        <f t="shared" ca="1" si="24"/>
        <v>0</v>
      </c>
      <c r="H23" s="2169">
        <f t="shared" ca="1" si="24"/>
        <v>0</v>
      </c>
      <c r="I23" s="2169">
        <f t="shared" ca="1" si="24"/>
        <v>0</v>
      </c>
      <c r="J23" s="2169">
        <f t="shared" ca="1" si="24"/>
        <v>0</v>
      </c>
      <c r="K23" s="2169">
        <f t="shared" ca="1" si="24"/>
        <v>0</v>
      </c>
      <c r="L23" s="2169">
        <f t="shared" ca="1" si="24"/>
        <v>0</v>
      </c>
      <c r="M23" s="2169">
        <f t="shared" ca="1" si="24"/>
        <v>0</v>
      </c>
      <c r="N23" s="2169">
        <f t="shared" ca="1" si="24"/>
        <v>0</v>
      </c>
      <c r="O23" s="2169">
        <f t="shared" ca="1" si="25"/>
        <v>0</v>
      </c>
      <c r="P23" s="2169">
        <f t="shared" ca="1" si="25"/>
        <v>0</v>
      </c>
      <c r="Q23" s="2169">
        <f t="shared" ca="1" si="25"/>
        <v>0</v>
      </c>
      <c r="R23" s="2169">
        <f t="shared" ca="1" si="25"/>
        <v>0</v>
      </c>
      <c r="S23" s="2170">
        <v>0</v>
      </c>
      <c r="T23" s="2169">
        <f t="shared" ca="1" si="26"/>
        <v>0</v>
      </c>
      <c r="U23" s="2169">
        <f t="shared" ca="1" si="26"/>
        <v>0</v>
      </c>
      <c r="V23" s="2169">
        <f t="shared" ca="1" si="26"/>
        <v>0</v>
      </c>
      <c r="W23" s="2161">
        <f t="shared" ca="1" si="27"/>
        <v>0</v>
      </c>
      <c r="X23" s="2161">
        <f t="shared" ca="1" si="27"/>
        <v>0</v>
      </c>
      <c r="Y23" s="2161">
        <f t="shared" ca="1" si="27"/>
        <v>0</v>
      </c>
      <c r="Z23" s="2161">
        <f t="shared" ca="1" si="27"/>
        <v>0</v>
      </c>
      <c r="AA23" s="2161">
        <f t="shared" ca="1" si="27"/>
        <v>0</v>
      </c>
      <c r="AB23" s="2161">
        <f t="shared" ca="1" si="27"/>
        <v>0</v>
      </c>
      <c r="AC23" s="2161">
        <f t="shared" ca="1" si="27"/>
        <v>0</v>
      </c>
      <c r="AD23" s="2161">
        <f t="shared" ca="1" si="27"/>
        <v>0</v>
      </c>
      <c r="AE23" s="2161">
        <f t="shared" ca="1" si="27"/>
        <v>0</v>
      </c>
      <c r="AF23" s="2161">
        <f t="shared" ca="1" si="27"/>
        <v>0</v>
      </c>
      <c r="AG23" s="2161">
        <f t="shared" ca="1" si="28"/>
        <v>0</v>
      </c>
      <c r="AH23" s="2161">
        <f t="shared" ca="1" si="28"/>
        <v>0</v>
      </c>
      <c r="AI23" s="2161">
        <f t="shared" ca="1" si="28"/>
        <v>0</v>
      </c>
      <c r="AJ23" s="2161">
        <f t="shared" ca="1" si="28"/>
        <v>0</v>
      </c>
      <c r="AK23" s="2161">
        <f t="shared" ca="1" si="28"/>
        <v>0</v>
      </c>
      <c r="AL23" s="2161">
        <f t="shared" ca="1" si="28"/>
        <v>0</v>
      </c>
      <c r="AM23" s="2161">
        <f t="shared" ca="1" si="28"/>
        <v>0</v>
      </c>
      <c r="AN23" s="2161">
        <f t="shared" ca="1" si="28"/>
        <v>0</v>
      </c>
      <c r="AO23" s="2161">
        <f t="shared" ca="1" si="28"/>
        <v>0</v>
      </c>
      <c r="AP23" s="2161">
        <f t="shared" ca="1" si="28"/>
        <v>0</v>
      </c>
      <c r="AQ23" s="2161">
        <f t="shared" ca="1" si="28"/>
        <v>0</v>
      </c>
      <c r="AR23" s="2171">
        <f t="shared" ca="1" si="28"/>
        <v>0</v>
      </c>
      <c r="AS23" s="2172">
        <f t="shared" ca="1" si="29"/>
        <v>0</v>
      </c>
      <c r="AT23" s="2173">
        <f t="shared" si="30"/>
        <v>0</v>
      </c>
      <c r="AU23" s="2173">
        <f t="shared" si="30"/>
        <v>0</v>
      </c>
      <c r="AV23" s="2173">
        <f t="shared" si="30"/>
        <v>0</v>
      </c>
      <c r="AW23" s="2173">
        <f t="shared" si="30"/>
        <v>0</v>
      </c>
      <c r="AX23" s="2173">
        <f t="shared" si="30"/>
        <v>0</v>
      </c>
      <c r="AY23" s="2173">
        <f t="shared" ca="1" si="31"/>
        <v>0</v>
      </c>
      <c r="AZ23" s="2173">
        <f t="shared" ca="1" si="31"/>
        <v>0</v>
      </c>
      <c r="BA23" s="2173">
        <f t="shared" ca="1" si="31"/>
        <v>0</v>
      </c>
      <c r="BB23" s="2173">
        <f t="shared" ca="1" si="31"/>
        <v>0</v>
      </c>
      <c r="BC23" s="2173">
        <f t="shared" si="32"/>
        <v>0</v>
      </c>
      <c r="BD23" s="2174">
        <f t="shared" ca="1" si="33"/>
        <v>0</v>
      </c>
      <c r="BE23" s="2167">
        <v>0</v>
      </c>
      <c r="BF23" s="2167">
        <v>0</v>
      </c>
      <c r="BG23" s="2167">
        <f t="shared" si="34"/>
        <v>0</v>
      </c>
      <c r="BH23" s="2167">
        <v>0</v>
      </c>
      <c r="BI23" s="2167">
        <f t="shared" si="35"/>
        <v>0</v>
      </c>
      <c r="BJ23" s="2167">
        <v>0</v>
      </c>
      <c r="BK23" s="2167">
        <v>0</v>
      </c>
      <c r="BL23" s="2167">
        <v>0</v>
      </c>
      <c r="BM23" s="2167">
        <f>VLOOKUP("ELOUTPUT",RawData,MATCH("CHEMHEAT",RawDataHeadings,0),FALSE)*3.6</f>
        <v>0</v>
      </c>
      <c r="BN23" s="2167">
        <f t="shared" ref="BN23:BN35" si="36">-VLOOKUP($B23,RawData,BN$4,FALSE)*1</f>
        <v>0</v>
      </c>
      <c r="BO23" s="2170">
        <v>0</v>
      </c>
      <c r="BP23" s="2168">
        <f t="shared" ca="1" si="8"/>
        <v>0</v>
      </c>
      <c r="BQ23" s="648"/>
      <c r="CA23" s="555" t="s">
        <v>991</v>
      </c>
      <c r="CB23" s="20" t="s">
        <v>2709</v>
      </c>
      <c r="CC23" s="20" t="s">
        <v>2710</v>
      </c>
      <c r="CD23" s="20" t="s">
        <v>2711</v>
      </c>
      <c r="CE23" s="20" t="s">
        <v>2712</v>
      </c>
      <c r="CF23" s="20" t="s">
        <v>2713</v>
      </c>
      <c r="CG23" s="20" t="s">
        <v>2714</v>
      </c>
      <c r="CH23" s="20" t="s">
        <v>2715</v>
      </c>
      <c r="CI23" s="20" t="s">
        <v>2716</v>
      </c>
      <c r="CJ23" s="20" t="s">
        <v>2717</v>
      </c>
      <c r="CK23" s="20" t="s">
        <v>2718</v>
      </c>
      <c r="CL23" s="20" t="s">
        <v>2719</v>
      </c>
      <c r="CM23" s="20" t="s">
        <v>2720</v>
      </c>
      <c r="CN23" s="20" t="s">
        <v>2721</v>
      </c>
      <c r="CO23" s="20" t="s">
        <v>2722</v>
      </c>
      <c r="CP23" s="20">
        <v>0</v>
      </c>
      <c r="CQ23" s="20" t="s">
        <v>2723</v>
      </c>
      <c r="CR23" s="20" t="s">
        <v>2724</v>
      </c>
      <c r="CS23" s="20" t="s">
        <v>2725</v>
      </c>
      <c r="CT23" s="20" t="s">
        <v>2726</v>
      </c>
      <c r="CU23" s="20" t="s">
        <v>2727</v>
      </c>
      <c r="CV23" s="20" t="s">
        <v>2728</v>
      </c>
      <c r="CW23" s="20" t="s">
        <v>2729</v>
      </c>
      <c r="CX23" s="20" t="s">
        <v>2730</v>
      </c>
      <c r="CY23" s="20" t="s">
        <v>2731</v>
      </c>
      <c r="CZ23" s="20" t="s">
        <v>2732</v>
      </c>
      <c r="DA23" s="20" t="s">
        <v>2733</v>
      </c>
      <c r="DB23" s="20" t="s">
        <v>2734</v>
      </c>
      <c r="DC23" s="20" t="s">
        <v>2735</v>
      </c>
      <c r="DD23" s="20" t="s">
        <v>2736</v>
      </c>
      <c r="DE23" s="20" t="s">
        <v>2737</v>
      </c>
      <c r="DF23" s="20" t="s">
        <v>2738</v>
      </c>
      <c r="DG23" s="20" t="s">
        <v>2739</v>
      </c>
      <c r="DH23" s="20" t="s">
        <v>2740</v>
      </c>
      <c r="DI23" s="20" t="s">
        <v>2741</v>
      </c>
      <c r="DJ23" s="20" t="s">
        <v>2742</v>
      </c>
      <c r="DK23" s="20" t="s">
        <v>2743</v>
      </c>
      <c r="DL23" s="20" t="s">
        <v>2744</v>
      </c>
      <c r="DM23" s="20" t="s">
        <v>2745</v>
      </c>
      <c r="DN23" s="20" t="s">
        <v>2746</v>
      </c>
      <c r="DO23" s="20" t="s">
        <v>2747</v>
      </c>
      <c r="DP23" s="20" t="s">
        <v>2748</v>
      </c>
      <c r="DQ23" s="20" t="s">
        <v>2749</v>
      </c>
      <c r="DR23" s="20" t="s">
        <v>2750</v>
      </c>
      <c r="DS23" s="20" t="s">
        <v>2751</v>
      </c>
      <c r="DT23" s="20" t="s">
        <v>2752</v>
      </c>
      <c r="DU23" s="20" t="s">
        <v>2753</v>
      </c>
      <c r="DV23" s="20" t="s">
        <v>2754</v>
      </c>
      <c r="DW23" s="20" t="s">
        <v>2755</v>
      </c>
      <c r="DX23" s="20" t="s">
        <v>2756</v>
      </c>
      <c r="DY23" s="20" t="s">
        <v>2757</v>
      </c>
      <c r="DZ23" s="20" t="s">
        <v>2758</v>
      </c>
      <c r="EA23" s="20" t="s">
        <v>2759</v>
      </c>
      <c r="EB23" s="20">
        <v>0</v>
      </c>
      <c r="EC23" s="20">
        <v>0</v>
      </c>
      <c r="ED23" s="20" t="s">
        <v>2760</v>
      </c>
      <c r="EE23" s="20">
        <v>0</v>
      </c>
      <c r="EF23" s="20" t="s">
        <v>2761</v>
      </c>
      <c r="EG23" s="20">
        <v>0</v>
      </c>
      <c r="EH23" s="20">
        <v>0</v>
      </c>
      <c r="EI23" s="20">
        <v>0</v>
      </c>
      <c r="EJ23" s="20" t="s">
        <v>2762</v>
      </c>
      <c r="EK23" s="20" t="s">
        <v>2763</v>
      </c>
      <c r="EL23" s="20">
        <v>0</v>
      </c>
    </row>
    <row r="24" spans="1:142" s="20" customFormat="1" ht="11.25" x14ac:dyDescent="0.2">
      <c r="A24" s="557" t="str">
        <f>TPATFUEL</f>
        <v>Patent fuel plants</v>
      </c>
      <c r="B24" s="230" t="s">
        <v>996</v>
      </c>
      <c r="C24" s="230" t="s">
        <v>1653</v>
      </c>
      <c r="D24" s="221">
        <f t="shared" si="23"/>
        <v>16</v>
      </c>
      <c r="E24" s="2169">
        <f t="shared" ref="E24:I30" ca="1" si="37">-VLOOKUP($B24,RawData,E$4,FALSE)*VLOOKUP(E$3,ConversionFactors,$D24,FALSE)/1000</f>
        <v>0</v>
      </c>
      <c r="F24" s="2169">
        <f t="shared" ca="1" si="37"/>
        <v>0</v>
      </c>
      <c r="G24" s="2169">
        <f t="shared" ca="1" si="37"/>
        <v>0</v>
      </c>
      <c r="H24" s="2169">
        <f t="shared" ca="1" si="37"/>
        <v>0</v>
      </c>
      <c r="I24" s="2169">
        <f t="shared" ca="1" si="37"/>
        <v>0</v>
      </c>
      <c r="J24" s="2169">
        <f ca="1">(VLOOKUP($B5,RawData,J$4,FALSE)*VLOOKUP(J$3,ConversionFactors,D$5,FALSE)+SUM(VLOOKUP("OSNATGAS",RawData,J$4,FALSE),VLOOKUP("OSOIL",RawData,J$4,FALSE),VLOOKUP("OSRENEW",RawData,J$4,FALSE),VLOOKUP("OSNONSPEC",RawData,J$4,FALSE))*VLOOKUP(J$3,ConversionFactors,MATCH("NOTHER",CFHeadings,0),FALSE)-VLOOKUP($B24,RawData,J$4,FALSE)*VLOOKUP(J$3,ConversionFactors,$D24,FALSE))/1000</f>
        <v>0</v>
      </c>
      <c r="K24" s="2169">
        <f ca="1">-VLOOKUP($B24,RawData,K$4,FALSE)*VLOOKUP(K$3,ConversionFactors,$D24,FALSE)/1000</f>
        <v>0</v>
      </c>
      <c r="L24" s="2169">
        <f ca="1">-VLOOKUP($B24,RawData,L$4,FALSE)*VLOOKUP(L$3,ConversionFactors,$D24,FALSE)/1000</f>
        <v>0</v>
      </c>
      <c r="M24" s="2169">
        <f ca="1">-VLOOKUP($B24,RawData,M$4,FALSE)*VLOOKUP(M$3,ConversionFactors,$D24,FALSE)/1000</f>
        <v>0</v>
      </c>
      <c r="N24" s="2169">
        <f ca="1">-VLOOKUP($B24,RawData,N$4,FALSE)*VLOOKUP(N$3,ConversionFactors,$D24,FALSE)/1000</f>
        <v>0</v>
      </c>
      <c r="O24" s="2169">
        <f t="shared" ca="1" si="25"/>
        <v>0</v>
      </c>
      <c r="P24" s="2169">
        <f t="shared" ca="1" si="25"/>
        <v>0</v>
      </c>
      <c r="Q24" s="2169">
        <f t="shared" ca="1" si="25"/>
        <v>0</v>
      </c>
      <c r="R24" s="2169">
        <f t="shared" ca="1" si="25"/>
        <v>0</v>
      </c>
      <c r="S24" s="2170">
        <v>0</v>
      </c>
      <c r="T24" s="2169">
        <f t="shared" ca="1" si="26"/>
        <v>0</v>
      </c>
      <c r="U24" s="2169">
        <f t="shared" ca="1" si="26"/>
        <v>0</v>
      </c>
      <c r="V24" s="2169">
        <f t="shared" ca="1" si="26"/>
        <v>0</v>
      </c>
      <c r="W24" s="2161">
        <f t="shared" ca="1" si="27"/>
        <v>0</v>
      </c>
      <c r="X24" s="2161">
        <f t="shared" ca="1" si="27"/>
        <v>0</v>
      </c>
      <c r="Y24" s="2161">
        <f t="shared" ca="1" si="27"/>
        <v>0</v>
      </c>
      <c r="Z24" s="2161">
        <f t="shared" ca="1" si="27"/>
        <v>0</v>
      </c>
      <c r="AA24" s="2161">
        <f t="shared" ca="1" si="27"/>
        <v>0</v>
      </c>
      <c r="AB24" s="2161">
        <f t="shared" ca="1" si="27"/>
        <v>0</v>
      </c>
      <c r="AC24" s="2161">
        <f t="shared" ca="1" si="27"/>
        <v>0</v>
      </c>
      <c r="AD24" s="2161">
        <f t="shared" ca="1" si="27"/>
        <v>0</v>
      </c>
      <c r="AE24" s="2161">
        <f t="shared" ca="1" si="27"/>
        <v>0</v>
      </c>
      <c r="AF24" s="2161">
        <f t="shared" ca="1" si="27"/>
        <v>0</v>
      </c>
      <c r="AG24" s="2161">
        <f t="shared" ca="1" si="28"/>
        <v>0</v>
      </c>
      <c r="AH24" s="2161">
        <f t="shared" ca="1" si="28"/>
        <v>0</v>
      </c>
      <c r="AI24" s="2161">
        <f t="shared" ca="1" si="28"/>
        <v>0</v>
      </c>
      <c r="AJ24" s="2161">
        <f t="shared" ca="1" si="28"/>
        <v>0</v>
      </c>
      <c r="AK24" s="2161">
        <f t="shared" ca="1" si="28"/>
        <v>0</v>
      </c>
      <c r="AL24" s="2161">
        <f t="shared" ca="1" si="28"/>
        <v>0</v>
      </c>
      <c r="AM24" s="2161">
        <f t="shared" ca="1" si="28"/>
        <v>0</v>
      </c>
      <c r="AN24" s="2161">
        <f t="shared" ca="1" si="28"/>
        <v>0</v>
      </c>
      <c r="AO24" s="2161">
        <f t="shared" ca="1" si="28"/>
        <v>0</v>
      </c>
      <c r="AP24" s="2161">
        <f t="shared" ca="1" si="28"/>
        <v>0</v>
      </c>
      <c r="AQ24" s="2161">
        <f t="shared" ca="1" si="28"/>
        <v>0</v>
      </c>
      <c r="AR24" s="2171">
        <f t="shared" ca="1" si="28"/>
        <v>0</v>
      </c>
      <c r="AS24" s="2172">
        <f t="shared" ca="1" si="29"/>
        <v>0</v>
      </c>
      <c r="AT24" s="2173">
        <f t="shared" si="30"/>
        <v>0</v>
      </c>
      <c r="AU24" s="2173">
        <f t="shared" si="30"/>
        <v>0</v>
      </c>
      <c r="AV24" s="2173">
        <f t="shared" si="30"/>
        <v>0</v>
      </c>
      <c r="AW24" s="2173">
        <f t="shared" si="30"/>
        <v>0</v>
      </c>
      <c r="AX24" s="2173">
        <f t="shared" si="30"/>
        <v>0</v>
      </c>
      <c r="AY24" s="2173">
        <f t="shared" ca="1" si="31"/>
        <v>0</v>
      </c>
      <c r="AZ24" s="2173">
        <f t="shared" ca="1" si="31"/>
        <v>0</v>
      </c>
      <c r="BA24" s="2173">
        <f t="shared" ca="1" si="31"/>
        <v>0</v>
      </c>
      <c r="BB24" s="2173">
        <f t="shared" ca="1" si="31"/>
        <v>0</v>
      </c>
      <c r="BC24" s="2173">
        <f t="shared" si="32"/>
        <v>0</v>
      </c>
      <c r="BD24" s="2174">
        <f t="shared" ca="1" si="33"/>
        <v>0</v>
      </c>
      <c r="BE24" s="2167">
        <v>0</v>
      </c>
      <c r="BF24" s="2167">
        <v>0</v>
      </c>
      <c r="BG24" s="2167">
        <f t="shared" si="34"/>
        <v>0</v>
      </c>
      <c r="BH24" s="2167">
        <v>0</v>
      </c>
      <c r="BI24" s="2167">
        <f t="shared" si="35"/>
        <v>0</v>
      </c>
      <c r="BJ24" s="2167">
        <v>0</v>
      </c>
      <c r="BK24" s="2167">
        <v>0</v>
      </c>
      <c r="BL24" s="2167">
        <v>0</v>
      </c>
      <c r="BM24" s="2167">
        <f t="shared" ref="BM24:BM35" si="38">-VLOOKUP($B24,RawData,BM$4,FALSE)*3.6</f>
        <v>0</v>
      </c>
      <c r="BN24" s="2167">
        <f t="shared" si="36"/>
        <v>0</v>
      </c>
      <c r="BO24" s="2170">
        <v>0</v>
      </c>
      <c r="BP24" s="2168">
        <f t="shared" ca="1" si="8"/>
        <v>0</v>
      </c>
      <c r="BQ24" s="648"/>
      <c r="CA24" s="555" t="s">
        <v>996</v>
      </c>
      <c r="CB24" s="20" t="s">
        <v>2764</v>
      </c>
      <c r="CC24" s="20" t="s">
        <v>2765</v>
      </c>
      <c r="CD24" s="20" t="s">
        <v>2766</v>
      </c>
      <c r="CE24" s="20" t="s">
        <v>2767</v>
      </c>
      <c r="CF24" s="20" t="s">
        <v>2768</v>
      </c>
      <c r="CG24" s="20" t="s">
        <v>2769</v>
      </c>
      <c r="CH24" s="20" t="s">
        <v>2770</v>
      </c>
      <c r="CI24" s="20" t="s">
        <v>2771</v>
      </c>
      <c r="CJ24" s="20" t="s">
        <v>2772</v>
      </c>
      <c r="CK24" s="20" t="s">
        <v>2773</v>
      </c>
      <c r="CL24" s="20" t="s">
        <v>2774</v>
      </c>
      <c r="CM24" s="20" t="s">
        <v>2775</v>
      </c>
      <c r="CN24" s="20" t="s">
        <v>2776</v>
      </c>
      <c r="CO24" s="20" t="s">
        <v>2777</v>
      </c>
      <c r="CP24" s="20">
        <v>0</v>
      </c>
      <c r="CQ24" s="20" t="s">
        <v>2778</v>
      </c>
      <c r="CR24" s="20" t="s">
        <v>2779</v>
      </c>
      <c r="CS24" s="20" t="s">
        <v>2780</v>
      </c>
      <c r="CT24" s="20" t="s">
        <v>2781</v>
      </c>
      <c r="CU24" s="20" t="s">
        <v>2782</v>
      </c>
      <c r="CV24" s="20" t="s">
        <v>2783</v>
      </c>
      <c r="CW24" s="20" t="s">
        <v>2784</v>
      </c>
      <c r="CX24" s="20" t="s">
        <v>2785</v>
      </c>
      <c r="CY24" s="20" t="s">
        <v>2786</v>
      </c>
      <c r="CZ24" s="20" t="s">
        <v>2787</v>
      </c>
      <c r="DA24" s="20" t="s">
        <v>2788</v>
      </c>
      <c r="DB24" s="20" t="s">
        <v>2789</v>
      </c>
      <c r="DC24" s="20" t="s">
        <v>2790</v>
      </c>
      <c r="DD24" s="20" t="s">
        <v>2791</v>
      </c>
      <c r="DE24" s="20" t="s">
        <v>2792</v>
      </c>
      <c r="DF24" s="20" t="s">
        <v>2793</v>
      </c>
      <c r="DG24" s="20" t="s">
        <v>2794</v>
      </c>
      <c r="DH24" s="20" t="s">
        <v>2795</v>
      </c>
      <c r="DI24" s="20" t="s">
        <v>2796</v>
      </c>
      <c r="DJ24" s="20" t="s">
        <v>2797</v>
      </c>
      <c r="DK24" s="20" t="s">
        <v>2798</v>
      </c>
      <c r="DL24" s="20" t="s">
        <v>2799</v>
      </c>
      <c r="DM24" s="20" t="s">
        <v>2800</v>
      </c>
      <c r="DN24" s="20" t="s">
        <v>2801</v>
      </c>
      <c r="DO24" s="20" t="s">
        <v>2802</v>
      </c>
      <c r="DP24" s="20" t="s">
        <v>2803</v>
      </c>
      <c r="DQ24" s="20" t="s">
        <v>2804</v>
      </c>
      <c r="DR24" s="20" t="s">
        <v>2805</v>
      </c>
      <c r="DS24" s="20" t="s">
        <v>2806</v>
      </c>
      <c r="DT24" s="20" t="s">
        <v>2807</v>
      </c>
      <c r="DU24" s="20" t="s">
        <v>2808</v>
      </c>
      <c r="DV24" s="20" t="s">
        <v>2809</v>
      </c>
      <c r="DW24" s="20" t="s">
        <v>2810</v>
      </c>
      <c r="DX24" s="20" t="s">
        <v>2811</v>
      </c>
      <c r="DY24" s="20" t="s">
        <v>2812</v>
      </c>
      <c r="DZ24" s="20" t="s">
        <v>2813</v>
      </c>
      <c r="EA24" s="20" t="s">
        <v>2814</v>
      </c>
      <c r="EB24" s="20">
        <v>0</v>
      </c>
      <c r="EC24" s="20">
        <v>0</v>
      </c>
      <c r="ED24" s="20" t="s">
        <v>2815</v>
      </c>
      <c r="EE24" s="20">
        <v>0</v>
      </c>
      <c r="EF24" s="20" t="s">
        <v>2816</v>
      </c>
      <c r="EG24" s="20">
        <v>0</v>
      </c>
      <c r="EH24" s="20">
        <v>0</v>
      </c>
      <c r="EI24" s="20">
        <v>0</v>
      </c>
      <c r="EJ24" s="20" t="s">
        <v>2817</v>
      </c>
      <c r="EK24" s="20" t="s">
        <v>2818</v>
      </c>
      <c r="EL24" s="20">
        <v>0</v>
      </c>
    </row>
    <row r="25" spans="1:142" s="20" customFormat="1" ht="11.25" x14ac:dyDescent="0.2">
      <c r="A25" s="557" t="str">
        <f>TCOKEOVS</f>
        <v>Coke ovens</v>
      </c>
      <c r="B25" s="230" t="s">
        <v>1003</v>
      </c>
      <c r="C25" s="230" t="s">
        <v>1644</v>
      </c>
      <c r="D25" s="221">
        <f t="shared" si="23"/>
        <v>7</v>
      </c>
      <c r="E25" s="2169">
        <f t="shared" ca="1" si="37"/>
        <v>0</v>
      </c>
      <c r="F25" s="2169">
        <f t="shared" ca="1" si="37"/>
        <v>-31950.234904999998</v>
      </c>
      <c r="G25" s="2169">
        <f t="shared" ca="1" si="37"/>
        <v>0</v>
      </c>
      <c r="H25" s="2169">
        <f t="shared" ca="1" si="37"/>
        <v>0</v>
      </c>
      <c r="I25" s="2169">
        <f t="shared" ca="1" si="37"/>
        <v>0</v>
      </c>
      <c r="J25" s="2169">
        <f t="shared" ref="J25:J35" ca="1" si="39">-VLOOKUP($B25,RawData,J$4,FALSE)*VLOOKUP(J$3,ConversionFactors,$D25,FALSE)/1000</f>
        <v>0</v>
      </c>
      <c r="K25" s="2169">
        <f ca="1">(VLOOKUP($B5,RawData,K$4,FALSE)*VLOOKUP(K$3,ConversionFactors,D$5,FALSE)+SUM(VLOOKUP("OSNATGAS",RawData,K$4,FALSE),VLOOKUP("OSOIL",RawData,K$4,FALSE),VLOOKUP("OSRENEW",RawData,K$4,FALSE))*VLOOKUP(K$3,ConversionFactors,MATCH("NOTHER",CFHeadings,0),FALSE)-VLOOKUP($B25,RawData,K$4,FALSE)*VLOOKUP(K$3,ConversionFactors,$D25,FALSE))/1000</f>
        <v>33114.365114</v>
      </c>
      <c r="L25" s="2169">
        <f ca="1">-VLOOKUP($B25,RawData,L$4,FALSE)*VLOOKUP(L$3,ConversionFactors,$D25,FALSE)/1000</f>
        <v>0</v>
      </c>
      <c r="M25" s="2169">
        <f ca="1">(VLOOKUP($B5,RawData,M$4,FALSE)*VLOOKUP(M$3,ConversionFactors,D$5,FALSE)+SUM(VLOOKUP("OSNATGAS",RawData,M$4,FALSE),VLOOKUP("OSOIL",RawData,M$4,FALSE),VLOOKUP("OSRENEW",RawData,M$4,FALSE),VLOOKUP("OSNONSPEC",RawData,M$4,FALSE))*VLOOKUP(M$3,ConversionFactors,MATCH("NOTHER",CFHeadings,0),FALSE)-VLOOKUP($B25,RawData,M$4,FALSE)*VLOOKUP(M$3,ConversionFactors,$D25,FALSE))/1000</f>
        <v>0</v>
      </c>
      <c r="N25" s="2169">
        <f ca="1">-VLOOKUP($B25,RawData,N$4,FALSE)*VLOOKUP(N$3,ConversionFactors,$D25,FALSE)/1000</f>
        <v>0</v>
      </c>
      <c r="O25" s="2169">
        <f ca="1">(-VLOOKUP($B25,RawData,O$4,FALSE)*VLOOKUP(O$3,ConversionFactors,2,FALSE))*1</f>
        <v>0</v>
      </c>
      <c r="P25" s="2169">
        <f ca="1">(SUM(VLOOKUP($B5,RawData,P$4,FALSE),VLOOKUP("OSNATGAS",RawData,P$4,FALSE),VLOOKUP("OSOIL",RawData,P$4,FALSE),VLOOKUP("OSRENEW",RawData,P$4,FALSE),VLOOKUP("OSNONSPEC",RawData,P$4,FALSE),-VLOOKUP($B25,RawData,P$4,FALSE))*VLOOKUP(P$3,ConversionFactors,2,FALSE))*1</f>
        <v>0</v>
      </c>
      <c r="Q25" s="2169">
        <f ca="1">(-VLOOKUP($B25,RawData,Q$4,FALSE)*VLOOKUP(Q$3,ConversionFactors,2,FALSE))*1</f>
        <v>0</v>
      </c>
      <c r="R25" s="2169">
        <f ca="1">(-VLOOKUP($B25,RawData,R$4,FALSE)*VLOOKUP(R$3,ConversionFactors,2,FALSE))*1</f>
        <v>0</v>
      </c>
      <c r="S25" s="2170">
        <v>0</v>
      </c>
      <c r="T25" s="2169">
        <f t="shared" ca="1" si="26"/>
        <v>0</v>
      </c>
      <c r="U25" s="2169">
        <f t="shared" ca="1" si="26"/>
        <v>0</v>
      </c>
      <c r="V25" s="2169">
        <f t="shared" ca="1" si="26"/>
        <v>0</v>
      </c>
      <c r="W25" s="2161">
        <f t="shared" ca="1" si="27"/>
        <v>0</v>
      </c>
      <c r="X25" s="2161">
        <f t="shared" ca="1" si="27"/>
        <v>0</v>
      </c>
      <c r="Y25" s="2161">
        <f t="shared" ca="1" si="27"/>
        <v>0</v>
      </c>
      <c r="Z25" s="2161">
        <f t="shared" ca="1" si="27"/>
        <v>0</v>
      </c>
      <c r="AA25" s="2161">
        <f t="shared" ca="1" si="27"/>
        <v>0</v>
      </c>
      <c r="AB25" s="2161">
        <f t="shared" ca="1" si="27"/>
        <v>0</v>
      </c>
      <c r="AC25" s="2161">
        <f t="shared" ca="1" si="27"/>
        <v>0</v>
      </c>
      <c r="AD25" s="2161">
        <f t="shared" ca="1" si="27"/>
        <v>0</v>
      </c>
      <c r="AE25" s="2161">
        <f t="shared" ca="1" si="27"/>
        <v>0</v>
      </c>
      <c r="AF25" s="2161">
        <f t="shared" ca="1" si="27"/>
        <v>0</v>
      </c>
      <c r="AG25" s="2161">
        <f t="shared" ca="1" si="28"/>
        <v>0</v>
      </c>
      <c r="AH25" s="2161">
        <f t="shared" ca="1" si="28"/>
        <v>0</v>
      </c>
      <c r="AI25" s="2161">
        <f t="shared" ca="1" si="28"/>
        <v>0</v>
      </c>
      <c r="AJ25" s="2161">
        <f t="shared" ca="1" si="28"/>
        <v>0</v>
      </c>
      <c r="AK25" s="2161">
        <f t="shared" ca="1" si="28"/>
        <v>0</v>
      </c>
      <c r="AL25" s="2161">
        <f t="shared" ca="1" si="28"/>
        <v>0</v>
      </c>
      <c r="AM25" s="2161">
        <f t="shared" ca="1" si="28"/>
        <v>0</v>
      </c>
      <c r="AN25" s="2161">
        <f t="shared" ca="1" si="28"/>
        <v>0</v>
      </c>
      <c r="AO25" s="2161">
        <f t="shared" ca="1" si="28"/>
        <v>0</v>
      </c>
      <c r="AP25" s="2161">
        <f t="shared" ca="1" si="28"/>
        <v>0</v>
      </c>
      <c r="AQ25" s="2161">
        <f t="shared" ca="1" si="28"/>
        <v>0</v>
      </c>
      <c r="AR25" s="2171">
        <f t="shared" ca="1" si="28"/>
        <v>0</v>
      </c>
      <c r="AS25" s="2172">
        <f t="shared" ca="1" si="29"/>
        <v>0</v>
      </c>
      <c r="AT25" s="2173">
        <f t="shared" ref="AT25:AX35" si="40">-VLOOKUP($B25,RawData,AT$4,FALSE)*1</f>
        <v>0</v>
      </c>
      <c r="AU25" s="2173">
        <f t="shared" si="40"/>
        <v>0</v>
      </c>
      <c r="AV25" s="2173">
        <f t="shared" si="40"/>
        <v>0</v>
      </c>
      <c r="AW25" s="2173">
        <f t="shared" si="40"/>
        <v>0</v>
      </c>
      <c r="AX25" s="2173">
        <f t="shared" si="40"/>
        <v>0</v>
      </c>
      <c r="AY25" s="2173">
        <f t="shared" ca="1" si="31"/>
        <v>0</v>
      </c>
      <c r="AZ25" s="2173">
        <f t="shared" ca="1" si="31"/>
        <v>0</v>
      </c>
      <c r="BA25" s="2173">
        <f t="shared" ca="1" si="31"/>
        <v>0</v>
      </c>
      <c r="BB25" s="2173">
        <f t="shared" ca="1" si="31"/>
        <v>0</v>
      </c>
      <c r="BC25" s="2173">
        <f t="shared" si="32"/>
        <v>0</v>
      </c>
      <c r="BD25" s="2174">
        <f t="shared" ca="1" si="33"/>
        <v>0</v>
      </c>
      <c r="BE25" s="2167">
        <v>0</v>
      </c>
      <c r="BF25" s="2167">
        <v>0</v>
      </c>
      <c r="BG25" s="2167">
        <f t="shared" si="34"/>
        <v>0</v>
      </c>
      <c r="BH25" s="2167">
        <v>0</v>
      </c>
      <c r="BI25" s="2167">
        <f t="shared" si="35"/>
        <v>0</v>
      </c>
      <c r="BJ25" s="2167">
        <v>0</v>
      </c>
      <c r="BK25" s="2167">
        <v>0</v>
      </c>
      <c r="BL25" s="2167">
        <v>0</v>
      </c>
      <c r="BM25" s="2167">
        <f t="shared" si="38"/>
        <v>0</v>
      </c>
      <c r="BN25" s="2167">
        <f t="shared" si="36"/>
        <v>0</v>
      </c>
      <c r="BO25" s="2170">
        <v>0</v>
      </c>
      <c r="BP25" s="2168">
        <f t="shared" ca="1" si="8"/>
        <v>1164.1302090000027</v>
      </c>
      <c r="BQ25" s="648"/>
      <c r="CA25" s="555" t="s">
        <v>1003</v>
      </c>
      <c r="CB25" s="20" t="s">
        <v>2819</v>
      </c>
      <c r="CC25" s="20" t="s">
        <v>2820</v>
      </c>
      <c r="CD25" s="20" t="s">
        <v>2821</v>
      </c>
      <c r="CE25" s="20" t="s">
        <v>2822</v>
      </c>
      <c r="CF25" s="20" t="s">
        <v>2823</v>
      </c>
      <c r="CG25" s="20" t="s">
        <v>2824</v>
      </c>
      <c r="CH25" s="20" t="s">
        <v>2825</v>
      </c>
      <c r="CI25" s="20" t="s">
        <v>2826</v>
      </c>
      <c r="CJ25" s="20" t="s">
        <v>2827</v>
      </c>
      <c r="CK25" s="20" t="s">
        <v>2828</v>
      </c>
      <c r="CL25" s="20" t="s">
        <v>2829</v>
      </c>
      <c r="CM25" s="20" t="s">
        <v>2830</v>
      </c>
      <c r="CN25" s="20" t="s">
        <v>2831</v>
      </c>
      <c r="CO25" s="20" t="s">
        <v>2832</v>
      </c>
      <c r="CP25" s="20">
        <v>0</v>
      </c>
      <c r="CQ25" s="20" t="s">
        <v>2833</v>
      </c>
      <c r="CR25" s="20" t="s">
        <v>2834</v>
      </c>
      <c r="CS25" s="20" t="s">
        <v>2835</v>
      </c>
      <c r="CT25" s="20" t="s">
        <v>2836</v>
      </c>
      <c r="CU25" s="20" t="s">
        <v>2837</v>
      </c>
      <c r="CV25" s="20" t="s">
        <v>2838</v>
      </c>
      <c r="CW25" s="20" t="s">
        <v>2839</v>
      </c>
      <c r="CX25" s="20" t="s">
        <v>2840</v>
      </c>
      <c r="CY25" s="20" t="s">
        <v>2841</v>
      </c>
      <c r="CZ25" s="20" t="s">
        <v>2842</v>
      </c>
      <c r="DA25" s="20" t="s">
        <v>2843</v>
      </c>
      <c r="DB25" s="20" t="s">
        <v>2844</v>
      </c>
      <c r="DC25" s="20" t="s">
        <v>2845</v>
      </c>
      <c r="DD25" s="20" t="s">
        <v>2846</v>
      </c>
      <c r="DE25" s="20" t="s">
        <v>2847</v>
      </c>
      <c r="DF25" s="20" t="s">
        <v>2848</v>
      </c>
      <c r="DG25" s="20" t="s">
        <v>2849</v>
      </c>
      <c r="DH25" s="20" t="s">
        <v>2850</v>
      </c>
      <c r="DI25" s="20" t="s">
        <v>2851</v>
      </c>
      <c r="DJ25" s="20" t="s">
        <v>2852</v>
      </c>
      <c r="DK25" s="20" t="s">
        <v>2853</v>
      </c>
      <c r="DL25" s="20" t="s">
        <v>2854</v>
      </c>
      <c r="DM25" s="20" t="s">
        <v>2855</v>
      </c>
      <c r="DN25" s="20" t="s">
        <v>2856</v>
      </c>
      <c r="DO25" s="20" t="s">
        <v>2857</v>
      </c>
      <c r="DP25" s="20" t="s">
        <v>2858</v>
      </c>
      <c r="DQ25" s="20" t="s">
        <v>2859</v>
      </c>
      <c r="DR25" s="20" t="s">
        <v>2860</v>
      </c>
      <c r="DS25" s="20" t="s">
        <v>2861</v>
      </c>
      <c r="DT25" s="20" t="s">
        <v>2862</v>
      </c>
      <c r="DU25" s="20" t="s">
        <v>2863</v>
      </c>
      <c r="DV25" s="20" t="s">
        <v>2864</v>
      </c>
      <c r="DW25" s="20" t="s">
        <v>2865</v>
      </c>
      <c r="DX25" s="20" t="s">
        <v>2866</v>
      </c>
      <c r="DY25" s="20" t="s">
        <v>2867</v>
      </c>
      <c r="DZ25" s="20" t="s">
        <v>2868</v>
      </c>
      <c r="EA25" s="20" t="s">
        <v>2869</v>
      </c>
      <c r="EB25" s="20">
        <v>0</v>
      </c>
      <c r="EC25" s="20">
        <v>0</v>
      </c>
      <c r="ED25" s="20" t="s">
        <v>2870</v>
      </c>
      <c r="EE25" s="20">
        <v>0</v>
      </c>
      <c r="EF25" s="20" t="s">
        <v>2871</v>
      </c>
      <c r="EG25" s="20">
        <v>0</v>
      </c>
      <c r="EH25" s="20">
        <v>0</v>
      </c>
      <c r="EI25" s="20">
        <v>0</v>
      </c>
      <c r="EJ25" s="20" t="s">
        <v>2872</v>
      </c>
      <c r="EK25" s="20" t="s">
        <v>2873</v>
      </c>
      <c r="EL25" s="20">
        <v>0</v>
      </c>
    </row>
    <row r="26" spans="1:142" s="20" customFormat="1" ht="11.25" x14ac:dyDescent="0.2">
      <c r="A26" s="557" t="str">
        <f>TGASWKS</f>
        <v>Gas works</v>
      </c>
      <c r="B26" s="230" t="s">
        <v>1010</v>
      </c>
      <c r="C26" s="230" t="s">
        <v>1653</v>
      </c>
      <c r="D26" s="221">
        <f t="shared" si="23"/>
        <v>16</v>
      </c>
      <c r="E26" s="2169">
        <f t="shared" ca="1" si="37"/>
        <v>0</v>
      </c>
      <c r="F26" s="2169">
        <f t="shared" ca="1" si="37"/>
        <v>0</v>
      </c>
      <c r="G26" s="2169">
        <f t="shared" ca="1" si="37"/>
        <v>0</v>
      </c>
      <c r="H26" s="2169">
        <f t="shared" ca="1" si="37"/>
        <v>0</v>
      </c>
      <c r="I26" s="2169">
        <f t="shared" ca="1" si="37"/>
        <v>0</v>
      </c>
      <c r="J26" s="2169">
        <f t="shared" ca="1" si="39"/>
        <v>0</v>
      </c>
      <c r="K26" s="2169">
        <f t="shared" ref="K26:K34" ca="1" si="41">-VLOOKUP($B26,RawData,K$4,FALSE)*VLOOKUP(K$3,ConversionFactors,$D26,FALSE)/1000</f>
        <v>0</v>
      </c>
      <c r="L26" s="2169">
        <f ca="1">(VLOOKUP($B5,RawData,L$4,FALSE)*VLOOKUP(L$3,ConversionFactors,D$5,FALSE)+SUM(VLOOKUP("OSNATGAS",RawData,L$4,FALSE),VLOOKUP("OSOIL",RawData,L$4,FALSE),VLOOKUP("OSRENEW",RawData,L$4,FALSE),VLOOKUP("OSNONSPEC",RawData,L$4,FALSE))*VLOOKUP(L$3,ConversionFactors,MATCH("NOTHER",CFHeadings,0),FALSE)-VLOOKUP($B26,RawData,L$4,FALSE)*VLOOKUP(L$3,ConversionFactors,$D26,FALSE))/1000</f>
        <v>0</v>
      </c>
      <c r="M26" s="2169">
        <f t="shared" ref="M26:M35" ca="1" si="42">-VLOOKUP($B26,RawData,M$4,FALSE)*VLOOKUP(M$3,ConversionFactors,$D26,FALSE)/1000</f>
        <v>0</v>
      </c>
      <c r="N26" s="2169">
        <f ca="1">-VLOOKUP($B26,RawData,N$4,FALSE)*VLOOKUP(N$3,ConversionFactors,$D26,FALSE)/1000</f>
        <v>0</v>
      </c>
      <c r="O26" s="2169">
        <f ca="1">(SUM(VLOOKUP($B5,RawData,O$4,FALSE),VLOOKUP("OSCOAL",RawData,O$4,FALSE),VLOOKUP("OSNATGAS",RawData,O$4,FALSE),VLOOKUP("OSOIL",RawData,O$4,FALSE),VLOOKUP("OSRENEW",RawData,O$4,FALSE),VLOOKUP("OSNONSPEC",RawData,O$4,FALSE)-VLOOKUP($B26,RawData,O$4,FALSE))*VLOOKUP(O$3,ConversionFactors,2,FALSE))*1</f>
        <v>19611.900000000001</v>
      </c>
      <c r="P26" s="2169">
        <f t="shared" ref="P26:P35" ca="1" si="43">(-VLOOKUP($B26,RawData,P$4,FALSE)*VLOOKUP(P$3,ConversionFactors,2,FALSE))*1</f>
        <v>0</v>
      </c>
      <c r="Q26" s="2169">
        <f ca="1">(-VLOOKUP($B26,RawData,Q$4,FALSE)*VLOOKUP(Q$3,ConversionFactors,2,FALSE))*1</f>
        <v>0</v>
      </c>
      <c r="R26" s="2169">
        <f ca="1">(-VLOOKUP($B26,RawData,R$4,FALSE)*VLOOKUP(R$3,ConversionFactors,2,FALSE))*1</f>
        <v>0</v>
      </c>
      <c r="S26" s="2170">
        <v>0</v>
      </c>
      <c r="T26" s="2169">
        <f t="shared" ca="1" si="26"/>
        <v>0</v>
      </c>
      <c r="U26" s="2169">
        <f t="shared" ca="1" si="26"/>
        <v>0</v>
      </c>
      <c r="V26" s="2169">
        <f t="shared" ca="1" si="26"/>
        <v>0</v>
      </c>
      <c r="W26" s="2161">
        <f t="shared" ca="1" si="27"/>
        <v>0</v>
      </c>
      <c r="X26" s="2161">
        <f t="shared" ca="1" si="27"/>
        <v>0</v>
      </c>
      <c r="Y26" s="2161">
        <f t="shared" ca="1" si="27"/>
        <v>0</v>
      </c>
      <c r="Z26" s="2161">
        <f t="shared" ca="1" si="27"/>
        <v>0</v>
      </c>
      <c r="AA26" s="2161">
        <f t="shared" ca="1" si="27"/>
        <v>0</v>
      </c>
      <c r="AB26" s="2161">
        <f t="shared" ca="1" si="27"/>
        <v>0</v>
      </c>
      <c r="AC26" s="2161">
        <f t="shared" ca="1" si="27"/>
        <v>0</v>
      </c>
      <c r="AD26" s="2161">
        <f t="shared" ca="1" si="27"/>
        <v>0</v>
      </c>
      <c r="AE26" s="2161">
        <f t="shared" ca="1" si="27"/>
        <v>0</v>
      </c>
      <c r="AF26" s="2161">
        <f t="shared" ca="1" si="27"/>
        <v>0</v>
      </c>
      <c r="AG26" s="2161">
        <f t="shared" ca="1" si="28"/>
        <v>0</v>
      </c>
      <c r="AH26" s="2161">
        <f t="shared" ca="1" si="28"/>
        <v>0</v>
      </c>
      <c r="AI26" s="2161">
        <f t="shared" ca="1" si="28"/>
        <v>0</v>
      </c>
      <c r="AJ26" s="2161">
        <f t="shared" ca="1" si="28"/>
        <v>0</v>
      </c>
      <c r="AK26" s="2161">
        <f t="shared" ca="1" si="28"/>
        <v>0</v>
      </c>
      <c r="AL26" s="2161">
        <f t="shared" ca="1" si="28"/>
        <v>0</v>
      </c>
      <c r="AM26" s="2161">
        <f t="shared" ca="1" si="28"/>
        <v>0</v>
      </c>
      <c r="AN26" s="2161">
        <f t="shared" ca="1" si="28"/>
        <v>0</v>
      </c>
      <c r="AO26" s="2161">
        <f t="shared" ca="1" si="28"/>
        <v>0</v>
      </c>
      <c r="AP26" s="2161">
        <f t="shared" ca="1" si="28"/>
        <v>0</v>
      </c>
      <c r="AQ26" s="2161">
        <f t="shared" ca="1" si="28"/>
        <v>0</v>
      </c>
      <c r="AR26" s="2171">
        <f t="shared" ca="1" si="28"/>
        <v>0</v>
      </c>
      <c r="AS26" s="2172">
        <f t="shared" ca="1" si="29"/>
        <v>0</v>
      </c>
      <c r="AT26" s="2173">
        <f t="shared" si="40"/>
        <v>0</v>
      </c>
      <c r="AU26" s="2173">
        <f t="shared" si="40"/>
        <v>0</v>
      </c>
      <c r="AV26" s="2173">
        <f t="shared" si="40"/>
        <v>0</v>
      </c>
      <c r="AW26" s="2173">
        <f t="shared" si="40"/>
        <v>0</v>
      </c>
      <c r="AX26" s="2173">
        <f t="shared" si="40"/>
        <v>0</v>
      </c>
      <c r="AY26" s="2173">
        <f t="shared" ca="1" si="31"/>
        <v>0</v>
      </c>
      <c r="AZ26" s="2173">
        <f t="shared" ca="1" si="31"/>
        <v>0</v>
      </c>
      <c r="BA26" s="2173">
        <f t="shared" ca="1" si="31"/>
        <v>0</v>
      </c>
      <c r="BB26" s="2173">
        <f t="shared" ca="1" si="31"/>
        <v>0</v>
      </c>
      <c r="BC26" s="2173">
        <f t="shared" si="32"/>
        <v>0</v>
      </c>
      <c r="BD26" s="2174">
        <f t="shared" ca="1" si="33"/>
        <v>0</v>
      </c>
      <c r="BE26" s="2167">
        <v>0</v>
      </c>
      <c r="BF26" s="2167">
        <v>0</v>
      </c>
      <c r="BG26" s="2167">
        <f t="shared" si="34"/>
        <v>0</v>
      </c>
      <c r="BH26" s="2167">
        <v>0</v>
      </c>
      <c r="BI26" s="2167">
        <f t="shared" si="35"/>
        <v>0</v>
      </c>
      <c r="BJ26" s="2167">
        <v>0</v>
      </c>
      <c r="BK26" s="2167">
        <v>0</v>
      </c>
      <c r="BL26" s="2167">
        <v>0</v>
      </c>
      <c r="BM26" s="2167">
        <f t="shared" si="38"/>
        <v>0</v>
      </c>
      <c r="BN26" s="2167">
        <f t="shared" si="36"/>
        <v>0</v>
      </c>
      <c r="BO26" s="2170">
        <v>0</v>
      </c>
      <c r="BP26" s="2168">
        <f t="shared" ca="1" si="8"/>
        <v>19611.900000000001</v>
      </c>
      <c r="BQ26" s="648"/>
      <c r="CA26" s="555" t="s">
        <v>1010</v>
      </c>
      <c r="CB26" s="20" t="s">
        <v>2874</v>
      </c>
      <c r="CC26" s="20" t="s">
        <v>2875</v>
      </c>
      <c r="CD26" s="20" t="s">
        <v>2876</v>
      </c>
      <c r="CE26" s="20" t="s">
        <v>2877</v>
      </c>
      <c r="CF26" s="20" t="s">
        <v>2878</v>
      </c>
      <c r="CG26" s="20" t="s">
        <v>2879</v>
      </c>
      <c r="CH26" s="20" t="s">
        <v>2880</v>
      </c>
      <c r="CI26" s="20" t="s">
        <v>2881</v>
      </c>
      <c r="CJ26" s="20" t="s">
        <v>2882</v>
      </c>
      <c r="CK26" s="20" t="s">
        <v>2883</v>
      </c>
      <c r="CL26" s="20" t="s">
        <v>2884</v>
      </c>
      <c r="CM26" s="20" t="s">
        <v>2885</v>
      </c>
      <c r="CN26" s="20" t="s">
        <v>2886</v>
      </c>
      <c r="CO26" s="20" t="s">
        <v>2887</v>
      </c>
      <c r="CP26" s="20">
        <v>0</v>
      </c>
      <c r="CQ26" s="20" t="s">
        <v>2888</v>
      </c>
      <c r="CR26" s="20" t="s">
        <v>2889</v>
      </c>
      <c r="CS26" s="20" t="s">
        <v>2890</v>
      </c>
      <c r="CT26" s="20" t="s">
        <v>2891</v>
      </c>
      <c r="CU26" s="20" t="s">
        <v>2892</v>
      </c>
      <c r="CV26" s="20" t="s">
        <v>2893</v>
      </c>
      <c r="CW26" s="20" t="s">
        <v>2894</v>
      </c>
      <c r="CX26" s="20" t="s">
        <v>2895</v>
      </c>
      <c r="CY26" s="20" t="s">
        <v>2896</v>
      </c>
      <c r="CZ26" s="20" t="s">
        <v>2897</v>
      </c>
      <c r="DA26" s="20" t="s">
        <v>2898</v>
      </c>
      <c r="DB26" s="20" t="s">
        <v>2899</v>
      </c>
      <c r="DC26" s="20" t="s">
        <v>2900</v>
      </c>
      <c r="DD26" s="20" t="s">
        <v>2901</v>
      </c>
      <c r="DE26" s="20" t="s">
        <v>2902</v>
      </c>
      <c r="DF26" s="20" t="s">
        <v>2903</v>
      </c>
      <c r="DG26" s="20" t="s">
        <v>2904</v>
      </c>
      <c r="DH26" s="20" t="s">
        <v>2905</v>
      </c>
      <c r="DI26" s="20" t="s">
        <v>2906</v>
      </c>
      <c r="DJ26" s="20" t="s">
        <v>2907</v>
      </c>
      <c r="DK26" s="20" t="s">
        <v>2908</v>
      </c>
      <c r="DL26" s="20" t="s">
        <v>2909</v>
      </c>
      <c r="DM26" s="20" t="s">
        <v>2910</v>
      </c>
      <c r="DN26" s="20" t="s">
        <v>2911</v>
      </c>
      <c r="DO26" s="20" t="s">
        <v>2912</v>
      </c>
      <c r="DP26" s="20" t="s">
        <v>2913</v>
      </c>
      <c r="DQ26" s="20" t="s">
        <v>2914</v>
      </c>
      <c r="DR26" s="20" t="s">
        <v>2915</v>
      </c>
      <c r="DS26" s="20" t="s">
        <v>2916</v>
      </c>
      <c r="DT26" s="20" t="s">
        <v>2917</v>
      </c>
      <c r="DU26" s="20" t="s">
        <v>2918</v>
      </c>
      <c r="DV26" s="20" t="s">
        <v>2919</v>
      </c>
      <c r="DW26" s="20" t="s">
        <v>2920</v>
      </c>
      <c r="DX26" s="20" t="s">
        <v>2921</v>
      </c>
      <c r="DY26" s="20" t="s">
        <v>2922</v>
      </c>
      <c r="DZ26" s="20" t="s">
        <v>2923</v>
      </c>
      <c r="EA26" s="20" t="s">
        <v>2924</v>
      </c>
      <c r="EB26" s="20">
        <v>0</v>
      </c>
      <c r="EC26" s="20">
        <v>0</v>
      </c>
      <c r="ED26" s="20" t="s">
        <v>2925</v>
      </c>
      <c r="EE26" s="20">
        <v>0</v>
      </c>
      <c r="EF26" s="20" t="s">
        <v>2926</v>
      </c>
      <c r="EG26" s="20">
        <v>0</v>
      </c>
      <c r="EH26" s="20">
        <v>0</v>
      </c>
      <c r="EI26" s="20">
        <v>0</v>
      </c>
      <c r="EJ26" s="20" t="s">
        <v>2927</v>
      </c>
      <c r="EK26" s="20" t="s">
        <v>2928</v>
      </c>
      <c r="EL26" s="20">
        <v>0</v>
      </c>
    </row>
    <row r="27" spans="1:142" s="20" customFormat="1" ht="11.25" x14ac:dyDescent="0.2">
      <c r="A27" s="557" t="str">
        <f>TBLASTFUR</f>
        <v>Blast furnaces</v>
      </c>
      <c r="B27" s="230" t="s">
        <v>1017</v>
      </c>
      <c r="C27" s="230" t="s">
        <v>1645</v>
      </c>
      <c r="D27" s="221">
        <f t="shared" si="23"/>
        <v>8</v>
      </c>
      <c r="E27" s="2169">
        <f t="shared" ca="1" si="37"/>
        <v>0</v>
      </c>
      <c r="F27" s="2169">
        <f t="shared" ca="1" si="37"/>
        <v>0</v>
      </c>
      <c r="G27" s="2169">
        <f t="shared" ca="1" si="37"/>
        <v>0</v>
      </c>
      <c r="H27" s="2169">
        <f t="shared" ca="1" si="37"/>
        <v>0</v>
      </c>
      <c r="I27" s="2169">
        <f t="shared" ca="1" si="37"/>
        <v>0</v>
      </c>
      <c r="J27" s="2169">
        <f t="shared" ca="1" si="39"/>
        <v>0</v>
      </c>
      <c r="K27" s="2169">
        <f t="shared" ca="1" si="41"/>
        <v>-27816.063515999998</v>
      </c>
      <c r="L27" s="2169">
        <f t="shared" ref="L27:L35" ca="1" si="44">-VLOOKUP($B27,RawData,L$4,FALSE)*VLOOKUP(L$3,ConversionFactors,$D27,FALSE)/1000</f>
        <v>0</v>
      </c>
      <c r="M27" s="2169">
        <f t="shared" ca="1" si="42"/>
        <v>0</v>
      </c>
      <c r="N27" s="2169">
        <f ca="1">-VLOOKUP($B27,RawData,N$4,FALSE)*VLOOKUP(N$3,ConversionFactors,$D27,FALSE)/1000</f>
        <v>0</v>
      </c>
      <c r="O27" s="2169">
        <f t="shared" ref="O27:O35" ca="1" si="45">(-VLOOKUP($B27,RawData,O$4,FALSE)*VLOOKUP(O$3,ConversionFactors,2,FALSE))*1</f>
        <v>0</v>
      </c>
      <c r="P27" s="2169">
        <f t="shared" ca="1" si="43"/>
        <v>0</v>
      </c>
      <c r="Q27" s="2169">
        <f ca="1">(SUM(VLOOKUP($B5,RawData,Q$4,FALSE),VLOOKUP("OSNATGAS",RawData,Q$4,FALSE),VLOOKUP("OSOIL",RawData,Q$4,FALSE),VLOOKUP("OSRENEW",RawData,Q$4,FALSE),VLOOKUP("OSNONSPEC",RawData,Q$4,FALSE),-VLOOKUP($B27,RawData,Q$4,FALSE))*VLOOKUP(Q$3,ConversionFactors,2,FALSE))*1</f>
        <v>0</v>
      </c>
      <c r="R27" s="2169">
        <f ca="1">SUM(VLOOKUP($B5,RawData,R$4,FALSE),VLOOKUP("OSNATGAS",RawData,R$4,FALSE),VLOOKUP("OSOIL",RawData,R$4,FALSE),VLOOKUP("OSRENEW",RawData,R$4,FALSE),VLOOKUP("OSNONSPEC",RawData,R$4,FALSE),-VLOOKUP($B27,RawData,R$4,FALSE))*VLOOKUP(R$3,ConversionFactors,2,FALSE)*1</f>
        <v>0</v>
      </c>
      <c r="S27" s="2170">
        <v>0</v>
      </c>
      <c r="T27" s="2169">
        <f t="shared" ca="1" si="26"/>
        <v>0</v>
      </c>
      <c r="U27" s="2169">
        <f t="shared" ca="1" si="26"/>
        <v>0</v>
      </c>
      <c r="V27" s="2169">
        <f t="shared" ca="1" si="26"/>
        <v>0</v>
      </c>
      <c r="W27" s="2161">
        <f t="shared" ca="1" si="27"/>
        <v>0</v>
      </c>
      <c r="X27" s="2161">
        <f t="shared" ca="1" si="27"/>
        <v>0</v>
      </c>
      <c r="Y27" s="2161">
        <f t="shared" ca="1" si="27"/>
        <v>0</v>
      </c>
      <c r="Z27" s="2161">
        <f t="shared" ca="1" si="27"/>
        <v>0</v>
      </c>
      <c r="AA27" s="2161">
        <f t="shared" ca="1" si="27"/>
        <v>0</v>
      </c>
      <c r="AB27" s="2161">
        <f t="shared" ca="1" si="27"/>
        <v>0</v>
      </c>
      <c r="AC27" s="2161">
        <f t="shared" ca="1" si="27"/>
        <v>0</v>
      </c>
      <c r="AD27" s="2161">
        <f t="shared" ca="1" si="27"/>
        <v>0</v>
      </c>
      <c r="AE27" s="2161">
        <f t="shared" ca="1" si="27"/>
        <v>0</v>
      </c>
      <c r="AF27" s="2161">
        <f t="shared" ca="1" si="27"/>
        <v>0</v>
      </c>
      <c r="AG27" s="2161">
        <f t="shared" ca="1" si="28"/>
        <v>0</v>
      </c>
      <c r="AH27" s="2161">
        <f t="shared" ca="1" si="28"/>
        <v>0</v>
      </c>
      <c r="AI27" s="2161">
        <f t="shared" ca="1" si="28"/>
        <v>0</v>
      </c>
      <c r="AJ27" s="2161">
        <f t="shared" ca="1" si="28"/>
        <v>0</v>
      </c>
      <c r="AK27" s="2161">
        <f t="shared" ca="1" si="28"/>
        <v>0</v>
      </c>
      <c r="AL27" s="2161">
        <f t="shared" ca="1" si="28"/>
        <v>0</v>
      </c>
      <c r="AM27" s="2161">
        <f t="shared" ca="1" si="28"/>
        <v>0</v>
      </c>
      <c r="AN27" s="2161">
        <f t="shared" ca="1" si="28"/>
        <v>0</v>
      </c>
      <c r="AO27" s="2161">
        <f t="shared" ca="1" si="28"/>
        <v>0</v>
      </c>
      <c r="AP27" s="2161">
        <f t="shared" ca="1" si="28"/>
        <v>0</v>
      </c>
      <c r="AQ27" s="2161">
        <f t="shared" ca="1" si="28"/>
        <v>0</v>
      </c>
      <c r="AR27" s="2171">
        <f t="shared" ca="1" si="28"/>
        <v>0</v>
      </c>
      <c r="AS27" s="2172">
        <f t="shared" ca="1" si="29"/>
        <v>0</v>
      </c>
      <c r="AT27" s="2173">
        <f t="shared" si="40"/>
        <v>0</v>
      </c>
      <c r="AU27" s="2173">
        <f t="shared" si="40"/>
        <v>0</v>
      </c>
      <c r="AV27" s="2173">
        <f t="shared" si="40"/>
        <v>0</v>
      </c>
      <c r="AW27" s="2173">
        <f t="shared" si="40"/>
        <v>0</v>
      </c>
      <c r="AX27" s="2173">
        <f t="shared" si="40"/>
        <v>0</v>
      </c>
      <c r="AY27" s="2173">
        <f t="shared" ca="1" si="31"/>
        <v>0</v>
      </c>
      <c r="AZ27" s="2173">
        <f t="shared" ca="1" si="31"/>
        <v>0</v>
      </c>
      <c r="BA27" s="2173">
        <f t="shared" ca="1" si="31"/>
        <v>0</v>
      </c>
      <c r="BB27" s="2173">
        <f t="shared" ca="1" si="31"/>
        <v>0</v>
      </c>
      <c r="BC27" s="2173">
        <f t="shared" si="32"/>
        <v>0</v>
      </c>
      <c r="BD27" s="2174">
        <f t="shared" ca="1" si="33"/>
        <v>0</v>
      </c>
      <c r="BE27" s="2167">
        <v>0</v>
      </c>
      <c r="BF27" s="2167">
        <v>0</v>
      </c>
      <c r="BG27" s="2167">
        <f t="shared" si="34"/>
        <v>0</v>
      </c>
      <c r="BH27" s="2167">
        <v>0</v>
      </c>
      <c r="BI27" s="2167">
        <f t="shared" si="35"/>
        <v>0</v>
      </c>
      <c r="BJ27" s="2167">
        <v>0</v>
      </c>
      <c r="BK27" s="2167">
        <v>0</v>
      </c>
      <c r="BL27" s="2167">
        <v>0</v>
      </c>
      <c r="BM27" s="2167">
        <f t="shared" si="38"/>
        <v>0</v>
      </c>
      <c r="BN27" s="2167">
        <f t="shared" si="36"/>
        <v>0</v>
      </c>
      <c r="BO27" s="2170">
        <v>0</v>
      </c>
      <c r="BP27" s="2168">
        <f t="shared" ca="1" si="8"/>
        <v>-27816.063515999998</v>
      </c>
      <c r="BQ27" s="648"/>
      <c r="CA27" s="555" t="s">
        <v>1017</v>
      </c>
      <c r="CB27" s="20" t="s">
        <v>2929</v>
      </c>
      <c r="CC27" s="20" t="s">
        <v>2930</v>
      </c>
      <c r="CD27" s="20" t="s">
        <v>2931</v>
      </c>
      <c r="CE27" s="20" t="s">
        <v>2932</v>
      </c>
      <c r="CF27" s="20" t="s">
        <v>2933</v>
      </c>
      <c r="CG27" s="20" t="s">
        <v>2934</v>
      </c>
      <c r="CH27" s="20" t="s">
        <v>2935</v>
      </c>
      <c r="CI27" s="20" t="s">
        <v>2936</v>
      </c>
      <c r="CJ27" s="20" t="s">
        <v>2937</v>
      </c>
      <c r="CK27" s="20" t="s">
        <v>2938</v>
      </c>
      <c r="CL27" s="20" t="s">
        <v>2939</v>
      </c>
      <c r="CM27" s="20" t="s">
        <v>2940</v>
      </c>
      <c r="CN27" s="20" t="s">
        <v>2941</v>
      </c>
      <c r="CO27" s="20" t="s">
        <v>2942</v>
      </c>
      <c r="CP27" s="20">
        <v>0</v>
      </c>
      <c r="CQ27" s="20" t="s">
        <v>2943</v>
      </c>
      <c r="CR27" s="20" t="s">
        <v>2944</v>
      </c>
      <c r="CS27" s="20" t="s">
        <v>2945</v>
      </c>
      <c r="CT27" s="20" t="s">
        <v>2946</v>
      </c>
      <c r="CU27" s="20" t="s">
        <v>2947</v>
      </c>
      <c r="CV27" s="20" t="s">
        <v>2948</v>
      </c>
      <c r="CW27" s="20" t="s">
        <v>2949</v>
      </c>
      <c r="CX27" s="20" t="s">
        <v>2950</v>
      </c>
      <c r="CY27" s="20" t="s">
        <v>2951</v>
      </c>
      <c r="CZ27" s="20" t="s">
        <v>2952</v>
      </c>
      <c r="DA27" s="20" t="s">
        <v>2953</v>
      </c>
      <c r="DB27" s="20" t="s">
        <v>2954</v>
      </c>
      <c r="DC27" s="20" t="s">
        <v>2955</v>
      </c>
      <c r="DD27" s="20" t="s">
        <v>2956</v>
      </c>
      <c r="DE27" s="20" t="s">
        <v>2957</v>
      </c>
      <c r="DF27" s="20" t="s">
        <v>2958</v>
      </c>
      <c r="DG27" s="20" t="s">
        <v>2959</v>
      </c>
      <c r="DH27" s="20" t="s">
        <v>2960</v>
      </c>
      <c r="DI27" s="20" t="s">
        <v>2961</v>
      </c>
      <c r="DJ27" s="20" t="s">
        <v>2962</v>
      </c>
      <c r="DK27" s="20" t="s">
        <v>2963</v>
      </c>
      <c r="DL27" s="20" t="s">
        <v>2964</v>
      </c>
      <c r="DM27" s="20" t="s">
        <v>2965</v>
      </c>
      <c r="DN27" s="20" t="s">
        <v>2966</v>
      </c>
      <c r="DO27" s="20" t="s">
        <v>2967</v>
      </c>
      <c r="DP27" s="20" t="s">
        <v>2968</v>
      </c>
      <c r="DQ27" s="20" t="s">
        <v>2969</v>
      </c>
      <c r="DR27" s="20" t="s">
        <v>2970</v>
      </c>
      <c r="DS27" s="20" t="s">
        <v>2971</v>
      </c>
      <c r="DT27" s="20" t="s">
        <v>2972</v>
      </c>
      <c r="DU27" s="20" t="s">
        <v>2973</v>
      </c>
      <c r="DV27" s="20" t="s">
        <v>2974</v>
      </c>
      <c r="DW27" s="20" t="s">
        <v>2975</v>
      </c>
      <c r="DX27" s="20" t="s">
        <v>2976</v>
      </c>
      <c r="DY27" s="20" t="s">
        <v>2977</v>
      </c>
      <c r="DZ27" s="20" t="s">
        <v>2978</v>
      </c>
      <c r="EA27" s="20" t="s">
        <v>2979</v>
      </c>
      <c r="EB27" s="20">
        <v>0</v>
      </c>
      <c r="EC27" s="20">
        <v>0</v>
      </c>
      <c r="ED27" s="20" t="s">
        <v>2980</v>
      </c>
      <c r="EE27" s="20">
        <v>0</v>
      </c>
      <c r="EF27" s="20" t="s">
        <v>2981</v>
      </c>
      <c r="EG27" s="20">
        <v>0</v>
      </c>
      <c r="EH27" s="20">
        <v>0</v>
      </c>
      <c r="EI27" s="20">
        <v>0</v>
      </c>
      <c r="EJ27" s="20" t="s">
        <v>2982</v>
      </c>
      <c r="EK27" s="20" t="s">
        <v>2983</v>
      </c>
      <c r="EL27" s="20">
        <v>0</v>
      </c>
    </row>
    <row r="28" spans="1:142" s="20" customFormat="1" ht="11.25" x14ac:dyDescent="0.2">
      <c r="A28" s="557" t="str">
        <f>TPETCHEM</f>
        <v>Petrochemical plants</v>
      </c>
      <c r="B28" s="230" t="s">
        <v>1024</v>
      </c>
      <c r="C28" s="230" t="s">
        <v>1653</v>
      </c>
      <c r="D28" s="221">
        <f t="shared" si="23"/>
        <v>16</v>
      </c>
      <c r="E28" s="2169">
        <f t="shared" ca="1" si="37"/>
        <v>0</v>
      </c>
      <c r="F28" s="2169">
        <f t="shared" ca="1" si="37"/>
        <v>0</v>
      </c>
      <c r="G28" s="2169">
        <f t="shared" ca="1" si="37"/>
        <v>0</v>
      </c>
      <c r="H28" s="2169">
        <f t="shared" ca="1" si="37"/>
        <v>0</v>
      </c>
      <c r="I28" s="2169">
        <f t="shared" ca="1" si="37"/>
        <v>0</v>
      </c>
      <c r="J28" s="2169">
        <f t="shared" ca="1" si="39"/>
        <v>0</v>
      </c>
      <c r="K28" s="2169">
        <f t="shared" ca="1" si="41"/>
        <v>0</v>
      </c>
      <c r="L28" s="2169">
        <f t="shared" ca="1" si="44"/>
        <v>0</v>
      </c>
      <c r="M28" s="2169">
        <f t="shared" ca="1" si="42"/>
        <v>0</v>
      </c>
      <c r="N28" s="2169">
        <f ca="1">-VLOOKUP($B28,RawData,N$4,FALSE)*VLOOKUP(N$3,ConversionFactors,$D28,FALSE)/1000</f>
        <v>0</v>
      </c>
      <c r="O28" s="2169">
        <f t="shared" ca="1" si="45"/>
        <v>0</v>
      </c>
      <c r="P28" s="2169">
        <f t="shared" ca="1" si="43"/>
        <v>0</v>
      </c>
      <c r="Q28" s="2169">
        <f t="shared" ref="Q28:R34" ca="1" si="46">(-VLOOKUP($B28,RawData,Q$4,FALSE)*VLOOKUP(Q$3,ConversionFactors,2,FALSE))*1</f>
        <v>0</v>
      </c>
      <c r="R28" s="2169">
        <f t="shared" ca="1" si="46"/>
        <v>0</v>
      </c>
      <c r="S28" s="2170">
        <v>0</v>
      </c>
      <c r="T28" s="2169">
        <f t="shared" ca="1" si="26"/>
        <v>0</v>
      </c>
      <c r="U28" s="2169">
        <f t="shared" ca="1" si="26"/>
        <v>0</v>
      </c>
      <c r="V28" s="2169">
        <f t="shared" ca="1" si="26"/>
        <v>0</v>
      </c>
      <c r="W28" s="2161">
        <f t="shared" ref="W28:X35" ca="1" si="47">-VLOOKUP($B28,RawData,W$4,FALSE)*VLOOKUP(W$3,ConversionFactors,2,FALSE)/1000</f>
        <v>0</v>
      </c>
      <c r="X28" s="2161">
        <f t="shared" ca="1" si="47"/>
        <v>0</v>
      </c>
      <c r="Y28" s="2161">
        <f ca="1">VLOOKUP("OSOIL",RawData,Y$4,FALSE)*VLOOKUP(Y$3,ConversionFactors,2,FALSE)/1000</f>
        <v>0</v>
      </c>
      <c r="Z28" s="2161">
        <f t="shared" ref="Z28:AI29" ca="1" si="48">-VLOOKUP($B28,RawData,Z$4,FALSE)*VLOOKUP(Z$3,ConversionFactors,2,FALSE)/1000</f>
        <v>0</v>
      </c>
      <c r="AA28" s="2161">
        <f t="shared" ca="1" si="48"/>
        <v>0</v>
      </c>
      <c r="AB28" s="2161">
        <f t="shared" ca="1" si="48"/>
        <v>0</v>
      </c>
      <c r="AC28" s="2161">
        <f t="shared" ca="1" si="48"/>
        <v>0</v>
      </c>
      <c r="AD28" s="2161">
        <f t="shared" ca="1" si="48"/>
        <v>0</v>
      </c>
      <c r="AE28" s="2161">
        <f t="shared" ca="1" si="48"/>
        <v>0</v>
      </c>
      <c r="AF28" s="2161">
        <f t="shared" ca="1" si="48"/>
        <v>0</v>
      </c>
      <c r="AG28" s="2161">
        <f t="shared" ca="1" si="48"/>
        <v>0</v>
      </c>
      <c r="AH28" s="2161">
        <f t="shared" ca="1" si="48"/>
        <v>0</v>
      </c>
      <c r="AI28" s="2161">
        <f t="shared" ca="1" si="48"/>
        <v>0</v>
      </c>
      <c r="AJ28" s="2161">
        <f t="shared" ref="AJ28:AR29" ca="1" si="49">-VLOOKUP($B28,RawData,AJ$4,FALSE)*VLOOKUP(AJ$3,ConversionFactors,2,FALSE)/1000</f>
        <v>0</v>
      </c>
      <c r="AK28" s="2161">
        <f t="shared" ca="1" si="49"/>
        <v>0</v>
      </c>
      <c r="AL28" s="2161">
        <f t="shared" ca="1" si="49"/>
        <v>0</v>
      </c>
      <c r="AM28" s="2161">
        <f t="shared" ca="1" si="49"/>
        <v>0</v>
      </c>
      <c r="AN28" s="2161">
        <f t="shared" ca="1" si="49"/>
        <v>0</v>
      </c>
      <c r="AO28" s="2161">
        <f t="shared" ca="1" si="49"/>
        <v>0</v>
      </c>
      <c r="AP28" s="2161">
        <f t="shared" ca="1" si="49"/>
        <v>0</v>
      </c>
      <c r="AQ28" s="2161">
        <f t="shared" ca="1" si="49"/>
        <v>0</v>
      </c>
      <c r="AR28" s="2171">
        <f t="shared" ca="1" si="49"/>
        <v>0</v>
      </c>
      <c r="AS28" s="2172">
        <f t="shared" ca="1" si="29"/>
        <v>0</v>
      </c>
      <c r="AT28" s="2173">
        <f t="shared" si="40"/>
        <v>0</v>
      </c>
      <c r="AU28" s="2173">
        <f t="shared" si="40"/>
        <v>0</v>
      </c>
      <c r="AV28" s="2173">
        <f t="shared" si="40"/>
        <v>0</v>
      </c>
      <c r="AW28" s="2173">
        <f t="shared" si="40"/>
        <v>0</v>
      </c>
      <c r="AX28" s="2173">
        <f t="shared" si="40"/>
        <v>0</v>
      </c>
      <c r="AY28" s="2173">
        <f t="shared" ca="1" si="31"/>
        <v>0</v>
      </c>
      <c r="AZ28" s="2173">
        <f t="shared" ca="1" si="31"/>
        <v>0</v>
      </c>
      <c r="BA28" s="2173">
        <f t="shared" ca="1" si="31"/>
        <v>0</v>
      </c>
      <c r="BB28" s="2173">
        <f t="shared" ca="1" si="31"/>
        <v>0</v>
      </c>
      <c r="BC28" s="2173">
        <f t="shared" si="32"/>
        <v>0</v>
      </c>
      <c r="BD28" s="2174">
        <f t="shared" ca="1" si="33"/>
        <v>0</v>
      </c>
      <c r="BE28" s="2167">
        <v>0</v>
      </c>
      <c r="BF28" s="2167">
        <v>0</v>
      </c>
      <c r="BG28" s="2167">
        <f t="shared" si="34"/>
        <v>0</v>
      </c>
      <c r="BH28" s="2167">
        <v>0</v>
      </c>
      <c r="BI28" s="2167">
        <f t="shared" si="35"/>
        <v>0</v>
      </c>
      <c r="BJ28" s="2167">
        <v>0</v>
      </c>
      <c r="BK28" s="2167">
        <v>0</v>
      </c>
      <c r="BL28" s="2167">
        <v>0</v>
      </c>
      <c r="BM28" s="2167">
        <f t="shared" si="38"/>
        <v>0</v>
      </c>
      <c r="BN28" s="2167">
        <f t="shared" si="36"/>
        <v>0</v>
      </c>
      <c r="BO28" s="2170">
        <v>0</v>
      </c>
      <c r="BP28" s="2168">
        <f t="shared" ca="1" si="8"/>
        <v>0</v>
      </c>
      <c r="BQ28" s="648"/>
      <c r="CA28" s="555" t="s">
        <v>1024</v>
      </c>
      <c r="CB28" s="20" t="s">
        <v>2984</v>
      </c>
      <c r="CC28" s="20" t="s">
        <v>2985</v>
      </c>
      <c r="CD28" s="20" t="s">
        <v>2986</v>
      </c>
      <c r="CE28" s="20" t="s">
        <v>2987</v>
      </c>
      <c r="CF28" s="20" t="s">
        <v>2988</v>
      </c>
      <c r="CG28" s="20" t="s">
        <v>2989</v>
      </c>
      <c r="CH28" s="20" t="s">
        <v>2990</v>
      </c>
      <c r="CI28" s="20" t="s">
        <v>2991</v>
      </c>
      <c r="CJ28" s="20" t="s">
        <v>2992</v>
      </c>
      <c r="CK28" s="20" t="s">
        <v>2993</v>
      </c>
      <c r="CL28" s="20" t="s">
        <v>2994</v>
      </c>
      <c r="CM28" s="20" t="s">
        <v>2995</v>
      </c>
      <c r="CN28" s="20" t="s">
        <v>2996</v>
      </c>
      <c r="CO28" s="20" t="s">
        <v>2997</v>
      </c>
      <c r="CP28" s="20">
        <v>0</v>
      </c>
      <c r="CQ28" s="20" t="s">
        <v>2998</v>
      </c>
      <c r="CR28" s="20" t="s">
        <v>2999</v>
      </c>
      <c r="CS28" s="20" t="s">
        <v>3000</v>
      </c>
      <c r="CT28" s="20" t="s">
        <v>3001</v>
      </c>
      <c r="CU28" s="20" t="s">
        <v>3002</v>
      </c>
      <c r="CV28" s="20" t="s">
        <v>3003</v>
      </c>
      <c r="CW28" s="20" t="s">
        <v>3004</v>
      </c>
      <c r="CX28" s="20" t="s">
        <v>3005</v>
      </c>
      <c r="CY28" s="20" t="s">
        <v>3006</v>
      </c>
      <c r="CZ28" s="20" t="s">
        <v>3007</v>
      </c>
      <c r="DA28" s="20" t="s">
        <v>3008</v>
      </c>
      <c r="DB28" s="20" t="s">
        <v>3009</v>
      </c>
      <c r="DC28" s="20" t="s">
        <v>3010</v>
      </c>
      <c r="DD28" s="20" t="s">
        <v>3011</v>
      </c>
      <c r="DE28" s="20" t="s">
        <v>3012</v>
      </c>
      <c r="DF28" s="20" t="s">
        <v>3013</v>
      </c>
      <c r="DG28" s="20" t="s">
        <v>3014</v>
      </c>
      <c r="DH28" s="20" t="s">
        <v>3015</v>
      </c>
      <c r="DI28" s="20" t="s">
        <v>3016</v>
      </c>
      <c r="DJ28" s="20" t="s">
        <v>3017</v>
      </c>
      <c r="DK28" s="20" t="s">
        <v>3018</v>
      </c>
      <c r="DL28" s="20" t="s">
        <v>3019</v>
      </c>
      <c r="DM28" s="20" t="s">
        <v>3020</v>
      </c>
      <c r="DN28" s="20" t="s">
        <v>3021</v>
      </c>
      <c r="DO28" s="20" t="s">
        <v>3022</v>
      </c>
      <c r="DP28" s="20" t="s">
        <v>3023</v>
      </c>
      <c r="DQ28" s="20" t="s">
        <v>3024</v>
      </c>
      <c r="DR28" s="20" t="s">
        <v>3025</v>
      </c>
      <c r="DS28" s="20" t="s">
        <v>3026</v>
      </c>
      <c r="DT28" s="20" t="s">
        <v>3027</v>
      </c>
      <c r="DU28" s="20" t="s">
        <v>3028</v>
      </c>
      <c r="DV28" s="20" t="s">
        <v>3029</v>
      </c>
      <c r="DW28" s="20" t="s">
        <v>3030</v>
      </c>
      <c r="DX28" s="20" t="s">
        <v>3031</v>
      </c>
      <c r="DY28" s="20" t="s">
        <v>3032</v>
      </c>
      <c r="DZ28" s="20" t="s">
        <v>3033</v>
      </c>
      <c r="EA28" s="20" t="s">
        <v>3034</v>
      </c>
      <c r="EB28" s="20">
        <v>0</v>
      </c>
      <c r="EC28" s="20">
        <v>0</v>
      </c>
      <c r="ED28" s="20" t="s">
        <v>3035</v>
      </c>
      <c r="EE28" s="20">
        <v>0</v>
      </c>
      <c r="EF28" s="20" t="s">
        <v>3036</v>
      </c>
      <c r="EG28" s="20">
        <v>0</v>
      </c>
      <c r="EH28" s="20">
        <v>0</v>
      </c>
      <c r="EI28" s="20">
        <v>0</v>
      </c>
      <c r="EJ28" s="20" t="s">
        <v>3037</v>
      </c>
      <c r="EK28" s="20" t="s">
        <v>3038</v>
      </c>
      <c r="EL28" s="20">
        <v>0</v>
      </c>
    </row>
    <row r="29" spans="1:142" s="20" customFormat="1" ht="11.25" x14ac:dyDescent="0.2">
      <c r="A29" s="557" t="str">
        <f>TBKB</f>
        <v>BKB / peat briquette plants</v>
      </c>
      <c r="B29" s="230" t="s">
        <v>1030</v>
      </c>
      <c r="C29" s="230" t="s">
        <v>1653</v>
      </c>
      <c r="D29" s="221">
        <f t="shared" si="23"/>
        <v>16</v>
      </c>
      <c r="E29" s="2169">
        <f t="shared" ca="1" si="37"/>
        <v>0</v>
      </c>
      <c r="F29" s="2169">
        <f t="shared" ca="1" si="37"/>
        <v>0</v>
      </c>
      <c r="G29" s="2169">
        <f t="shared" ca="1" si="37"/>
        <v>0</v>
      </c>
      <c r="H29" s="2169">
        <f t="shared" ca="1" si="37"/>
        <v>0</v>
      </c>
      <c r="I29" s="2169">
        <f t="shared" ca="1" si="37"/>
        <v>0</v>
      </c>
      <c r="J29" s="2169">
        <f t="shared" ca="1" si="39"/>
        <v>0</v>
      </c>
      <c r="K29" s="2169">
        <f t="shared" ca="1" si="41"/>
        <v>0</v>
      </c>
      <c r="L29" s="2169">
        <f t="shared" ca="1" si="44"/>
        <v>0</v>
      </c>
      <c r="M29" s="2169">
        <f t="shared" ca="1" si="42"/>
        <v>0</v>
      </c>
      <c r="N29" s="2169">
        <f ca="1">(VLOOKUP($B5,RawData,N$4,FALSE)*VLOOKUP(N$3,ConversionFactors,D$5,FALSE)+SUM(VLOOKUP("OSNATGAS",RawData,N$4,FALSE),VLOOKUP("OSOIL",RawData,N$4,FALSE),VLOOKUP("OSRENEW",RawData,N$4,FALSE),VLOOKUP("OSNONSPEC",RawData,N$4,FALSE))*VLOOKUP(N$3,ConversionFactors,MATCH("NOTHER",CFHeadings,0),FALSE)-VLOOKUP($B29,RawData,N$4,FALSE)*VLOOKUP(N$3,ConversionFactors,$D29,FALSE))/1000</f>
        <v>0</v>
      </c>
      <c r="O29" s="2169">
        <f t="shared" ca="1" si="45"/>
        <v>0</v>
      </c>
      <c r="P29" s="2169">
        <f t="shared" ca="1" si="43"/>
        <v>0</v>
      </c>
      <c r="Q29" s="2169">
        <f t="shared" ca="1" si="46"/>
        <v>0</v>
      </c>
      <c r="R29" s="2169">
        <f t="shared" ca="1" si="46"/>
        <v>0</v>
      </c>
      <c r="S29" s="2170">
        <v>0</v>
      </c>
      <c r="T29" s="2169">
        <f t="shared" ref="T29:T35" ca="1" si="50">-VLOOKUP($B29,RawData,T$4,FALSE)*VLOOKUP(T$3,ConversionFactors,$D29,FALSE)/1000</f>
        <v>0</v>
      </c>
      <c r="U29" s="2169">
        <f ca="1">(VLOOKUP($B5,RawData,U$4,FALSE)*VLOOKUP(U$3,ConversionFactors,D$5,FALSE)+SUM(VLOOKUP("OSNATGAS",RawData,U$4,FALSE),VLOOKUP("OSOIL",RawData,U$4,FALSE),VLOOKUP("OSRENEW",RawData,U$4,FALSE),VLOOKUP("OSNONSPEC",RawData,U$4,FALSE))*VLOOKUP(U$3,ConversionFactors,MATCH("NOTHER",CFHeadings,0),FALSE)-VLOOKUP($B29,RawData,U$4,FALSE)*VLOOKUP(U$3,ConversionFactors,$D29,FALSE))/1000</f>
        <v>0</v>
      </c>
      <c r="V29" s="2169">
        <f t="shared" ref="V29:V35" ca="1" si="51">-VLOOKUP($B29,RawData,V$4,FALSE)*VLOOKUP(V$3,ConversionFactors,$D29,FALSE)/1000</f>
        <v>0</v>
      </c>
      <c r="W29" s="2161">
        <f t="shared" ca="1" si="47"/>
        <v>0</v>
      </c>
      <c r="X29" s="2161">
        <f t="shared" ca="1" si="47"/>
        <v>0</v>
      </c>
      <c r="Y29" s="2161">
        <f t="shared" ref="Y29:Y35" ca="1" si="52">-VLOOKUP($B29,RawData,Y$4,FALSE)*VLOOKUP(Y$3,ConversionFactors,2,FALSE)/1000</f>
        <v>0</v>
      </c>
      <c r="Z29" s="2161">
        <f t="shared" ca="1" si="48"/>
        <v>0</v>
      </c>
      <c r="AA29" s="2161">
        <f t="shared" ca="1" si="48"/>
        <v>0</v>
      </c>
      <c r="AB29" s="2161">
        <f t="shared" ca="1" si="48"/>
        <v>0</v>
      </c>
      <c r="AC29" s="2161">
        <f t="shared" ca="1" si="48"/>
        <v>0</v>
      </c>
      <c r="AD29" s="2161">
        <f t="shared" ca="1" si="48"/>
        <v>0</v>
      </c>
      <c r="AE29" s="2161">
        <f t="shared" ca="1" si="48"/>
        <v>0</v>
      </c>
      <c r="AF29" s="2161">
        <f t="shared" ca="1" si="48"/>
        <v>0</v>
      </c>
      <c r="AG29" s="2161">
        <f t="shared" ca="1" si="48"/>
        <v>0</v>
      </c>
      <c r="AH29" s="2161">
        <f t="shared" ca="1" si="48"/>
        <v>0</v>
      </c>
      <c r="AI29" s="2161">
        <f t="shared" ca="1" si="48"/>
        <v>0</v>
      </c>
      <c r="AJ29" s="2161">
        <f t="shared" ca="1" si="49"/>
        <v>0</v>
      </c>
      <c r="AK29" s="2161">
        <f t="shared" ca="1" si="49"/>
        <v>0</v>
      </c>
      <c r="AL29" s="2161">
        <f t="shared" ca="1" si="49"/>
        <v>0</v>
      </c>
      <c r="AM29" s="2161">
        <f t="shared" ca="1" si="49"/>
        <v>0</v>
      </c>
      <c r="AN29" s="2161">
        <f t="shared" ca="1" si="49"/>
        <v>0</v>
      </c>
      <c r="AO29" s="2161">
        <f t="shared" ca="1" si="49"/>
        <v>0</v>
      </c>
      <c r="AP29" s="2161">
        <f t="shared" ca="1" si="49"/>
        <v>0</v>
      </c>
      <c r="AQ29" s="2161">
        <f t="shared" ca="1" si="49"/>
        <v>0</v>
      </c>
      <c r="AR29" s="2171">
        <f t="shared" ca="1" si="49"/>
        <v>0</v>
      </c>
      <c r="AS29" s="2172">
        <f t="shared" ca="1" si="29"/>
        <v>0</v>
      </c>
      <c r="AT29" s="2173">
        <f t="shared" si="40"/>
        <v>0</v>
      </c>
      <c r="AU29" s="2173">
        <f t="shared" si="40"/>
        <v>0</v>
      </c>
      <c r="AV29" s="2173">
        <f t="shared" si="40"/>
        <v>0</v>
      </c>
      <c r="AW29" s="2173">
        <f t="shared" si="40"/>
        <v>0</v>
      </c>
      <c r="AX29" s="2173">
        <f t="shared" si="40"/>
        <v>0</v>
      </c>
      <c r="AY29" s="2173">
        <f t="shared" ca="1" si="31"/>
        <v>0</v>
      </c>
      <c r="AZ29" s="2173">
        <f t="shared" ca="1" si="31"/>
        <v>0</v>
      </c>
      <c r="BA29" s="2173">
        <f t="shared" ca="1" si="31"/>
        <v>0</v>
      </c>
      <c r="BB29" s="2173">
        <f t="shared" ca="1" si="31"/>
        <v>0</v>
      </c>
      <c r="BC29" s="2173">
        <f t="shared" si="32"/>
        <v>0</v>
      </c>
      <c r="BD29" s="2174">
        <f t="shared" ca="1" si="33"/>
        <v>0</v>
      </c>
      <c r="BE29" s="2167">
        <v>0</v>
      </c>
      <c r="BF29" s="2167">
        <v>0</v>
      </c>
      <c r="BG29" s="2167">
        <f t="shared" si="34"/>
        <v>0</v>
      </c>
      <c r="BH29" s="2167">
        <v>0</v>
      </c>
      <c r="BI29" s="2167">
        <f t="shared" si="35"/>
        <v>0</v>
      </c>
      <c r="BJ29" s="2167">
        <v>0</v>
      </c>
      <c r="BK29" s="2167">
        <v>0</v>
      </c>
      <c r="BL29" s="2167">
        <v>0</v>
      </c>
      <c r="BM29" s="2167">
        <f t="shared" si="38"/>
        <v>0</v>
      </c>
      <c r="BN29" s="2167">
        <f t="shared" si="36"/>
        <v>0</v>
      </c>
      <c r="BO29" s="2170">
        <v>0</v>
      </c>
      <c r="BP29" s="2168">
        <f t="shared" ca="1" si="8"/>
        <v>0</v>
      </c>
      <c r="BQ29" s="648"/>
      <c r="CA29" s="555" t="s">
        <v>1030</v>
      </c>
      <c r="CB29" s="20" t="s">
        <v>3039</v>
      </c>
      <c r="CC29" s="20" t="s">
        <v>3040</v>
      </c>
      <c r="CD29" s="20" t="s">
        <v>3041</v>
      </c>
      <c r="CE29" s="20" t="s">
        <v>3042</v>
      </c>
      <c r="CF29" s="20" t="s">
        <v>3043</v>
      </c>
      <c r="CG29" s="20" t="s">
        <v>3044</v>
      </c>
      <c r="CH29" s="20" t="s">
        <v>3045</v>
      </c>
      <c r="CI29" s="20" t="s">
        <v>3046</v>
      </c>
      <c r="CJ29" s="20" t="s">
        <v>3047</v>
      </c>
      <c r="CK29" s="20" t="s">
        <v>3048</v>
      </c>
      <c r="CL29" s="20" t="s">
        <v>3049</v>
      </c>
      <c r="CM29" s="20" t="s">
        <v>3050</v>
      </c>
      <c r="CN29" s="20" t="s">
        <v>3051</v>
      </c>
      <c r="CO29" s="20" t="s">
        <v>3052</v>
      </c>
      <c r="CP29" s="20">
        <v>0</v>
      </c>
      <c r="CQ29" s="20" t="s">
        <v>3053</v>
      </c>
      <c r="CR29" s="20" t="s">
        <v>3054</v>
      </c>
      <c r="CS29" s="20" t="s">
        <v>3055</v>
      </c>
      <c r="CT29" s="20" t="s">
        <v>3056</v>
      </c>
      <c r="CU29" s="20" t="s">
        <v>3057</v>
      </c>
      <c r="CV29" s="20" t="s">
        <v>3058</v>
      </c>
      <c r="CW29" s="20" t="s">
        <v>3059</v>
      </c>
      <c r="CX29" s="20" t="s">
        <v>3060</v>
      </c>
      <c r="CY29" s="20" t="s">
        <v>3061</v>
      </c>
      <c r="CZ29" s="20" t="s">
        <v>3062</v>
      </c>
      <c r="DA29" s="20" t="s">
        <v>3063</v>
      </c>
      <c r="DB29" s="20" t="s">
        <v>3064</v>
      </c>
      <c r="DC29" s="20" t="s">
        <v>3065</v>
      </c>
      <c r="DD29" s="20" t="s">
        <v>3066</v>
      </c>
      <c r="DE29" s="20" t="s">
        <v>3067</v>
      </c>
      <c r="DF29" s="20" t="s">
        <v>3068</v>
      </c>
      <c r="DG29" s="20" t="s">
        <v>3069</v>
      </c>
      <c r="DH29" s="20" t="s">
        <v>3070</v>
      </c>
      <c r="DI29" s="20" t="s">
        <v>3071</v>
      </c>
      <c r="DJ29" s="20" t="s">
        <v>3072</v>
      </c>
      <c r="DK29" s="20" t="s">
        <v>3073</v>
      </c>
      <c r="DL29" s="20" t="s">
        <v>3074</v>
      </c>
      <c r="DM29" s="20" t="s">
        <v>3075</v>
      </c>
      <c r="DN29" s="20" t="s">
        <v>3076</v>
      </c>
      <c r="DO29" s="20" t="s">
        <v>3077</v>
      </c>
      <c r="DP29" s="20" t="s">
        <v>3078</v>
      </c>
      <c r="DQ29" s="20" t="s">
        <v>3079</v>
      </c>
      <c r="DR29" s="20" t="s">
        <v>3080</v>
      </c>
      <c r="DS29" s="20" t="s">
        <v>3081</v>
      </c>
      <c r="DT29" s="20" t="s">
        <v>3082</v>
      </c>
      <c r="DU29" s="20" t="s">
        <v>3083</v>
      </c>
      <c r="DV29" s="20" t="s">
        <v>3084</v>
      </c>
      <c r="DW29" s="20" t="s">
        <v>3085</v>
      </c>
      <c r="DX29" s="20" t="s">
        <v>3086</v>
      </c>
      <c r="DY29" s="20" t="s">
        <v>3087</v>
      </c>
      <c r="DZ29" s="20" t="s">
        <v>3088</v>
      </c>
      <c r="EA29" s="20" t="s">
        <v>3089</v>
      </c>
      <c r="EB29" s="20">
        <v>0</v>
      </c>
      <c r="EC29" s="20">
        <v>0</v>
      </c>
      <c r="ED29" s="20" t="s">
        <v>3090</v>
      </c>
      <c r="EE29" s="20">
        <v>0</v>
      </c>
      <c r="EF29" s="20" t="s">
        <v>3091</v>
      </c>
      <c r="EG29" s="20">
        <v>0</v>
      </c>
      <c r="EH29" s="20">
        <v>0</v>
      </c>
      <c r="EI29" s="20">
        <v>0</v>
      </c>
      <c r="EJ29" s="20" t="s">
        <v>3092</v>
      </c>
      <c r="EK29" s="20" t="s">
        <v>3093</v>
      </c>
      <c r="EL29" s="20">
        <v>0</v>
      </c>
    </row>
    <row r="30" spans="1:142" s="20" customFormat="1" ht="11.25" x14ac:dyDescent="0.2">
      <c r="A30" s="557" t="str">
        <f>TREFINER</f>
        <v>Oil refineries</v>
      </c>
      <c r="B30" s="230" t="s">
        <v>1037</v>
      </c>
      <c r="C30" s="230" t="s">
        <v>1653</v>
      </c>
      <c r="D30" s="221">
        <f t="shared" si="23"/>
        <v>16</v>
      </c>
      <c r="E30" s="2169">
        <f t="shared" ca="1" si="37"/>
        <v>0</v>
      </c>
      <c r="F30" s="2169">
        <f t="shared" ca="1" si="37"/>
        <v>0</v>
      </c>
      <c r="G30" s="2169">
        <f t="shared" ca="1" si="37"/>
        <v>0</v>
      </c>
      <c r="H30" s="2169">
        <f t="shared" ca="1" si="37"/>
        <v>0</v>
      </c>
      <c r="I30" s="2169">
        <f t="shared" ca="1" si="37"/>
        <v>0</v>
      </c>
      <c r="J30" s="2169">
        <f t="shared" ca="1" si="39"/>
        <v>0</v>
      </c>
      <c r="K30" s="2169">
        <f t="shared" ca="1" si="41"/>
        <v>0</v>
      </c>
      <c r="L30" s="2169">
        <f t="shared" ca="1" si="44"/>
        <v>0</v>
      </c>
      <c r="M30" s="2169">
        <f t="shared" ca="1" si="42"/>
        <v>0</v>
      </c>
      <c r="N30" s="2169">
        <f t="shared" ref="N30:N35" ca="1" si="53">-VLOOKUP($B30,RawData,N$4,FALSE)*VLOOKUP(N$3,ConversionFactors,$D30,FALSE)/1000</f>
        <v>0</v>
      </c>
      <c r="O30" s="2169">
        <f t="shared" ca="1" si="45"/>
        <v>0</v>
      </c>
      <c r="P30" s="2169">
        <f t="shared" ca="1" si="43"/>
        <v>0</v>
      </c>
      <c r="Q30" s="2169">
        <f t="shared" ca="1" si="46"/>
        <v>0</v>
      </c>
      <c r="R30" s="2169">
        <f t="shared" ca="1" si="46"/>
        <v>0</v>
      </c>
      <c r="S30" s="2170">
        <v>0</v>
      </c>
      <c r="T30" s="2169">
        <f t="shared" ca="1" si="50"/>
        <v>0</v>
      </c>
      <c r="U30" s="2169">
        <f t="shared" ref="U30:U35" ca="1" si="54">-VLOOKUP($B30,RawData,U$4,FALSE)*VLOOKUP(U$3,ConversionFactors,$D30,FALSE)/1000</f>
        <v>0</v>
      </c>
      <c r="V30" s="2169">
        <f t="shared" ca="1" si="51"/>
        <v>0</v>
      </c>
      <c r="W30" s="2161">
        <f t="shared" ca="1" si="47"/>
        <v>-807054.39</v>
      </c>
      <c r="X30" s="2161">
        <f t="shared" ca="1" si="47"/>
        <v>-16798.853859999999</v>
      </c>
      <c r="Y30" s="2161">
        <f t="shared" ca="1" si="52"/>
        <v>-6363.9359999999997</v>
      </c>
      <c r="Z30" s="2161">
        <f ca="1">-VLOOKUP($B30,RawData,Z$4,FALSE)*VLOOKUP(Z$3,ConversionFactors,2,FALSE)/1000</f>
        <v>0</v>
      </c>
      <c r="AA30" s="2161">
        <f ca="1">-VLOOKUP($B30,RawData,AA$4,FALSE)*VLOOKUP(AA$3,ConversionFactors,2,FALSE)/1000</f>
        <v>0</v>
      </c>
      <c r="AB30" s="2161">
        <f t="shared" ref="AB30:AM30" ca="1" si="55">(VLOOKUP($B5,RawData,AB$4,FALSE)-VLOOKUP($B30,RawData,AB$4,FALSE))*VLOOKUP(AB$3,ConversionFactors,2,FALSE)/1000000</f>
        <v>0</v>
      </c>
      <c r="AC30" s="2161">
        <f t="shared" ca="1" si="55"/>
        <v>0</v>
      </c>
      <c r="AD30" s="2161">
        <f t="shared" ca="1" si="55"/>
        <v>9097.5154199999997</v>
      </c>
      <c r="AE30" s="2161">
        <f t="shared" ca="1" si="55"/>
        <v>178435.83564041401</v>
      </c>
      <c r="AF30" s="2161">
        <f t="shared" ca="1" si="55"/>
        <v>15428.993114687501</v>
      </c>
      <c r="AG30" s="2161">
        <f t="shared" ca="1" si="55"/>
        <v>14239.829952</v>
      </c>
      <c r="AH30" s="2161">
        <f t="shared" ca="1" si="55"/>
        <v>29329.541285625</v>
      </c>
      <c r="AI30" s="2161">
        <f t="shared" ca="1" si="55"/>
        <v>13127.19428053125</v>
      </c>
      <c r="AJ30" s="2161">
        <f t="shared" ca="1" si="55"/>
        <v>192162.43621122118</v>
      </c>
      <c r="AK30" s="2161">
        <f t="shared" ca="1" si="55"/>
        <v>111010.97427000001</v>
      </c>
      <c r="AL30" s="2161">
        <f t="shared" ca="1" si="55"/>
        <v>0</v>
      </c>
      <c r="AM30" s="2161">
        <f t="shared" ca="1" si="55"/>
        <v>586.91550067382809</v>
      </c>
      <c r="AN30" s="2161">
        <f ca="1">(VLOOKUP($B5,RawData,AN$4,FALSE)-VLOOKUP($B30,RawData,AN$4,FALSE))*VLOOKUP(AN$3,ConversionFactors,2,FALSE)/1000</f>
        <v>20004.599999999999</v>
      </c>
      <c r="AO30" s="2161">
        <f ca="1">(VLOOKUP($B5,RawData,AO$4,FALSE)-VLOOKUP($B30,RawData,AO$4,FALSE))*VLOOKUP(AO$3,ConversionFactors,2,FALSE)/1000</f>
        <v>12949.56</v>
      </c>
      <c r="AP30" s="2161">
        <f ca="1">(VLOOKUP($B5,RawData,AP$4,FALSE)-VLOOKUP($B30,RawData,AP$4,FALSE))*VLOOKUP(AP$3,ConversionFactors,2,FALSE)/1000</f>
        <v>11833.705</v>
      </c>
      <c r="AQ30" s="2161">
        <f ca="1">(VLOOKUP($B5,RawData,AQ$4,FALSE)-VLOOKUP($B30,RawData,AQ$4,FALSE))*VLOOKUP(AQ$3,ConversionFactors,2,FALSE)/1000</f>
        <v>1529.92</v>
      </c>
      <c r="AR30" s="2161">
        <f ca="1">(VLOOKUP($B5,RawData,AR$4,FALSE)-VLOOKUP($B30,RawData,AR$4,FALSE))*VLOOKUP(AR$3,ConversionFactors,2,FALSE)/1000</f>
        <v>35022</v>
      </c>
      <c r="AS30" s="2172">
        <f t="shared" ca="1" si="29"/>
        <v>0</v>
      </c>
      <c r="AT30" s="2173">
        <f t="shared" si="40"/>
        <v>0</v>
      </c>
      <c r="AU30" s="2173">
        <f t="shared" si="40"/>
        <v>0</v>
      </c>
      <c r="AV30" s="2173">
        <f t="shared" si="40"/>
        <v>0</v>
      </c>
      <c r="AW30" s="2173">
        <f t="shared" si="40"/>
        <v>0</v>
      </c>
      <c r="AX30" s="2173">
        <f t="shared" si="40"/>
        <v>0</v>
      </c>
      <c r="AY30" s="2173">
        <f t="shared" ca="1" si="31"/>
        <v>0</v>
      </c>
      <c r="AZ30" s="2173">
        <f t="shared" ca="1" si="31"/>
        <v>0</v>
      </c>
      <c r="BA30" s="2173">
        <f t="shared" ca="1" si="31"/>
        <v>0</v>
      </c>
      <c r="BB30" s="2173">
        <f t="shared" ca="1" si="31"/>
        <v>0</v>
      </c>
      <c r="BC30" s="2173">
        <f t="shared" si="32"/>
        <v>0</v>
      </c>
      <c r="BD30" s="2174">
        <f t="shared" ca="1" si="33"/>
        <v>0</v>
      </c>
      <c r="BE30" s="2167">
        <v>0</v>
      </c>
      <c r="BF30" s="2167">
        <v>0</v>
      </c>
      <c r="BG30" s="2167">
        <f t="shared" si="34"/>
        <v>0</v>
      </c>
      <c r="BH30" s="2167">
        <v>0</v>
      </c>
      <c r="BI30" s="2167">
        <f t="shared" si="35"/>
        <v>0</v>
      </c>
      <c r="BJ30" s="2167">
        <v>0</v>
      </c>
      <c r="BK30" s="2167">
        <v>0</v>
      </c>
      <c r="BL30" s="2167">
        <v>0</v>
      </c>
      <c r="BM30" s="2167">
        <f t="shared" si="38"/>
        <v>0</v>
      </c>
      <c r="BN30" s="2167">
        <f t="shared" si="36"/>
        <v>0</v>
      </c>
      <c r="BO30" s="2170">
        <v>0</v>
      </c>
      <c r="BP30" s="2168">
        <f t="shared" ca="1" si="8"/>
        <v>-185458.15918484741</v>
      </c>
      <c r="BQ30" s="648"/>
      <c r="CA30" s="555" t="s">
        <v>1037</v>
      </c>
      <c r="CB30" s="20" t="s">
        <v>3094</v>
      </c>
      <c r="CC30" s="20" t="s">
        <v>3095</v>
      </c>
      <c r="CD30" s="20" t="s">
        <v>3096</v>
      </c>
      <c r="CE30" s="20" t="s">
        <v>3097</v>
      </c>
      <c r="CF30" s="20" t="s">
        <v>3098</v>
      </c>
      <c r="CG30" s="20" t="s">
        <v>3099</v>
      </c>
      <c r="CH30" s="20" t="s">
        <v>3100</v>
      </c>
      <c r="CI30" s="20" t="s">
        <v>3101</v>
      </c>
      <c r="CJ30" s="20" t="s">
        <v>3102</v>
      </c>
      <c r="CK30" s="20" t="s">
        <v>3103</v>
      </c>
      <c r="CL30" s="20" t="s">
        <v>3104</v>
      </c>
      <c r="CM30" s="20" t="s">
        <v>3105</v>
      </c>
      <c r="CN30" s="20" t="s">
        <v>3106</v>
      </c>
      <c r="CO30" s="20" t="s">
        <v>3107</v>
      </c>
      <c r="CP30" s="20">
        <v>0</v>
      </c>
      <c r="CQ30" s="20" t="s">
        <v>3108</v>
      </c>
      <c r="CR30" s="20" t="s">
        <v>3109</v>
      </c>
      <c r="CS30" s="20" t="s">
        <v>3110</v>
      </c>
      <c r="CT30" s="20" t="s">
        <v>3111</v>
      </c>
      <c r="CU30" s="20" t="s">
        <v>3112</v>
      </c>
      <c r="CV30" s="20" t="s">
        <v>3113</v>
      </c>
      <c r="CW30" s="20" t="s">
        <v>3114</v>
      </c>
      <c r="CX30" s="20" t="s">
        <v>3115</v>
      </c>
      <c r="CY30" s="20" t="s">
        <v>3116</v>
      </c>
      <c r="CZ30" s="20" t="s">
        <v>3117</v>
      </c>
      <c r="DA30" s="20" t="s">
        <v>3118</v>
      </c>
      <c r="DB30" s="20" t="s">
        <v>3119</v>
      </c>
      <c r="DC30" s="20" t="s">
        <v>3120</v>
      </c>
      <c r="DD30" s="20" t="s">
        <v>3121</v>
      </c>
      <c r="DE30" s="20" t="s">
        <v>3122</v>
      </c>
      <c r="DF30" s="20" t="s">
        <v>3123</v>
      </c>
      <c r="DG30" s="20" t="s">
        <v>3124</v>
      </c>
      <c r="DH30" s="20" t="s">
        <v>3125</v>
      </c>
      <c r="DI30" s="20" t="s">
        <v>3126</v>
      </c>
      <c r="DJ30" s="20" t="s">
        <v>3127</v>
      </c>
      <c r="DK30" s="20" t="s">
        <v>3128</v>
      </c>
      <c r="DL30" s="20" t="s">
        <v>3129</v>
      </c>
      <c r="DM30" s="20" t="s">
        <v>3130</v>
      </c>
      <c r="DN30" s="20" t="s">
        <v>3131</v>
      </c>
      <c r="DO30" s="20" t="s">
        <v>3132</v>
      </c>
      <c r="DP30" s="20" t="s">
        <v>3133</v>
      </c>
      <c r="DQ30" s="20" t="s">
        <v>3134</v>
      </c>
      <c r="DR30" s="20" t="s">
        <v>3135</v>
      </c>
      <c r="DS30" s="20" t="s">
        <v>3136</v>
      </c>
      <c r="DT30" s="20" t="s">
        <v>3137</v>
      </c>
      <c r="DU30" s="20" t="s">
        <v>3138</v>
      </c>
      <c r="DV30" s="20" t="s">
        <v>3139</v>
      </c>
      <c r="DW30" s="20" t="s">
        <v>3140</v>
      </c>
      <c r="DX30" s="20" t="s">
        <v>3141</v>
      </c>
      <c r="DY30" s="20" t="s">
        <v>3142</v>
      </c>
      <c r="DZ30" s="20" t="s">
        <v>3143</v>
      </c>
      <c r="EA30" s="20" t="s">
        <v>3144</v>
      </c>
      <c r="EB30" s="20">
        <v>0</v>
      </c>
      <c r="EC30" s="20">
        <v>0</v>
      </c>
      <c r="ED30" s="20" t="s">
        <v>3145</v>
      </c>
      <c r="EE30" s="20">
        <v>0</v>
      </c>
      <c r="EF30" s="20" t="s">
        <v>3146</v>
      </c>
      <c r="EG30" s="20">
        <v>0</v>
      </c>
      <c r="EH30" s="20">
        <v>0</v>
      </c>
      <c r="EI30" s="20">
        <v>0</v>
      </c>
      <c r="EJ30" s="20" t="s">
        <v>3147</v>
      </c>
      <c r="EK30" s="20" t="s">
        <v>3148</v>
      </c>
      <c r="EL30" s="20">
        <v>0</v>
      </c>
    </row>
    <row r="31" spans="1:142" s="20" customFormat="1" ht="11.25" x14ac:dyDescent="0.2">
      <c r="A31" s="557" t="str">
        <f>TCOALLIQ</f>
        <v>Coal liquefaction plants</v>
      </c>
      <c r="B31" s="230" t="s">
        <v>1044</v>
      </c>
      <c r="C31" s="230" t="s">
        <v>1653</v>
      </c>
      <c r="D31" s="221">
        <f t="shared" si="23"/>
        <v>16</v>
      </c>
      <c r="E31" s="2169">
        <f t="shared" ref="E31:F35" ca="1" si="56">-VLOOKUP($B31,RawData,E$4,FALSE)*VLOOKUP(E$3,ConversionFactors,$D31,FALSE)/1000</f>
        <v>0</v>
      </c>
      <c r="F31" s="2169">
        <f t="shared" ca="1" si="56"/>
        <v>0</v>
      </c>
      <c r="G31" s="2246">
        <f>-VLOOKUP($B31,RawData,G$4,FALSE)*0.4968</f>
        <v>-4926.5172000000002</v>
      </c>
      <c r="H31" s="2169">
        <f t="shared" ref="H31:I35" ca="1" si="57">-VLOOKUP($B31,RawData,H$4,FALSE)*VLOOKUP(H$3,ConversionFactors,$D31,FALSE)/1000</f>
        <v>0</v>
      </c>
      <c r="I31" s="2169">
        <f t="shared" ca="1" si="57"/>
        <v>0</v>
      </c>
      <c r="J31" s="2169">
        <f t="shared" ca="1" si="39"/>
        <v>0</v>
      </c>
      <c r="K31" s="2169">
        <f t="shared" ca="1" si="41"/>
        <v>0</v>
      </c>
      <c r="L31" s="2169">
        <f t="shared" ca="1" si="44"/>
        <v>0</v>
      </c>
      <c r="M31" s="2169">
        <f t="shared" ca="1" si="42"/>
        <v>0</v>
      </c>
      <c r="N31" s="2169">
        <f t="shared" ca="1" si="53"/>
        <v>0</v>
      </c>
      <c r="O31" s="2169">
        <f t="shared" ca="1" si="45"/>
        <v>0</v>
      </c>
      <c r="P31" s="2169">
        <f t="shared" ca="1" si="43"/>
        <v>0</v>
      </c>
      <c r="Q31" s="2169">
        <f t="shared" ca="1" si="46"/>
        <v>0</v>
      </c>
      <c r="R31" s="2169">
        <f t="shared" ca="1" si="46"/>
        <v>0</v>
      </c>
      <c r="S31" s="2170">
        <v>0</v>
      </c>
      <c r="T31" s="2169">
        <f t="shared" ca="1" si="50"/>
        <v>0</v>
      </c>
      <c r="U31" s="2169">
        <f t="shared" ca="1" si="54"/>
        <v>0</v>
      </c>
      <c r="V31" s="2169">
        <f t="shared" ca="1" si="51"/>
        <v>0</v>
      </c>
      <c r="W31" s="2161">
        <f t="shared" ca="1" si="47"/>
        <v>0</v>
      </c>
      <c r="X31" s="2161">
        <f t="shared" ca="1" si="47"/>
        <v>0</v>
      </c>
      <c r="Y31" s="2161">
        <f t="shared" ca="1" si="52"/>
        <v>0</v>
      </c>
      <c r="Z31" s="2161">
        <f ca="1">-VLOOKUP($B31,RawData,Z$4,FALSE)*VLOOKUP(Z$3,ConversionFactors,2,FALSE)/1000</f>
        <v>0</v>
      </c>
      <c r="AA31" s="2161">
        <f ca="1">(VLOOKUP("OSCOAL",RawData,AA$4,FALSE)-VLOOKUP($B31,RawData,AA$4,FALSE))*VLOOKUP(AA$3,ConversionFactors,2,FALSE)/1000</f>
        <v>149883.48000000001</v>
      </c>
      <c r="AB31" s="2161">
        <f t="shared" ref="AB31:AK35" ca="1" si="58">-VLOOKUP($B31,RawData,AB$4,FALSE)*VLOOKUP(AB$3,ConversionFactors,2,FALSE)/1000</f>
        <v>0</v>
      </c>
      <c r="AC31" s="2161">
        <f t="shared" ca="1" si="58"/>
        <v>0</v>
      </c>
      <c r="AD31" s="2161">
        <f t="shared" ca="1" si="58"/>
        <v>0</v>
      </c>
      <c r="AE31" s="2161">
        <f t="shared" ca="1" si="58"/>
        <v>0</v>
      </c>
      <c r="AF31" s="2161">
        <f t="shared" ca="1" si="58"/>
        <v>0</v>
      </c>
      <c r="AG31" s="2161">
        <f t="shared" ca="1" si="58"/>
        <v>0</v>
      </c>
      <c r="AH31" s="2161">
        <f t="shared" ca="1" si="58"/>
        <v>0</v>
      </c>
      <c r="AI31" s="2161">
        <f t="shared" ca="1" si="58"/>
        <v>0</v>
      </c>
      <c r="AJ31" s="2161">
        <f t="shared" ca="1" si="58"/>
        <v>0</v>
      </c>
      <c r="AK31" s="2161">
        <f t="shared" ca="1" si="58"/>
        <v>0</v>
      </c>
      <c r="AL31" s="2161">
        <f t="shared" ref="AL31:AR35" ca="1" si="59">-VLOOKUP($B31,RawData,AL$4,FALSE)*VLOOKUP(AL$3,ConversionFactors,2,FALSE)/1000</f>
        <v>0</v>
      </c>
      <c r="AM31" s="2161">
        <f t="shared" ca="1" si="59"/>
        <v>0</v>
      </c>
      <c r="AN31" s="2161">
        <f t="shared" ca="1" si="59"/>
        <v>0</v>
      </c>
      <c r="AO31" s="2161">
        <f t="shared" ca="1" si="59"/>
        <v>0</v>
      </c>
      <c r="AP31" s="2161">
        <f t="shared" ca="1" si="59"/>
        <v>0</v>
      </c>
      <c r="AQ31" s="2161">
        <f t="shared" ca="1" si="59"/>
        <v>0</v>
      </c>
      <c r="AR31" s="2171">
        <f t="shared" ca="1" si="59"/>
        <v>0</v>
      </c>
      <c r="AS31" s="2172">
        <f t="shared" ca="1" si="29"/>
        <v>0</v>
      </c>
      <c r="AT31" s="2173">
        <f t="shared" si="40"/>
        <v>0</v>
      </c>
      <c r="AU31" s="2173">
        <f t="shared" si="40"/>
        <v>0</v>
      </c>
      <c r="AV31" s="2173">
        <f t="shared" si="40"/>
        <v>0</v>
      </c>
      <c r="AW31" s="2173">
        <f t="shared" si="40"/>
        <v>0</v>
      </c>
      <c r="AX31" s="2173">
        <f t="shared" si="40"/>
        <v>0</v>
      </c>
      <c r="AY31" s="2173">
        <f t="shared" ca="1" si="31"/>
        <v>0</v>
      </c>
      <c r="AZ31" s="2173">
        <f t="shared" ca="1" si="31"/>
        <v>0</v>
      </c>
      <c r="BA31" s="2173">
        <f t="shared" ca="1" si="31"/>
        <v>0</v>
      </c>
      <c r="BB31" s="2173">
        <f t="shared" ca="1" si="31"/>
        <v>0</v>
      </c>
      <c r="BC31" s="2173">
        <f t="shared" si="32"/>
        <v>0</v>
      </c>
      <c r="BD31" s="2174">
        <f t="shared" ca="1" si="33"/>
        <v>0</v>
      </c>
      <c r="BE31" s="2167">
        <v>0</v>
      </c>
      <c r="BF31" s="2167">
        <v>0</v>
      </c>
      <c r="BG31" s="2167">
        <f t="shared" si="34"/>
        <v>0</v>
      </c>
      <c r="BH31" s="2167">
        <v>0</v>
      </c>
      <c r="BI31" s="2167">
        <f t="shared" si="35"/>
        <v>0</v>
      </c>
      <c r="BJ31" s="2167">
        <v>0</v>
      </c>
      <c r="BK31" s="2167">
        <v>0</v>
      </c>
      <c r="BL31" s="2167">
        <v>0</v>
      </c>
      <c r="BM31" s="2167">
        <f t="shared" si="38"/>
        <v>0</v>
      </c>
      <c r="BN31" s="2167">
        <f t="shared" si="36"/>
        <v>0</v>
      </c>
      <c r="BO31" s="2170">
        <v>0</v>
      </c>
      <c r="BP31" s="2168">
        <f t="shared" ca="1" si="8"/>
        <v>144956.96280000001</v>
      </c>
      <c r="BQ31" s="648"/>
      <c r="CA31" s="555" t="s">
        <v>1044</v>
      </c>
      <c r="CB31" s="20" t="s">
        <v>3149</v>
      </c>
      <c r="CC31" s="20" t="s">
        <v>3150</v>
      </c>
      <c r="CD31" s="20" t="s">
        <v>3151</v>
      </c>
      <c r="CE31" s="20" t="s">
        <v>3152</v>
      </c>
      <c r="CF31" s="20" t="s">
        <v>3153</v>
      </c>
      <c r="CG31" s="20" t="s">
        <v>3154</v>
      </c>
      <c r="CH31" s="20" t="s">
        <v>3155</v>
      </c>
      <c r="CI31" s="20" t="s">
        <v>3156</v>
      </c>
      <c r="CJ31" s="20" t="s">
        <v>3157</v>
      </c>
      <c r="CK31" s="20" t="s">
        <v>3158</v>
      </c>
      <c r="CL31" s="20" t="s">
        <v>3159</v>
      </c>
      <c r="CM31" s="20" t="s">
        <v>3160</v>
      </c>
      <c r="CN31" s="20" t="s">
        <v>3161</v>
      </c>
      <c r="CO31" s="20" t="s">
        <v>3162</v>
      </c>
      <c r="CP31" s="20">
        <v>0</v>
      </c>
      <c r="CQ31" s="20" t="s">
        <v>3163</v>
      </c>
      <c r="CR31" s="20" t="s">
        <v>3164</v>
      </c>
      <c r="CS31" s="20" t="s">
        <v>3165</v>
      </c>
      <c r="CT31" s="20" t="s">
        <v>3166</v>
      </c>
      <c r="CU31" s="20" t="s">
        <v>3167</v>
      </c>
      <c r="CV31" s="20" t="s">
        <v>3168</v>
      </c>
      <c r="CW31" s="20" t="s">
        <v>3169</v>
      </c>
      <c r="CX31" s="20" t="s">
        <v>3170</v>
      </c>
      <c r="CY31" s="20" t="s">
        <v>3171</v>
      </c>
      <c r="CZ31" s="20" t="s">
        <v>3172</v>
      </c>
      <c r="DA31" s="20" t="s">
        <v>3173</v>
      </c>
      <c r="DB31" s="20" t="s">
        <v>3174</v>
      </c>
      <c r="DC31" s="20" t="s">
        <v>3175</v>
      </c>
      <c r="DD31" s="20" t="s">
        <v>3176</v>
      </c>
      <c r="DE31" s="20" t="s">
        <v>3177</v>
      </c>
      <c r="DF31" s="20" t="s">
        <v>3178</v>
      </c>
      <c r="DG31" s="20" t="s">
        <v>3179</v>
      </c>
      <c r="DH31" s="20" t="s">
        <v>3180</v>
      </c>
      <c r="DI31" s="20" t="s">
        <v>3181</v>
      </c>
      <c r="DJ31" s="20" t="s">
        <v>3182</v>
      </c>
      <c r="DK31" s="20" t="s">
        <v>3183</v>
      </c>
      <c r="DL31" s="20" t="s">
        <v>3184</v>
      </c>
      <c r="DM31" s="20" t="s">
        <v>3185</v>
      </c>
      <c r="DN31" s="20" t="s">
        <v>3186</v>
      </c>
      <c r="DO31" s="20" t="s">
        <v>3187</v>
      </c>
      <c r="DP31" s="20" t="s">
        <v>3188</v>
      </c>
      <c r="DQ31" s="20" t="s">
        <v>3189</v>
      </c>
      <c r="DR31" s="20" t="s">
        <v>3190</v>
      </c>
      <c r="DS31" s="20" t="s">
        <v>3191</v>
      </c>
      <c r="DT31" s="20" t="s">
        <v>3192</v>
      </c>
      <c r="DU31" s="20" t="s">
        <v>3193</v>
      </c>
      <c r="DV31" s="20" t="s">
        <v>3194</v>
      </c>
      <c r="DW31" s="20" t="s">
        <v>3195</v>
      </c>
      <c r="DX31" s="20" t="s">
        <v>3196</v>
      </c>
      <c r="DY31" s="20" t="s">
        <v>3197</v>
      </c>
      <c r="DZ31" s="20" t="s">
        <v>3198</v>
      </c>
      <c r="EA31" s="20" t="s">
        <v>3199</v>
      </c>
      <c r="EB31" s="20">
        <v>0</v>
      </c>
      <c r="EC31" s="20">
        <v>0</v>
      </c>
      <c r="ED31" s="20" t="s">
        <v>3200</v>
      </c>
      <c r="EE31" s="20">
        <v>0</v>
      </c>
      <c r="EF31" s="20" t="s">
        <v>3201</v>
      </c>
      <c r="EG31" s="20">
        <v>0</v>
      </c>
      <c r="EH31" s="20">
        <v>0</v>
      </c>
      <c r="EI31" s="20">
        <v>0</v>
      </c>
      <c r="EJ31" s="20" t="s">
        <v>3202</v>
      </c>
      <c r="EK31" s="20" t="s">
        <v>3203</v>
      </c>
      <c r="EL31" s="20">
        <v>0</v>
      </c>
    </row>
    <row r="32" spans="1:142" s="20" customFormat="1" ht="11.25" x14ac:dyDescent="0.2">
      <c r="A32" s="557" t="str">
        <f>TGTL</f>
        <v>Gas-to-liquids (GTL) plants</v>
      </c>
      <c r="B32" s="230" t="s">
        <v>1051</v>
      </c>
      <c r="C32" s="230" t="s">
        <v>1653</v>
      </c>
      <c r="D32" s="221">
        <f t="shared" si="23"/>
        <v>16</v>
      </c>
      <c r="E32" s="2169">
        <f t="shared" ca="1" si="56"/>
        <v>0</v>
      </c>
      <c r="F32" s="2169">
        <f t="shared" ca="1" si="56"/>
        <v>0</v>
      </c>
      <c r="G32" s="2169">
        <f ca="1">-VLOOKUP($B32,RawData,G$4,FALSE)*VLOOKUP(G$3,ConversionFactors,$D32,FALSE)/1000</f>
        <v>0</v>
      </c>
      <c r="H32" s="2169">
        <f t="shared" ca="1" si="57"/>
        <v>0</v>
      </c>
      <c r="I32" s="2169">
        <f t="shared" ca="1" si="57"/>
        <v>0</v>
      </c>
      <c r="J32" s="2169">
        <f t="shared" ca="1" si="39"/>
        <v>0</v>
      </c>
      <c r="K32" s="2169">
        <f t="shared" ca="1" si="41"/>
        <v>0</v>
      </c>
      <c r="L32" s="2169">
        <f t="shared" ca="1" si="44"/>
        <v>0</v>
      </c>
      <c r="M32" s="2169">
        <f t="shared" ca="1" si="42"/>
        <v>0</v>
      </c>
      <c r="N32" s="2169">
        <f t="shared" ca="1" si="53"/>
        <v>0</v>
      </c>
      <c r="O32" s="2169">
        <f t="shared" ca="1" si="45"/>
        <v>0</v>
      </c>
      <c r="P32" s="2169">
        <f t="shared" ca="1" si="43"/>
        <v>0</v>
      </c>
      <c r="Q32" s="2169">
        <f t="shared" ca="1" si="46"/>
        <v>0</v>
      </c>
      <c r="R32" s="2169">
        <f t="shared" ca="1" si="46"/>
        <v>0</v>
      </c>
      <c r="S32" s="2170">
        <v>0</v>
      </c>
      <c r="T32" s="2169">
        <f t="shared" ca="1" si="50"/>
        <v>0</v>
      </c>
      <c r="U32" s="2169">
        <f t="shared" ca="1" si="54"/>
        <v>0</v>
      </c>
      <c r="V32" s="2169">
        <f t="shared" ca="1" si="51"/>
        <v>0</v>
      </c>
      <c r="W32" s="2161">
        <f t="shared" ca="1" si="47"/>
        <v>0</v>
      </c>
      <c r="X32" s="2161">
        <f t="shared" ca="1" si="47"/>
        <v>0</v>
      </c>
      <c r="Y32" s="2161">
        <f t="shared" ca="1" si="52"/>
        <v>0</v>
      </c>
      <c r="Z32" s="2161">
        <f ca="1">-VLOOKUP($B32,RawData,Z$4,FALSE)*VLOOKUP(Z$3,ConversionFactors,2,FALSE)/1000</f>
        <v>0</v>
      </c>
      <c r="AA32" s="2161">
        <f ca="1">(VLOOKUP("OSNATGAS",RawData,AA$4,FALSE)-VLOOKUP($B32,RawData,AA$4,FALSE))*VLOOKUP(AA$3,ConversionFactors,2,FALSE)/1000</f>
        <v>53724.252399999998</v>
      </c>
      <c r="AB32" s="2161">
        <f t="shared" ca="1" si="58"/>
        <v>0</v>
      </c>
      <c r="AC32" s="2161">
        <f t="shared" ca="1" si="58"/>
        <v>0</v>
      </c>
      <c r="AD32" s="2161">
        <f t="shared" ca="1" si="58"/>
        <v>0</v>
      </c>
      <c r="AE32" s="2161">
        <f t="shared" ca="1" si="58"/>
        <v>0</v>
      </c>
      <c r="AF32" s="2161">
        <f t="shared" ca="1" si="58"/>
        <v>0</v>
      </c>
      <c r="AG32" s="2161">
        <f t="shared" ca="1" si="58"/>
        <v>0</v>
      </c>
      <c r="AH32" s="2161">
        <f t="shared" ca="1" si="58"/>
        <v>0</v>
      </c>
      <c r="AI32" s="2161">
        <f t="shared" ca="1" si="58"/>
        <v>0</v>
      </c>
      <c r="AJ32" s="2161">
        <f t="shared" ca="1" si="58"/>
        <v>0</v>
      </c>
      <c r="AK32" s="2161">
        <f t="shared" ca="1" si="58"/>
        <v>0</v>
      </c>
      <c r="AL32" s="2161">
        <f t="shared" ca="1" si="59"/>
        <v>0</v>
      </c>
      <c r="AM32" s="2161">
        <f t="shared" ca="1" si="59"/>
        <v>0</v>
      </c>
      <c r="AN32" s="2161">
        <f t="shared" ca="1" si="59"/>
        <v>0</v>
      </c>
      <c r="AO32" s="2161">
        <f t="shared" ca="1" si="59"/>
        <v>0</v>
      </c>
      <c r="AP32" s="2161">
        <f t="shared" ca="1" si="59"/>
        <v>0</v>
      </c>
      <c r="AQ32" s="2161">
        <f t="shared" ca="1" si="59"/>
        <v>0</v>
      </c>
      <c r="AR32" s="2171">
        <f t="shared" ca="1" si="59"/>
        <v>0</v>
      </c>
      <c r="AS32" s="2172">
        <f t="shared" ca="1" si="29"/>
        <v>-52231.303124999999</v>
      </c>
      <c r="AT32" s="2173">
        <f t="shared" si="40"/>
        <v>0</v>
      </c>
      <c r="AU32" s="2173">
        <f t="shared" si="40"/>
        <v>0</v>
      </c>
      <c r="AV32" s="2173">
        <f t="shared" si="40"/>
        <v>0</v>
      </c>
      <c r="AW32" s="2173">
        <f t="shared" si="40"/>
        <v>0</v>
      </c>
      <c r="AX32" s="2173">
        <f t="shared" si="40"/>
        <v>0</v>
      </c>
      <c r="AY32" s="2173">
        <f t="shared" ca="1" si="31"/>
        <v>0</v>
      </c>
      <c r="AZ32" s="2173">
        <f t="shared" ca="1" si="31"/>
        <v>0</v>
      </c>
      <c r="BA32" s="2173">
        <f t="shared" ca="1" si="31"/>
        <v>0</v>
      </c>
      <c r="BB32" s="2173">
        <f t="shared" ca="1" si="31"/>
        <v>0</v>
      </c>
      <c r="BC32" s="2173">
        <f t="shared" si="32"/>
        <v>0</v>
      </c>
      <c r="BD32" s="2174">
        <f t="shared" ca="1" si="33"/>
        <v>0</v>
      </c>
      <c r="BE32" s="2167">
        <v>0</v>
      </c>
      <c r="BF32" s="2167">
        <v>0</v>
      </c>
      <c r="BG32" s="2167">
        <f t="shared" si="34"/>
        <v>0</v>
      </c>
      <c r="BH32" s="2167">
        <v>0</v>
      </c>
      <c r="BI32" s="2167">
        <f t="shared" si="35"/>
        <v>0</v>
      </c>
      <c r="BJ32" s="2167">
        <v>0</v>
      </c>
      <c r="BK32" s="2167">
        <v>0</v>
      </c>
      <c r="BL32" s="2167">
        <v>0</v>
      </c>
      <c r="BM32" s="2167">
        <f t="shared" si="38"/>
        <v>0</v>
      </c>
      <c r="BN32" s="2167">
        <f t="shared" si="36"/>
        <v>0</v>
      </c>
      <c r="BO32" s="2170">
        <v>0</v>
      </c>
      <c r="BP32" s="2168">
        <f t="shared" ca="1" si="8"/>
        <v>1492.949274999999</v>
      </c>
      <c r="BQ32" s="648"/>
      <c r="CA32" s="555" t="s">
        <v>1051</v>
      </c>
      <c r="CB32" s="20" t="s">
        <v>3204</v>
      </c>
      <c r="CC32" s="20" t="s">
        <v>3205</v>
      </c>
      <c r="CD32" s="20" t="s">
        <v>3206</v>
      </c>
      <c r="CE32" s="20" t="s">
        <v>3207</v>
      </c>
      <c r="CF32" s="20" t="s">
        <v>3208</v>
      </c>
      <c r="CG32" s="20" t="s">
        <v>3209</v>
      </c>
      <c r="CH32" s="20" t="s">
        <v>3210</v>
      </c>
      <c r="CI32" s="20" t="s">
        <v>3211</v>
      </c>
      <c r="CJ32" s="20" t="s">
        <v>3212</v>
      </c>
      <c r="CK32" s="20" t="s">
        <v>3213</v>
      </c>
      <c r="CL32" s="20" t="s">
        <v>3214</v>
      </c>
      <c r="CM32" s="20" t="s">
        <v>3215</v>
      </c>
      <c r="CN32" s="20" t="s">
        <v>3216</v>
      </c>
      <c r="CO32" s="20" t="s">
        <v>3217</v>
      </c>
      <c r="CP32" s="20">
        <v>0</v>
      </c>
      <c r="CQ32" s="20" t="s">
        <v>3218</v>
      </c>
      <c r="CR32" s="20" t="s">
        <v>3219</v>
      </c>
      <c r="CS32" s="20" t="s">
        <v>3220</v>
      </c>
      <c r="CT32" s="20" t="s">
        <v>3221</v>
      </c>
      <c r="CU32" s="20" t="s">
        <v>3222</v>
      </c>
      <c r="CV32" s="20" t="s">
        <v>3223</v>
      </c>
      <c r="CW32" s="20" t="s">
        <v>3224</v>
      </c>
      <c r="CX32" s="20" t="s">
        <v>3225</v>
      </c>
      <c r="CY32" s="20" t="s">
        <v>3226</v>
      </c>
      <c r="CZ32" s="20" t="s">
        <v>3227</v>
      </c>
      <c r="DA32" s="20" t="s">
        <v>3228</v>
      </c>
      <c r="DB32" s="20" t="s">
        <v>3229</v>
      </c>
      <c r="DC32" s="20" t="s">
        <v>3230</v>
      </c>
      <c r="DD32" s="20" t="s">
        <v>3231</v>
      </c>
      <c r="DE32" s="20" t="s">
        <v>3232</v>
      </c>
      <c r="DF32" s="20" t="s">
        <v>3233</v>
      </c>
      <c r="DG32" s="20" t="s">
        <v>3234</v>
      </c>
      <c r="DH32" s="20" t="s">
        <v>3235</v>
      </c>
      <c r="DI32" s="20" t="s">
        <v>3236</v>
      </c>
      <c r="DJ32" s="20" t="s">
        <v>3237</v>
      </c>
      <c r="DK32" s="20" t="s">
        <v>3238</v>
      </c>
      <c r="DL32" s="20" t="s">
        <v>3239</v>
      </c>
      <c r="DM32" s="20" t="s">
        <v>3240</v>
      </c>
      <c r="DN32" s="20" t="s">
        <v>3241</v>
      </c>
      <c r="DO32" s="20" t="s">
        <v>3242</v>
      </c>
      <c r="DP32" s="20" t="s">
        <v>3243</v>
      </c>
      <c r="DQ32" s="20" t="s">
        <v>3244</v>
      </c>
      <c r="DR32" s="20" t="s">
        <v>3245</v>
      </c>
      <c r="DS32" s="20" t="s">
        <v>3246</v>
      </c>
      <c r="DT32" s="20" t="s">
        <v>3247</v>
      </c>
      <c r="DU32" s="20" t="s">
        <v>3248</v>
      </c>
      <c r="DV32" s="20" t="s">
        <v>3249</v>
      </c>
      <c r="DW32" s="20" t="s">
        <v>3250</v>
      </c>
      <c r="DX32" s="20" t="s">
        <v>3251</v>
      </c>
      <c r="DY32" s="20" t="s">
        <v>3252</v>
      </c>
      <c r="DZ32" s="20" t="s">
        <v>3253</v>
      </c>
      <c r="EA32" s="20" t="s">
        <v>3254</v>
      </c>
      <c r="EB32" s="20">
        <v>0</v>
      </c>
      <c r="EC32" s="20">
        <v>0</v>
      </c>
      <c r="ED32" s="20" t="s">
        <v>3255</v>
      </c>
      <c r="EE32" s="20">
        <v>0</v>
      </c>
      <c r="EF32" s="20" t="s">
        <v>3256</v>
      </c>
      <c r="EG32" s="20">
        <v>0</v>
      </c>
      <c r="EH32" s="20">
        <v>0</v>
      </c>
      <c r="EI32" s="20">
        <v>0</v>
      </c>
      <c r="EJ32" s="20" t="s">
        <v>3257</v>
      </c>
      <c r="EK32" s="20" t="s">
        <v>3258</v>
      </c>
      <c r="EL32" s="20">
        <v>0</v>
      </c>
    </row>
    <row r="33" spans="1:142" s="20" customFormat="1" ht="11.25" x14ac:dyDescent="0.2">
      <c r="A33" s="557" t="str">
        <f>TBLENDGAS</f>
        <v>For blended natural gas</v>
      </c>
      <c r="B33" s="230" t="s">
        <v>1058</v>
      </c>
      <c r="C33" s="230" t="s">
        <v>1653</v>
      </c>
      <c r="D33" s="221">
        <f t="shared" si="23"/>
        <v>16</v>
      </c>
      <c r="E33" s="2169">
        <f t="shared" ca="1" si="56"/>
        <v>0</v>
      </c>
      <c r="F33" s="2169">
        <f t="shared" ca="1" si="56"/>
        <v>0</v>
      </c>
      <c r="G33" s="2169">
        <f ca="1">-VLOOKUP($B33,RawData,G$4,FALSE)*VLOOKUP(G$3,ConversionFactors,$D33,FALSE)/1000</f>
        <v>0</v>
      </c>
      <c r="H33" s="2169">
        <f t="shared" ca="1" si="57"/>
        <v>0</v>
      </c>
      <c r="I33" s="2169">
        <f t="shared" ca="1" si="57"/>
        <v>0</v>
      </c>
      <c r="J33" s="2169">
        <f t="shared" ca="1" si="39"/>
        <v>0</v>
      </c>
      <c r="K33" s="2169">
        <f t="shared" ca="1" si="41"/>
        <v>0</v>
      </c>
      <c r="L33" s="2169">
        <f t="shared" ca="1" si="44"/>
        <v>0</v>
      </c>
      <c r="M33" s="2169">
        <f t="shared" ca="1" si="42"/>
        <v>0</v>
      </c>
      <c r="N33" s="2169">
        <f t="shared" ca="1" si="53"/>
        <v>0</v>
      </c>
      <c r="O33" s="2169">
        <f t="shared" ca="1" si="45"/>
        <v>0</v>
      </c>
      <c r="P33" s="2169">
        <f t="shared" ca="1" si="43"/>
        <v>0</v>
      </c>
      <c r="Q33" s="2169">
        <f t="shared" ca="1" si="46"/>
        <v>0</v>
      </c>
      <c r="R33" s="2169">
        <f t="shared" ca="1" si="46"/>
        <v>0</v>
      </c>
      <c r="S33" s="2170">
        <v>0</v>
      </c>
      <c r="T33" s="2169">
        <f t="shared" ca="1" si="50"/>
        <v>0</v>
      </c>
      <c r="U33" s="2169">
        <f t="shared" ca="1" si="54"/>
        <v>0</v>
      </c>
      <c r="V33" s="2169">
        <f t="shared" ca="1" si="51"/>
        <v>0</v>
      </c>
      <c r="W33" s="2161">
        <f t="shared" ca="1" si="47"/>
        <v>0</v>
      </c>
      <c r="X33" s="2161">
        <f t="shared" ca="1" si="47"/>
        <v>0</v>
      </c>
      <c r="Y33" s="2161">
        <f t="shared" ca="1" si="52"/>
        <v>0</v>
      </c>
      <c r="Z33" s="2161">
        <f ca="1">-VLOOKUP($B33,RawData,Z$4,FALSE)*VLOOKUP(Z$3,ConversionFactors,2,FALSE)/1000</f>
        <v>0</v>
      </c>
      <c r="AA33" s="2161">
        <f ca="1">-VLOOKUP($B33,RawData,AA$4,FALSE)*VLOOKUP(AA$3,ConversionFactors,2,FALSE)/1000</f>
        <v>0</v>
      </c>
      <c r="AB33" s="2161">
        <f t="shared" ca="1" si="58"/>
        <v>0</v>
      </c>
      <c r="AC33" s="2161">
        <f t="shared" ca="1" si="58"/>
        <v>0</v>
      </c>
      <c r="AD33" s="2161">
        <f t="shared" ca="1" si="58"/>
        <v>0</v>
      </c>
      <c r="AE33" s="2161">
        <f t="shared" ca="1" si="58"/>
        <v>0</v>
      </c>
      <c r="AF33" s="2161">
        <f t="shared" ca="1" si="58"/>
        <v>0</v>
      </c>
      <c r="AG33" s="2161">
        <f t="shared" ca="1" si="58"/>
        <v>0</v>
      </c>
      <c r="AH33" s="2161">
        <f t="shared" ca="1" si="58"/>
        <v>0</v>
      </c>
      <c r="AI33" s="2161">
        <f t="shared" ca="1" si="58"/>
        <v>0</v>
      </c>
      <c r="AJ33" s="2161">
        <f t="shared" ca="1" si="58"/>
        <v>0</v>
      </c>
      <c r="AK33" s="2161">
        <f t="shared" ca="1" si="58"/>
        <v>0</v>
      </c>
      <c r="AL33" s="2161">
        <f t="shared" ca="1" si="59"/>
        <v>0</v>
      </c>
      <c r="AM33" s="2161">
        <f t="shared" ca="1" si="59"/>
        <v>0</v>
      </c>
      <c r="AN33" s="2161">
        <f t="shared" ca="1" si="59"/>
        <v>0</v>
      </c>
      <c r="AO33" s="2161">
        <f t="shared" ca="1" si="59"/>
        <v>0</v>
      </c>
      <c r="AP33" s="2161">
        <f t="shared" ca="1" si="59"/>
        <v>0</v>
      </c>
      <c r="AQ33" s="2161">
        <f t="shared" ca="1" si="59"/>
        <v>0</v>
      </c>
      <c r="AR33" s="2171">
        <f t="shared" ca="1" si="59"/>
        <v>0</v>
      </c>
      <c r="AS33" s="2172">
        <f ca="1">(SUM(VLOOKUP("OSCOAL",RawData,AS$4,FALSE),VLOOKUP("OSNATGAS",RawData,AS$4,FALSE),VLOOKUP("OSOIL",RawData,AS$4,FALSE),VLOOKUP("OSRENEW",RawData,AS$4,FALSE),VLOOKUP("OSNONSPEC",RawData,AS$4,FALSE),-VLOOKUP($B33,RawData,AS$4,FALSE))*VLOOKUP(AS$3,ConversionFactors,2,FALSE))*1</f>
        <v>0</v>
      </c>
      <c r="AT33" s="2173">
        <f t="shared" si="40"/>
        <v>0</v>
      </c>
      <c r="AU33" s="2173">
        <f t="shared" si="40"/>
        <v>0</v>
      </c>
      <c r="AV33" s="2173">
        <f t="shared" si="40"/>
        <v>0</v>
      </c>
      <c r="AW33" s="2173">
        <f t="shared" si="40"/>
        <v>0</v>
      </c>
      <c r="AX33" s="2173">
        <f t="shared" si="40"/>
        <v>0</v>
      </c>
      <c r="AY33" s="2173">
        <f t="shared" ca="1" si="31"/>
        <v>0</v>
      </c>
      <c r="AZ33" s="2173">
        <f t="shared" ca="1" si="31"/>
        <v>0</v>
      </c>
      <c r="BA33" s="2173">
        <f t="shared" ca="1" si="31"/>
        <v>0</v>
      </c>
      <c r="BB33" s="2173">
        <f t="shared" ca="1" si="31"/>
        <v>0</v>
      </c>
      <c r="BC33" s="2173">
        <f t="shared" si="32"/>
        <v>0</v>
      </c>
      <c r="BD33" s="2174">
        <f t="shared" ca="1" si="33"/>
        <v>0</v>
      </c>
      <c r="BE33" s="2167">
        <v>0</v>
      </c>
      <c r="BF33" s="2167">
        <v>0</v>
      </c>
      <c r="BG33" s="2167">
        <f t="shared" si="34"/>
        <v>0</v>
      </c>
      <c r="BH33" s="2167">
        <v>0</v>
      </c>
      <c r="BI33" s="2167">
        <f t="shared" si="35"/>
        <v>0</v>
      </c>
      <c r="BJ33" s="2167">
        <v>0</v>
      </c>
      <c r="BK33" s="2167">
        <v>0</v>
      </c>
      <c r="BL33" s="2167">
        <v>0</v>
      </c>
      <c r="BM33" s="2167">
        <f t="shared" si="38"/>
        <v>0</v>
      </c>
      <c r="BN33" s="2167">
        <f t="shared" si="36"/>
        <v>0</v>
      </c>
      <c r="BO33" s="2170">
        <v>0</v>
      </c>
      <c r="BP33" s="2168">
        <f t="shared" ca="1" si="8"/>
        <v>0</v>
      </c>
      <c r="BQ33" s="648"/>
      <c r="CA33" s="555" t="s">
        <v>1058</v>
      </c>
      <c r="CB33" s="20" t="s">
        <v>3259</v>
      </c>
      <c r="CC33" s="20" t="s">
        <v>3260</v>
      </c>
      <c r="CD33" s="20" t="s">
        <v>3261</v>
      </c>
      <c r="CE33" s="20" t="s">
        <v>3262</v>
      </c>
      <c r="CF33" s="20" t="s">
        <v>3263</v>
      </c>
      <c r="CG33" s="20" t="s">
        <v>3264</v>
      </c>
      <c r="CH33" s="20" t="s">
        <v>3265</v>
      </c>
      <c r="CI33" s="20" t="s">
        <v>3266</v>
      </c>
      <c r="CJ33" s="20" t="s">
        <v>3267</v>
      </c>
      <c r="CK33" s="20" t="s">
        <v>3268</v>
      </c>
      <c r="CL33" s="20" t="s">
        <v>3269</v>
      </c>
      <c r="CM33" s="20" t="s">
        <v>3270</v>
      </c>
      <c r="CN33" s="20" t="s">
        <v>3271</v>
      </c>
      <c r="CO33" s="20" t="s">
        <v>3272</v>
      </c>
      <c r="CP33" s="20">
        <v>0</v>
      </c>
      <c r="CQ33" s="20" t="s">
        <v>3273</v>
      </c>
      <c r="CR33" s="20" t="s">
        <v>3274</v>
      </c>
      <c r="CS33" s="20" t="s">
        <v>3275</v>
      </c>
      <c r="CT33" s="20" t="s">
        <v>3276</v>
      </c>
      <c r="CU33" s="20" t="s">
        <v>3277</v>
      </c>
      <c r="CV33" s="20" t="s">
        <v>3278</v>
      </c>
      <c r="CW33" s="20" t="s">
        <v>3279</v>
      </c>
      <c r="CX33" s="20" t="s">
        <v>3280</v>
      </c>
      <c r="CY33" s="20" t="s">
        <v>3281</v>
      </c>
      <c r="CZ33" s="20" t="s">
        <v>3282</v>
      </c>
      <c r="DA33" s="20" t="s">
        <v>3283</v>
      </c>
      <c r="DB33" s="20" t="s">
        <v>3284</v>
      </c>
      <c r="DC33" s="20" t="s">
        <v>3285</v>
      </c>
      <c r="DD33" s="20" t="s">
        <v>3286</v>
      </c>
      <c r="DE33" s="20" t="s">
        <v>3287</v>
      </c>
      <c r="DF33" s="20" t="s">
        <v>3288</v>
      </c>
      <c r="DG33" s="20" t="s">
        <v>3289</v>
      </c>
      <c r="DH33" s="20" t="s">
        <v>3290</v>
      </c>
      <c r="DI33" s="20" t="s">
        <v>3291</v>
      </c>
      <c r="DJ33" s="20" t="s">
        <v>3292</v>
      </c>
      <c r="DK33" s="20" t="s">
        <v>3293</v>
      </c>
      <c r="DL33" s="20" t="s">
        <v>3294</v>
      </c>
      <c r="DM33" s="20" t="s">
        <v>3295</v>
      </c>
      <c r="DN33" s="20" t="s">
        <v>3296</v>
      </c>
      <c r="DO33" s="20" t="s">
        <v>3297</v>
      </c>
      <c r="DP33" s="20" t="s">
        <v>3298</v>
      </c>
      <c r="DQ33" s="20" t="s">
        <v>3299</v>
      </c>
      <c r="DR33" s="20" t="s">
        <v>3300</v>
      </c>
      <c r="DS33" s="20" t="s">
        <v>3301</v>
      </c>
      <c r="DT33" s="20" t="s">
        <v>3302</v>
      </c>
      <c r="DU33" s="20" t="s">
        <v>3303</v>
      </c>
      <c r="DV33" s="20" t="s">
        <v>3304</v>
      </c>
      <c r="DW33" s="20" t="s">
        <v>3305</v>
      </c>
      <c r="DX33" s="20" t="s">
        <v>3306</v>
      </c>
      <c r="DY33" s="20" t="s">
        <v>3307</v>
      </c>
      <c r="DZ33" s="20" t="s">
        <v>3308</v>
      </c>
      <c r="EA33" s="20" t="s">
        <v>3309</v>
      </c>
      <c r="EB33" s="20">
        <v>0</v>
      </c>
      <c r="EC33" s="20">
        <v>0</v>
      </c>
      <c r="ED33" s="20" t="s">
        <v>3310</v>
      </c>
      <c r="EE33" s="20">
        <v>0</v>
      </c>
      <c r="EF33" s="20" t="s">
        <v>3311</v>
      </c>
      <c r="EG33" s="20">
        <v>0</v>
      </c>
      <c r="EH33" s="20">
        <v>0</v>
      </c>
      <c r="EI33" s="20">
        <v>0</v>
      </c>
      <c r="EJ33" s="20" t="s">
        <v>3312</v>
      </c>
      <c r="EK33" s="20" t="s">
        <v>3313</v>
      </c>
      <c r="EL33" s="20">
        <v>0</v>
      </c>
    </row>
    <row r="34" spans="1:142" s="20" customFormat="1" ht="11.25" x14ac:dyDescent="0.2">
      <c r="A34" s="557" t="str">
        <f>TCHARCOAL</f>
        <v>Charcoal production plants</v>
      </c>
      <c r="B34" s="230" t="s">
        <v>1065</v>
      </c>
      <c r="C34" s="230" t="s">
        <v>1653</v>
      </c>
      <c r="D34" s="221">
        <f t="shared" si="23"/>
        <v>16</v>
      </c>
      <c r="E34" s="2169">
        <f t="shared" ca="1" si="56"/>
        <v>0</v>
      </c>
      <c r="F34" s="2169">
        <f t="shared" ca="1" si="56"/>
        <v>0</v>
      </c>
      <c r="G34" s="2169">
        <f ca="1">-VLOOKUP($B34,RawData,G$4,FALSE)*VLOOKUP(G$3,ConversionFactors,$D34,FALSE)/1000</f>
        <v>0</v>
      </c>
      <c r="H34" s="2169">
        <f t="shared" ca="1" si="57"/>
        <v>0</v>
      </c>
      <c r="I34" s="2169">
        <f t="shared" ca="1" si="57"/>
        <v>0</v>
      </c>
      <c r="J34" s="2169">
        <f t="shared" ca="1" si="39"/>
        <v>0</v>
      </c>
      <c r="K34" s="2169">
        <f t="shared" ca="1" si="41"/>
        <v>0</v>
      </c>
      <c r="L34" s="2169">
        <f t="shared" ca="1" si="44"/>
        <v>0</v>
      </c>
      <c r="M34" s="2169">
        <f t="shared" ca="1" si="42"/>
        <v>0</v>
      </c>
      <c r="N34" s="2169">
        <f t="shared" ca="1" si="53"/>
        <v>0</v>
      </c>
      <c r="O34" s="2169">
        <f t="shared" ca="1" si="45"/>
        <v>0</v>
      </c>
      <c r="P34" s="2169">
        <f t="shared" ca="1" si="43"/>
        <v>0</v>
      </c>
      <c r="Q34" s="2169">
        <f t="shared" ca="1" si="46"/>
        <v>0</v>
      </c>
      <c r="R34" s="2169">
        <f t="shared" ca="1" si="46"/>
        <v>0</v>
      </c>
      <c r="S34" s="2170">
        <v>0</v>
      </c>
      <c r="T34" s="2169">
        <f t="shared" ca="1" si="50"/>
        <v>0</v>
      </c>
      <c r="U34" s="2169">
        <f t="shared" ca="1" si="54"/>
        <v>0</v>
      </c>
      <c r="V34" s="2169">
        <f t="shared" ca="1" si="51"/>
        <v>0</v>
      </c>
      <c r="W34" s="2161">
        <f t="shared" ca="1" si="47"/>
        <v>0</v>
      </c>
      <c r="X34" s="2161">
        <f t="shared" ca="1" si="47"/>
        <v>0</v>
      </c>
      <c r="Y34" s="2161">
        <f t="shared" ca="1" si="52"/>
        <v>0</v>
      </c>
      <c r="Z34" s="2161">
        <f ca="1">-VLOOKUP($B34,RawData,Z$4,FALSE)*VLOOKUP(Z$3,ConversionFactors,2,FALSE)/1000</f>
        <v>0</v>
      </c>
      <c r="AA34" s="2161">
        <f ca="1">-VLOOKUP($B34,RawData,AA$4,FALSE)*VLOOKUP(AA$3,ConversionFactors,2,FALSE)/1000</f>
        <v>0</v>
      </c>
      <c r="AB34" s="2161">
        <f t="shared" ca="1" si="58"/>
        <v>0</v>
      </c>
      <c r="AC34" s="2161">
        <f t="shared" ca="1" si="58"/>
        <v>0</v>
      </c>
      <c r="AD34" s="2161">
        <f t="shared" ca="1" si="58"/>
        <v>0</v>
      </c>
      <c r="AE34" s="2161">
        <f t="shared" ca="1" si="58"/>
        <v>0</v>
      </c>
      <c r="AF34" s="2161">
        <f t="shared" ca="1" si="58"/>
        <v>0</v>
      </c>
      <c r="AG34" s="2161">
        <f t="shared" ca="1" si="58"/>
        <v>0</v>
      </c>
      <c r="AH34" s="2161">
        <f t="shared" ca="1" si="58"/>
        <v>0</v>
      </c>
      <c r="AI34" s="2161">
        <f t="shared" ca="1" si="58"/>
        <v>0</v>
      </c>
      <c r="AJ34" s="2161">
        <f t="shared" ca="1" si="58"/>
        <v>0</v>
      </c>
      <c r="AK34" s="2161">
        <f t="shared" ca="1" si="58"/>
        <v>0</v>
      </c>
      <c r="AL34" s="2161">
        <f t="shared" ca="1" si="59"/>
        <v>0</v>
      </c>
      <c r="AM34" s="2161">
        <f t="shared" ca="1" si="59"/>
        <v>0</v>
      </c>
      <c r="AN34" s="2161">
        <f t="shared" ca="1" si="59"/>
        <v>0</v>
      </c>
      <c r="AO34" s="2161">
        <f t="shared" ca="1" si="59"/>
        <v>0</v>
      </c>
      <c r="AP34" s="2161">
        <f t="shared" ca="1" si="59"/>
        <v>0</v>
      </c>
      <c r="AQ34" s="2161">
        <f t="shared" ca="1" si="59"/>
        <v>0</v>
      </c>
      <c r="AR34" s="2171">
        <f t="shared" ca="1" si="59"/>
        <v>0</v>
      </c>
      <c r="AS34" s="2172">
        <f ca="1">-VLOOKUP($B34,RawData,AS$4,FALSE)*VLOOKUP(AS$3,ConversionFactors,2,FALSE)*1</f>
        <v>0</v>
      </c>
      <c r="AT34" s="2173">
        <f t="shared" si="40"/>
        <v>0</v>
      </c>
      <c r="AU34" s="2173">
        <f t="shared" si="40"/>
        <v>0</v>
      </c>
      <c r="AV34" s="2173">
        <f t="shared" si="40"/>
        <v>0</v>
      </c>
      <c r="AW34" s="2173">
        <f t="shared" si="40"/>
        <v>0</v>
      </c>
      <c r="AX34" s="2173">
        <f t="shared" si="40"/>
        <v>0</v>
      </c>
      <c r="AY34" s="2173">
        <f t="shared" ca="1" si="31"/>
        <v>0</v>
      </c>
      <c r="AZ34" s="2173">
        <f t="shared" ca="1" si="31"/>
        <v>0</v>
      </c>
      <c r="BA34" s="2173">
        <f t="shared" ca="1" si="31"/>
        <v>0</v>
      </c>
      <c r="BB34" s="2173">
        <f t="shared" ca="1" si="31"/>
        <v>0</v>
      </c>
      <c r="BC34" s="2173">
        <f t="shared" si="32"/>
        <v>0</v>
      </c>
      <c r="BD34" s="2174">
        <f ca="1">(VLOOKUP($B5,RawData,BD$4,FALSE)-VLOOKUP($B34,RawData,BD$4,FALSE))*VLOOKUP(BD$3,ConversionFactors,2,FALSE)/1000</f>
        <v>0</v>
      </c>
      <c r="BE34" s="2167">
        <v>0</v>
      </c>
      <c r="BF34" s="2167">
        <v>0</v>
      </c>
      <c r="BG34" s="2167">
        <f t="shared" si="34"/>
        <v>0</v>
      </c>
      <c r="BH34" s="2167">
        <v>0</v>
      </c>
      <c r="BI34" s="2167">
        <f t="shared" si="35"/>
        <v>0</v>
      </c>
      <c r="BJ34" s="2167">
        <v>0</v>
      </c>
      <c r="BK34" s="2167">
        <v>0</v>
      </c>
      <c r="BL34" s="2167">
        <v>0</v>
      </c>
      <c r="BM34" s="2167">
        <f t="shared" si="38"/>
        <v>0</v>
      </c>
      <c r="BN34" s="2167">
        <f t="shared" si="36"/>
        <v>0</v>
      </c>
      <c r="BO34" s="2170">
        <v>0</v>
      </c>
      <c r="BP34" s="2168">
        <f t="shared" ca="1" si="8"/>
        <v>0</v>
      </c>
      <c r="BQ34" s="648"/>
      <c r="CA34" s="555" t="s">
        <v>1065</v>
      </c>
      <c r="CB34" s="20" t="s">
        <v>3314</v>
      </c>
      <c r="CC34" s="20" t="s">
        <v>3315</v>
      </c>
      <c r="CD34" s="20" t="s">
        <v>3316</v>
      </c>
      <c r="CE34" s="20" t="s">
        <v>3317</v>
      </c>
      <c r="CF34" s="20" t="s">
        <v>3318</v>
      </c>
      <c r="CG34" s="20" t="s">
        <v>3319</v>
      </c>
      <c r="CH34" s="20" t="s">
        <v>3320</v>
      </c>
      <c r="CI34" s="20" t="s">
        <v>3321</v>
      </c>
      <c r="CJ34" s="20" t="s">
        <v>3322</v>
      </c>
      <c r="CK34" s="20" t="s">
        <v>3323</v>
      </c>
      <c r="CL34" s="20" t="s">
        <v>3324</v>
      </c>
      <c r="CM34" s="20" t="s">
        <v>3325</v>
      </c>
      <c r="CN34" s="20" t="s">
        <v>3326</v>
      </c>
      <c r="CO34" s="20" t="s">
        <v>3327</v>
      </c>
      <c r="CP34" s="20">
        <v>0</v>
      </c>
      <c r="CQ34" s="20" t="s">
        <v>3328</v>
      </c>
      <c r="CR34" s="20" t="s">
        <v>3329</v>
      </c>
      <c r="CS34" s="20" t="s">
        <v>3330</v>
      </c>
      <c r="CT34" s="20" t="s">
        <v>3331</v>
      </c>
      <c r="CU34" s="20" t="s">
        <v>3332</v>
      </c>
      <c r="CV34" s="20" t="s">
        <v>3333</v>
      </c>
      <c r="CW34" s="20" t="s">
        <v>3334</v>
      </c>
      <c r="CX34" s="20" t="s">
        <v>3335</v>
      </c>
      <c r="CY34" s="20" t="s">
        <v>3336</v>
      </c>
      <c r="CZ34" s="20" t="s">
        <v>3337</v>
      </c>
      <c r="DA34" s="20" t="s">
        <v>3338</v>
      </c>
      <c r="DB34" s="20" t="s">
        <v>3339</v>
      </c>
      <c r="DC34" s="20" t="s">
        <v>3340</v>
      </c>
      <c r="DD34" s="20" t="s">
        <v>3341</v>
      </c>
      <c r="DE34" s="20" t="s">
        <v>3342</v>
      </c>
      <c r="DF34" s="20" t="s">
        <v>3343</v>
      </c>
      <c r="DG34" s="20" t="s">
        <v>3344</v>
      </c>
      <c r="DH34" s="20" t="s">
        <v>3345</v>
      </c>
      <c r="DI34" s="20" t="s">
        <v>3346</v>
      </c>
      <c r="DJ34" s="20" t="s">
        <v>3347</v>
      </c>
      <c r="DK34" s="20" t="s">
        <v>3348</v>
      </c>
      <c r="DL34" s="20" t="s">
        <v>3349</v>
      </c>
      <c r="DM34" s="20" t="s">
        <v>3350</v>
      </c>
      <c r="DN34" s="20" t="s">
        <v>3351</v>
      </c>
      <c r="DO34" s="20" t="s">
        <v>3352</v>
      </c>
      <c r="DP34" s="20" t="s">
        <v>3353</v>
      </c>
      <c r="DQ34" s="20" t="s">
        <v>3354</v>
      </c>
      <c r="DR34" s="20" t="s">
        <v>3355</v>
      </c>
      <c r="DS34" s="20" t="s">
        <v>3356</v>
      </c>
      <c r="DT34" s="20" t="s">
        <v>3357</v>
      </c>
      <c r="DU34" s="20" t="s">
        <v>3358</v>
      </c>
      <c r="DV34" s="20" t="s">
        <v>3359</v>
      </c>
      <c r="DW34" s="20" t="s">
        <v>3360</v>
      </c>
      <c r="DX34" s="20" t="s">
        <v>3361</v>
      </c>
      <c r="DY34" s="20" t="s">
        <v>3362</v>
      </c>
      <c r="DZ34" s="20" t="s">
        <v>3363</v>
      </c>
      <c r="EA34" s="20" t="s">
        <v>3364</v>
      </c>
      <c r="EB34" s="20">
        <v>0</v>
      </c>
      <c r="EC34" s="20">
        <v>0</v>
      </c>
      <c r="ED34" s="20" t="s">
        <v>3365</v>
      </c>
      <c r="EE34" s="20">
        <v>0</v>
      </c>
      <c r="EF34" s="20" t="s">
        <v>3366</v>
      </c>
      <c r="EG34" s="20">
        <v>0</v>
      </c>
      <c r="EH34" s="20">
        <v>0</v>
      </c>
      <c r="EI34" s="20">
        <v>0</v>
      </c>
      <c r="EJ34" s="20" t="s">
        <v>3367</v>
      </c>
      <c r="EK34" s="20" t="s">
        <v>3368</v>
      </c>
      <c r="EL34" s="20">
        <v>0</v>
      </c>
    </row>
    <row r="35" spans="1:142" s="20" customFormat="1" ht="11.25" x14ac:dyDescent="0.2">
      <c r="A35" s="557" t="str">
        <f>TNONSPEC</f>
        <v>Non-specified (transformation)</v>
      </c>
      <c r="B35" s="230" t="s">
        <v>1072</v>
      </c>
      <c r="C35" s="230" t="s">
        <v>1653</v>
      </c>
      <c r="D35" s="221">
        <f t="shared" si="23"/>
        <v>16</v>
      </c>
      <c r="E35" s="2169">
        <f t="shared" ca="1" si="56"/>
        <v>0</v>
      </c>
      <c r="F35" s="2169">
        <f t="shared" ca="1" si="56"/>
        <v>0</v>
      </c>
      <c r="G35" s="2169">
        <f ca="1">-VLOOKUP($B35,RawData,G$4,FALSE)*VLOOKUP(G$3,ConversionFactors,$D35,FALSE)/1000</f>
        <v>0</v>
      </c>
      <c r="H35" s="2169">
        <f t="shared" ca="1" si="57"/>
        <v>0</v>
      </c>
      <c r="I35" s="2169">
        <f t="shared" ca="1" si="57"/>
        <v>0</v>
      </c>
      <c r="J35" s="2169">
        <f t="shared" ca="1" si="39"/>
        <v>0</v>
      </c>
      <c r="K35" s="2169">
        <f ca="1">SUM(VLOOKUP("OSNONSPEC",RawData,K$4,FALSE),-VLOOKUP($B35,RawData,K$4,FALSE))*VLOOKUP(K$3,ConversionFactors,$D35,FALSE)/1000</f>
        <v>0</v>
      </c>
      <c r="L35" s="2169">
        <f t="shared" ca="1" si="44"/>
        <v>0</v>
      </c>
      <c r="M35" s="2169">
        <f t="shared" ca="1" si="42"/>
        <v>0</v>
      </c>
      <c r="N35" s="2169">
        <f t="shared" ca="1" si="53"/>
        <v>0</v>
      </c>
      <c r="O35" s="2169">
        <f t="shared" ca="1" si="45"/>
        <v>0</v>
      </c>
      <c r="P35" s="2169">
        <f t="shared" ca="1" si="43"/>
        <v>0</v>
      </c>
      <c r="Q35" s="2169">
        <f ca="1">(-VLOOKUP($B35,RawData,Q$4,FALSE)*VLOOKUP(Q$3,ConversionFactors,2,FALSE))*1</f>
        <v>0</v>
      </c>
      <c r="R35" s="2169">
        <f ca="1">-VLOOKUP($B35,RawData,R$4,FALSE)*VLOOKUP(R$3,ConversionFactors,2,FALSE)*1</f>
        <v>0</v>
      </c>
      <c r="S35" s="2170">
        <v>0</v>
      </c>
      <c r="T35" s="2169">
        <f t="shared" ca="1" si="50"/>
        <v>0</v>
      </c>
      <c r="U35" s="2169">
        <f t="shared" ca="1" si="54"/>
        <v>0</v>
      </c>
      <c r="V35" s="2169">
        <f t="shared" ca="1" si="51"/>
        <v>0</v>
      </c>
      <c r="W35" s="2161">
        <f t="shared" ca="1" si="47"/>
        <v>0</v>
      </c>
      <c r="X35" s="2161">
        <f t="shared" ca="1" si="47"/>
        <v>0</v>
      </c>
      <c r="Y35" s="2161">
        <f t="shared" ca="1" si="52"/>
        <v>0</v>
      </c>
      <c r="Z35" s="2161">
        <f ca="1">-VLOOKUP($B35,RawData,Z$4,FALSE)*VLOOKUP(Z$3,ConversionFactors,2,FALSE)/1000</f>
        <v>0</v>
      </c>
      <c r="AA35" s="2161">
        <f ca="1">(VLOOKUP("OSNONSPEC",RawData,AA$4,FALSE)-VLOOKUP($B35,RawData,AA$4,FALSE))*VLOOKUP(AA$3,ConversionFactors,2,FALSE)/1000</f>
        <v>0</v>
      </c>
      <c r="AB35" s="2161">
        <f t="shared" ca="1" si="58"/>
        <v>0</v>
      </c>
      <c r="AC35" s="2161">
        <f t="shared" ca="1" si="58"/>
        <v>0</v>
      </c>
      <c r="AD35" s="2161">
        <f t="shared" ca="1" si="58"/>
        <v>0</v>
      </c>
      <c r="AE35" s="2161">
        <f t="shared" ca="1" si="58"/>
        <v>0</v>
      </c>
      <c r="AF35" s="2161">
        <f t="shared" ca="1" si="58"/>
        <v>0</v>
      </c>
      <c r="AG35" s="2161">
        <f t="shared" ca="1" si="58"/>
        <v>0</v>
      </c>
      <c r="AH35" s="2161">
        <f t="shared" ca="1" si="58"/>
        <v>0</v>
      </c>
      <c r="AI35" s="2161">
        <f t="shared" ca="1" si="58"/>
        <v>0</v>
      </c>
      <c r="AJ35" s="2161">
        <f t="shared" ca="1" si="58"/>
        <v>0</v>
      </c>
      <c r="AK35" s="2161">
        <f t="shared" ca="1" si="58"/>
        <v>0</v>
      </c>
      <c r="AL35" s="2161">
        <f t="shared" ca="1" si="59"/>
        <v>0</v>
      </c>
      <c r="AM35" s="2161">
        <f t="shared" ca="1" si="59"/>
        <v>0</v>
      </c>
      <c r="AN35" s="2161">
        <f t="shared" ca="1" si="59"/>
        <v>0</v>
      </c>
      <c r="AO35" s="2161">
        <f t="shared" ca="1" si="59"/>
        <v>0</v>
      </c>
      <c r="AP35" s="2161">
        <f t="shared" ca="1" si="59"/>
        <v>0</v>
      </c>
      <c r="AQ35" s="2161">
        <f t="shared" ca="1" si="59"/>
        <v>0</v>
      </c>
      <c r="AR35" s="2171">
        <f t="shared" ca="1" si="59"/>
        <v>0</v>
      </c>
      <c r="AS35" s="2172">
        <f ca="1">-VLOOKUP($B35,RawData,AS$4,FALSE)*VLOOKUP(AS$3,ConversionFactors,2,FALSE)*1</f>
        <v>0</v>
      </c>
      <c r="AT35" s="2173">
        <f t="shared" si="40"/>
        <v>0</v>
      </c>
      <c r="AU35" s="2173">
        <f t="shared" si="40"/>
        <v>0</v>
      </c>
      <c r="AV35" s="2173">
        <f t="shared" si="40"/>
        <v>0</v>
      </c>
      <c r="AW35" s="2173">
        <f t="shared" si="40"/>
        <v>-221501.67</v>
      </c>
      <c r="AX35" s="2173">
        <f t="shared" si="40"/>
        <v>0</v>
      </c>
      <c r="AY35" s="2173">
        <f t="shared" ca="1" si="31"/>
        <v>0</v>
      </c>
      <c r="AZ35" s="2173">
        <f t="shared" ca="1" si="31"/>
        <v>0</v>
      </c>
      <c r="BA35" s="2173">
        <f t="shared" ca="1" si="31"/>
        <v>0</v>
      </c>
      <c r="BB35" s="2173">
        <f t="shared" ca="1" si="31"/>
        <v>0</v>
      </c>
      <c r="BC35" s="2173">
        <f t="shared" si="32"/>
        <v>0</v>
      </c>
      <c r="BD35" s="2174">
        <f ca="1">-VLOOKUP($B35,RawData,BD$4,FALSE)*VLOOKUP(BD$3,ConversionFactors,2,FALSE)/1000</f>
        <v>0</v>
      </c>
      <c r="BE35" s="2167">
        <v>0</v>
      </c>
      <c r="BF35" s="2167">
        <v>0</v>
      </c>
      <c r="BG35" s="2167">
        <f t="shared" si="34"/>
        <v>0</v>
      </c>
      <c r="BH35" s="2167">
        <v>0</v>
      </c>
      <c r="BI35" s="2167">
        <f t="shared" si="35"/>
        <v>0</v>
      </c>
      <c r="BJ35" s="2167">
        <v>0</v>
      </c>
      <c r="BK35" s="2167">
        <v>0</v>
      </c>
      <c r="BL35" s="2167">
        <v>0</v>
      </c>
      <c r="BM35" s="2167">
        <f t="shared" si="38"/>
        <v>0</v>
      </c>
      <c r="BN35" s="2167">
        <f t="shared" si="36"/>
        <v>0</v>
      </c>
      <c r="BO35" s="2170">
        <v>0</v>
      </c>
      <c r="BP35" s="2168">
        <f t="shared" ca="1" si="8"/>
        <v>-221501.67</v>
      </c>
      <c r="BQ35" s="648"/>
      <c r="CA35" s="555" t="s">
        <v>1072</v>
      </c>
      <c r="CB35" s="20" t="s">
        <v>3369</v>
      </c>
      <c r="CC35" s="20" t="s">
        <v>3370</v>
      </c>
      <c r="CD35" s="20" t="s">
        <v>3371</v>
      </c>
      <c r="CE35" s="20" t="s">
        <v>3372</v>
      </c>
      <c r="CF35" s="20" t="s">
        <v>3373</v>
      </c>
      <c r="CG35" s="20" t="s">
        <v>3374</v>
      </c>
      <c r="CH35" s="20" t="s">
        <v>3375</v>
      </c>
      <c r="CI35" s="20" t="s">
        <v>3376</v>
      </c>
      <c r="CJ35" s="20" t="s">
        <v>3377</v>
      </c>
      <c r="CK35" s="20" t="s">
        <v>3378</v>
      </c>
      <c r="CL35" s="20" t="s">
        <v>3379</v>
      </c>
      <c r="CM35" s="20" t="s">
        <v>3380</v>
      </c>
      <c r="CN35" s="20" t="s">
        <v>3381</v>
      </c>
      <c r="CO35" s="20" t="s">
        <v>3382</v>
      </c>
      <c r="CP35" s="20">
        <v>0</v>
      </c>
      <c r="CQ35" s="20" t="s">
        <v>3383</v>
      </c>
      <c r="CR35" s="20" t="s">
        <v>3384</v>
      </c>
      <c r="CS35" s="20" t="s">
        <v>3385</v>
      </c>
      <c r="CT35" s="20" t="s">
        <v>3386</v>
      </c>
      <c r="CU35" s="20" t="s">
        <v>3387</v>
      </c>
      <c r="CV35" s="20" t="s">
        <v>3388</v>
      </c>
      <c r="CW35" s="20" t="s">
        <v>3389</v>
      </c>
      <c r="CX35" s="20" t="s">
        <v>3390</v>
      </c>
      <c r="CY35" s="20" t="s">
        <v>3391</v>
      </c>
      <c r="CZ35" s="20" t="s">
        <v>3392</v>
      </c>
      <c r="DA35" s="20" t="s">
        <v>3393</v>
      </c>
      <c r="DB35" s="20" t="s">
        <v>3394</v>
      </c>
      <c r="DC35" s="20" t="s">
        <v>3395</v>
      </c>
      <c r="DD35" s="20" t="s">
        <v>3396</v>
      </c>
      <c r="DE35" s="20" t="s">
        <v>3397</v>
      </c>
      <c r="DF35" s="20" t="s">
        <v>3398</v>
      </c>
      <c r="DG35" s="20" t="s">
        <v>3399</v>
      </c>
      <c r="DH35" s="20" t="s">
        <v>3400</v>
      </c>
      <c r="DI35" s="20" t="s">
        <v>3401</v>
      </c>
      <c r="DJ35" s="20" t="s">
        <v>3402</v>
      </c>
      <c r="DK35" s="20" t="s">
        <v>3403</v>
      </c>
      <c r="DL35" s="20" t="s">
        <v>3404</v>
      </c>
      <c r="DM35" s="20" t="s">
        <v>3405</v>
      </c>
      <c r="DN35" s="20" t="s">
        <v>3406</v>
      </c>
      <c r="DO35" s="20" t="s">
        <v>3407</v>
      </c>
      <c r="DP35" s="20" t="s">
        <v>3408</v>
      </c>
      <c r="DQ35" s="20" t="s">
        <v>3409</v>
      </c>
      <c r="DR35" s="20" t="s">
        <v>3410</v>
      </c>
      <c r="DS35" s="20" t="s">
        <v>3411</v>
      </c>
      <c r="DT35" s="20" t="s">
        <v>3412</v>
      </c>
      <c r="DU35" s="20" t="s">
        <v>3413</v>
      </c>
      <c r="DV35" s="20" t="s">
        <v>3414</v>
      </c>
      <c r="DW35" s="20" t="s">
        <v>3415</v>
      </c>
      <c r="DX35" s="20" t="s">
        <v>3416</v>
      </c>
      <c r="DY35" s="20" t="s">
        <v>3417</v>
      </c>
      <c r="DZ35" s="20" t="s">
        <v>3418</v>
      </c>
      <c r="EA35" s="20" t="s">
        <v>3419</v>
      </c>
      <c r="EB35" s="20">
        <v>0</v>
      </c>
      <c r="EC35" s="20">
        <v>0</v>
      </c>
      <c r="ED35" s="20" t="s">
        <v>3420</v>
      </c>
      <c r="EE35" s="20">
        <v>0</v>
      </c>
      <c r="EF35" s="20" t="s">
        <v>3421</v>
      </c>
      <c r="EG35" s="20">
        <v>0</v>
      </c>
      <c r="EH35" s="20">
        <v>0</v>
      </c>
      <c r="EI35" s="20">
        <v>0</v>
      </c>
      <c r="EJ35" s="20" t="s">
        <v>3422</v>
      </c>
      <c r="EK35" s="20" t="s">
        <v>3423</v>
      </c>
      <c r="EL35" s="20">
        <v>0</v>
      </c>
    </row>
    <row r="36" spans="1:142" s="259" customFormat="1" ht="11.25" x14ac:dyDescent="0.2">
      <c r="A36" s="553" t="str">
        <f>TOTENGY</f>
        <v>Energy industry own use</v>
      </c>
      <c r="B36" s="554" t="s">
        <v>1082</v>
      </c>
      <c r="C36" s="877"/>
      <c r="D36" s="878"/>
      <c r="E36" s="2175">
        <f t="shared" ref="E36:R36" ca="1" si="60">SUM(E37:E53)</f>
        <v>0</v>
      </c>
      <c r="F36" s="2175">
        <f t="shared" ca="1" si="60"/>
        <v>0</v>
      </c>
      <c r="G36" s="2175">
        <f t="shared" ca="1" si="60"/>
        <v>-6301.1628000000001</v>
      </c>
      <c r="H36" s="2175">
        <f t="shared" ca="1" si="60"/>
        <v>0</v>
      </c>
      <c r="I36" s="2175">
        <f t="shared" ca="1" si="60"/>
        <v>0</v>
      </c>
      <c r="J36" s="2175">
        <f t="shared" ca="1" si="60"/>
        <v>0</v>
      </c>
      <c r="K36" s="2175">
        <f t="shared" ca="1" si="60"/>
        <v>0</v>
      </c>
      <c r="L36" s="2175">
        <f t="shared" ca="1" si="60"/>
        <v>0</v>
      </c>
      <c r="M36" s="2175">
        <f t="shared" ca="1" si="60"/>
        <v>0</v>
      </c>
      <c r="N36" s="2175">
        <f t="shared" ca="1" si="60"/>
        <v>0</v>
      </c>
      <c r="O36" s="2175">
        <f t="shared" ca="1" si="60"/>
        <v>-1105.623</v>
      </c>
      <c r="P36" s="2175">
        <f t="shared" ca="1" si="60"/>
        <v>0</v>
      </c>
      <c r="Q36" s="2175">
        <f t="shared" ca="1" si="60"/>
        <v>0</v>
      </c>
      <c r="R36" s="2175">
        <f t="shared" ca="1" si="60"/>
        <v>0</v>
      </c>
      <c r="S36" s="2175">
        <v>0</v>
      </c>
      <c r="T36" s="2175">
        <f t="shared" ref="T36:BD36" ca="1" si="61">SUM(T37:T53)</f>
        <v>0</v>
      </c>
      <c r="U36" s="2175">
        <f t="shared" ca="1" si="61"/>
        <v>0</v>
      </c>
      <c r="V36" s="2175">
        <f t="shared" ca="1" si="61"/>
        <v>0</v>
      </c>
      <c r="W36" s="2175">
        <f t="shared" ca="1" si="61"/>
        <v>0</v>
      </c>
      <c r="X36" s="2175">
        <f t="shared" ca="1" si="61"/>
        <v>0</v>
      </c>
      <c r="Y36" s="2175">
        <f t="shared" ca="1" si="61"/>
        <v>0</v>
      </c>
      <c r="Z36" s="2175">
        <f t="shared" ca="1" si="61"/>
        <v>0</v>
      </c>
      <c r="AA36" s="2175">
        <f t="shared" ca="1" si="61"/>
        <v>0</v>
      </c>
      <c r="AB36" s="2175">
        <f t="shared" ca="1" si="61"/>
        <v>0</v>
      </c>
      <c r="AC36" s="2175">
        <f t="shared" ca="1" si="61"/>
        <v>0</v>
      </c>
      <c r="AD36" s="2175">
        <f t="shared" ca="1" si="61"/>
        <v>0</v>
      </c>
      <c r="AE36" s="2175">
        <f t="shared" ca="1" si="61"/>
        <v>0</v>
      </c>
      <c r="AF36" s="2175">
        <f t="shared" ca="1" si="61"/>
        <v>0</v>
      </c>
      <c r="AG36" s="2175">
        <f t="shared" ca="1" si="61"/>
        <v>0</v>
      </c>
      <c r="AH36" s="2175">
        <f t="shared" ca="1" si="61"/>
        <v>0</v>
      </c>
      <c r="AI36" s="2175">
        <f t="shared" ca="1" si="61"/>
        <v>0</v>
      </c>
      <c r="AJ36" s="2175">
        <f t="shared" ca="1" si="61"/>
        <v>0</v>
      </c>
      <c r="AK36" s="2175">
        <f t="shared" ca="1" si="61"/>
        <v>0</v>
      </c>
      <c r="AL36" s="2175">
        <f t="shared" ca="1" si="61"/>
        <v>0</v>
      </c>
      <c r="AM36" s="2175">
        <f t="shared" ca="1" si="61"/>
        <v>0</v>
      </c>
      <c r="AN36" s="2175">
        <f t="shared" ca="1" si="61"/>
        <v>0</v>
      </c>
      <c r="AO36" s="2175">
        <f t="shared" ca="1" si="61"/>
        <v>0</v>
      </c>
      <c r="AP36" s="2175">
        <f t="shared" ca="1" si="61"/>
        <v>0</v>
      </c>
      <c r="AQ36" s="2175">
        <f t="shared" ca="1" si="61"/>
        <v>0</v>
      </c>
      <c r="AR36" s="2176">
        <f t="shared" ca="1" si="61"/>
        <v>0</v>
      </c>
      <c r="AS36" s="2177">
        <f t="shared" ca="1" si="61"/>
        <v>-13881.58681640625</v>
      </c>
      <c r="AT36" s="2175">
        <f t="shared" si="61"/>
        <v>0</v>
      </c>
      <c r="AU36" s="2175">
        <f t="shared" si="61"/>
        <v>0</v>
      </c>
      <c r="AV36" s="2175">
        <f t="shared" si="61"/>
        <v>0</v>
      </c>
      <c r="AW36" s="2175">
        <f t="shared" si="61"/>
        <v>0</v>
      </c>
      <c r="AX36" s="2175">
        <f t="shared" si="61"/>
        <v>0</v>
      </c>
      <c r="AY36" s="2175">
        <f t="shared" ca="1" si="61"/>
        <v>0</v>
      </c>
      <c r="AZ36" s="2175">
        <f t="shared" ca="1" si="61"/>
        <v>0</v>
      </c>
      <c r="BA36" s="2175">
        <f t="shared" ca="1" si="61"/>
        <v>0</v>
      </c>
      <c r="BB36" s="2175">
        <f t="shared" ca="1" si="61"/>
        <v>0</v>
      </c>
      <c r="BC36" s="2175">
        <f t="shared" si="61"/>
        <v>0</v>
      </c>
      <c r="BD36" s="2176">
        <f t="shared" ca="1" si="61"/>
        <v>0</v>
      </c>
      <c r="BE36" s="2175">
        <f t="shared" ref="BE36:BL36" si="62">SUM(BE37:BE53)</f>
        <v>0</v>
      </c>
      <c r="BF36" s="2175">
        <f t="shared" si="62"/>
        <v>0</v>
      </c>
      <c r="BG36" s="2175">
        <f>SUM(BG37:BG53)</f>
        <v>0</v>
      </c>
      <c r="BH36" s="2175">
        <f t="shared" si="62"/>
        <v>0</v>
      </c>
      <c r="BI36" s="2175">
        <f>SUM(BI37:BI53)</f>
        <v>0</v>
      </c>
      <c r="BJ36" s="2175">
        <f t="shared" si="62"/>
        <v>0</v>
      </c>
      <c r="BK36" s="2175">
        <f t="shared" si="62"/>
        <v>0</v>
      </c>
      <c r="BL36" s="2175">
        <f t="shared" si="62"/>
        <v>0</v>
      </c>
      <c r="BM36" s="2175">
        <f>SUM(BM37:BM53)</f>
        <v>1123.4303999999975</v>
      </c>
      <c r="BN36" s="2175">
        <f>SUM(BN37:BN53)</f>
        <v>0</v>
      </c>
      <c r="BO36" s="2175">
        <v>0</v>
      </c>
      <c r="BP36" s="2178">
        <f t="shared" ca="1" si="8"/>
        <v>-20164.942216406253</v>
      </c>
      <c r="BQ36" s="666"/>
      <c r="CA36" s="561" t="s">
        <v>1082</v>
      </c>
      <c r="CB36" s="20" t="s">
        <v>3424</v>
      </c>
      <c r="CC36" s="20" t="s">
        <v>3425</v>
      </c>
      <c r="CD36" s="20" t="s">
        <v>3426</v>
      </c>
      <c r="CE36" s="20" t="s">
        <v>3427</v>
      </c>
      <c r="CF36" s="20" t="s">
        <v>3428</v>
      </c>
      <c r="CG36" s="20" t="s">
        <v>3429</v>
      </c>
      <c r="CH36" s="20" t="s">
        <v>3430</v>
      </c>
      <c r="CI36" s="20" t="s">
        <v>3431</v>
      </c>
      <c r="CJ36" s="20" t="s">
        <v>3432</v>
      </c>
      <c r="CK36" s="20" t="s">
        <v>3433</v>
      </c>
      <c r="CL36" s="20" t="s">
        <v>3434</v>
      </c>
      <c r="CM36" s="20" t="s">
        <v>3435</v>
      </c>
      <c r="CN36" s="20" t="s">
        <v>3436</v>
      </c>
      <c r="CO36" s="20" t="s">
        <v>3437</v>
      </c>
      <c r="CP36" s="20">
        <v>0</v>
      </c>
      <c r="CQ36" s="20" t="s">
        <v>3438</v>
      </c>
      <c r="CR36" s="20" t="s">
        <v>3439</v>
      </c>
      <c r="CS36" s="20" t="s">
        <v>3440</v>
      </c>
      <c r="CT36" s="20" t="s">
        <v>3441</v>
      </c>
      <c r="CU36" s="20" t="s">
        <v>3442</v>
      </c>
      <c r="CV36" s="20" t="s">
        <v>3443</v>
      </c>
      <c r="CW36" s="20" t="s">
        <v>3444</v>
      </c>
      <c r="CX36" s="20" t="s">
        <v>3445</v>
      </c>
      <c r="CY36" s="20" t="s">
        <v>3446</v>
      </c>
      <c r="CZ36" s="20" t="s">
        <v>3447</v>
      </c>
      <c r="DA36" s="20" t="s">
        <v>3448</v>
      </c>
      <c r="DB36" s="20" t="s">
        <v>3449</v>
      </c>
      <c r="DC36" s="20" t="s">
        <v>3450</v>
      </c>
      <c r="DD36" s="20" t="s">
        <v>3451</v>
      </c>
      <c r="DE36" s="20" t="s">
        <v>3452</v>
      </c>
      <c r="DF36" s="20" t="s">
        <v>3453</v>
      </c>
      <c r="DG36" s="20" t="s">
        <v>3454</v>
      </c>
      <c r="DH36" s="20" t="s">
        <v>3455</v>
      </c>
      <c r="DI36" s="20" t="s">
        <v>3456</v>
      </c>
      <c r="DJ36" s="20" t="s">
        <v>3457</v>
      </c>
      <c r="DK36" s="20" t="s">
        <v>3458</v>
      </c>
      <c r="DL36" s="20" t="s">
        <v>3459</v>
      </c>
      <c r="DM36" s="20" t="s">
        <v>3460</v>
      </c>
      <c r="DN36" s="20" t="s">
        <v>3461</v>
      </c>
      <c r="DO36" s="20" t="s">
        <v>3462</v>
      </c>
      <c r="DP36" s="20" t="s">
        <v>3463</v>
      </c>
      <c r="DQ36" s="20" t="s">
        <v>3464</v>
      </c>
      <c r="DR36" s="20" t="s">
        <v>3465</v>
      </c>
      <c r="DS36" s="20" t="s">
        <v>3466</v>
      </c>
      <c r="DT36" s="20" t="s">
        <v>3467</v>
      </c>
      <c r="DU36" s="20" t="s">
        <v>3468</v>
      </c>
      <c r="DV36" s="20" t="s">
        <v>3469</v>
      </c>
      <c r="DW36" s="20" t="s">
        <v>3470</v>
      </c>
      <c r="DX36" s="20" t="s">
        <v>3471</v>
      </c>
      <c r="DY36" s="20" t="s">
        <v>3472</v>
      </c>
      <c r="DZ36" s="20" t="s">
        <v>3473</v>
      </c>
      <c r="EA36" s="20" t="s">
        <v>3474</v>
      </c>
      <c r="EB36" s="20" t="s">
        <v>3475</v>
      </c>
      <c r="EC36" s="20" t="s">
        <v>3476</v>
      </c>
      <c r="ED36" s="20" t="s">
        <v>3477</v>
      </c>
      <c r="EE36" s="20" t="s">
        <v>3478</v>
      </c>
      <c r="EF36" s="20" t="s">
        <v>3479</v>
      </c>
      <c r="EG36" s="20" t="s">
        <v>3480</v>
      </c>
      <c r="EH36" s="20" t="s">
        <v>3481</v>
      </c>
      <c r="EI36" s="20" t="s">
        <v>3482</v>
      </c>
      <c r="EJ36" s="20" t="s">
        <v>3483</v>
      </c>
      <c r="EK36" s="20" t="s">
        <v>3484</v>
      </c>
      <c r="EL36" s="20">
        <v>0</v>
      </c>
    </row>
    <row r="37" spans="1:142" s="20" customFormat="1" ht="11.25" x14ac:dyDescent="0.2">
      <c r="A37" s="557" t="str">
        <f>EMINES</f>
        <v>Coal mines</v>
      </c>
      <c r="B37" s="230" t="s">
        <v>1089</v>
      </c>
      <c r="C37" s="230" t="s">
        <v>1653</v>
      </c>
      <c r="D37" s="221">
        <f t="shared" ref="D37:D54" si="63">MATCH(C37,CFHeadings,0)</f>
        <v>16</v>
      </c>
      <c r="E37" s="2169">
        <f t="shared" ref="E37:N45" ca="1" si="64">-VLOOKUP($B37,RawData,E$4,FALSE)*VLOOKUP(E$3,ConversionFactors,$D37,FALSE)/1000</f>
        <v>0</v>
      </c>
      <c r="F37" s="2169">
        <f t="shared" ca="1" si="64"/>
        <v>0</v>
      </c>
      <c r="G37" s="2169">
        <f t="shared" ca="1" si="64"/>
        <v>0</v>
      </c>
      <c r="H37" s="2169">
        <f t="shared" ca="1" si="64"/>
        <v>0</v>
      </c>
      <c r="I37" s="2169">
        <f t="shared" ca="1" si="64"/>
        <v>0</v>
      </c>
      <c r="J37" s="2169">
        <f t="shared" ca="1" si="64"/>
        <v>0</v>
      </c>
      <c r="K37" s="2169">
        <f t="shared" ca="1" si="64"/>
        <v>0</v>
      </c>
      <c r="L37" s="2169">
        <f t="shared" ca="1" si="64"/>
        <v>0</v>
      </c>
      <c r="M37" s="2169">
        <f t="shared" ca="1" si="64"/>
        <v>0</v>
      </c>
      <c r="N37" s="2169">
        <f t="shared" ca="1" si="64"/>
        <v>0</v>
      </c>
      <c r="O37" s="2169">
        <f t="shared" ref="O37:R53" ca="1" si="65">-VLOOKUP($B37,RawData,O$4,FALSE)*VLOOKUP(O$3,ConversionFactors,2,FALSE)*1</f>
        <v>0</v>
      </c>
      <c r="P37" s="2169">
        <f t="shared" ca="1" si="65"/>
        <v>0</v>
      </c>
      <c r="Q37" s="2169">
        <f t="shared" ca="1" si="65"/>
        <v>0</v>
      </c>
      <c r="R37" s="2169">
        <f t="shared" ca="1" si="65"/>
        <v>0</v>
      </c>
      <c r="S37" s="2170">
        <v>0</v>
      </c>
      <c r="T37" s="2169">
        <f t="shared" ref="T37:V54" ca="1" si="66">-VLOOKUP($B37,RawData,T$4,FALSE)*VLOOKUP(T$3,ConversionFactors,$D37,FALSE)/1000</f>
        <v>0</v>
      </c>
      <c r="U37" s="2169">
        <f t="shared" ca="1" si="66"/>
        <v>0</v>
      </c>
      <c r="V37" s="2169">
        <f t="shared" ca="1" si="66"/>
        <v>0</v>
      </c>
      <c r="W37" s="2161">
        <f t="shared" ref="W37:AF46" ca="1" si="67">-VLOOKUP($B37,RawData,W$4,FALSE)*VLOOKUP(W$3,ConversionFactors,2,FALSE)/1000</f>
        <v>0</v>
      </c>
      <c r="X37" s="2161">
        <f t="shared" ca="1" si="67"/>
        <v>0</v>
      </c>
      <c r="Y37" s="2161">
        <f t="shared" ca="1" si="67"/>
        <v>0</v>
      </c>
      <c r="Z37" s="2161">
        <f t="shared" ca="1" si="67"/>
        <v>0</v>
      </c>
      <c r="AA37" s="2161">
        <f t="shared" ca="1" si="67"/>
        <v>0</v>
      </c>
      <c r="AB37" s="2161">
        <f t="shared" ca="1" si="67"/>
        <v>0</v>
      </c>
      <c r="AC37" s="2161">
        <f t="shared" ca="1" si="67"/>
        <v>0</v>
      </c>
      <c r="AD37" s="2161">
        <f t="shared" ca="1" si="67"/>
        <v>0</v>
      </c>
      <c r="AE37" s="2161">
        <f t="shared" ca="1" si="67"/>
        <v>0</v>
      </c>
      <c r="AF37" s="2161">
        <f t="shared" ca="1" si="67"/>
        <v>0</v>
      </c>
      <c r="AG37" s="2161">
        <f t="shared" ref="AG37:AR46" ca="1" si="68">-VLOOKUP($B37,RawData,AG$4,FALSE)*VLOOKUP(AG$3,ConversionFactors,2,FALSE)/1000</f>
        <v>0</v>
      </c>
      <c r="AH37" s="2161">
        <f t="shared" ca="1" si="68"/>
        <v>0</v>
      </c>
      <c r="AI37" s="2161">
        <f t="shared" ca="1" si="68"/>
        <v>0</v>
      </c>
      <c r="AJ37" s="2161">
        <f t="shared" ca="1" si="68"/>
        <v>0</v>
      </c>
      <c r="AK37" s="2161">
        <f t="shared" ca="1" si="68"/>
        <v>0</v>
      </c>
      <c r="AL37" s="2161">
        <f t="shared" ca="1" si="68"/>
        <v>0</v>
      </c>
      <c r="AM37" s="2161">
        <f t="shared" ca="1" si="68"/>
        <v>0</v>
      </c>
      <c r="AN37" s="2161">
        <f t="shared" ca="1" si="68"/>
        <v>0</v>
      </c>
      <c r="AO37" s="2161">
        <f t="shared" ca="1" si="68"/>
        <v>0</v>
      </c>
      <c r="AP37" s="2161">
        <f t="shared" ca="1" si="68"/>
        <v>0</v>
      </c>
      <c r="AQ37" s="2161">
        <f t="shared" ca="1" si="68"/>
        <v>0</v>
      </c>
      <c r="AR37" s="2171">
        <f t="shared" ca="1" si="68"/>
        <v>0</v>
      </c>
      <c r="AS37" s="2172">
        <f t="shared" ref="AS37:AS54" ca="1" si="69">-VLOOKUP($B37,RawData,AS$4,FALSE)*VLOOKUP(AS$3,ConversionFactors,2,FALSE)*1</f>
        <v>0</v>
      </c>
      <c r="AT37" s="2173">
        <f t="shared" ref="AT37:AX46" si="70">-VLOOKUP($B37,RawData,AT$4,FALSE)*1</f>
        <v>0</v>
      </c>
      <c r="AU37" s="2173">
        <f t="shared" si="70"/>
        <v>0</v>
      </c>
      <c r="AV37" s="2173">
        <f t="shared" si="70"/>
        <v>0</v>
      </c>
      <c r="AW37" s="2173">
        <f t="shared" si="70"/>
        <v>0</v>
      </c>
      <c r="AX37" s="2173">
        <f t="shared" si="70"/>
        <v>0</v>
      </c>
      <c r="AY37" s="2173">
        <f t="shared" ref="AY37:BB54" ca="1" si="71">-VLOOKUP($B37,RawData,AY$4,FALSE)*VLOOKUP(AY$3,ConversionFactors,2,FALSE)/1000</f>
        <v>0</v>
      </c>
      <c r="AZ37" s="2173">
        <f t="shared" ca="1" si="71"/>
        <v>0</v>
      </c>
      <c r="BA37" s="2173">
        <f t="shared" ca="1" si="71"/>
        <v>0</v>
      </c>
      <c r="BB37" s="2173">
        <f t="shared" ca="1" si="71"/>
        <v>0</v>
      </c>
      <c r="BC37" s="2173">
        <f t="shared" ref="BC37:BC54" si="72">-VLOOKUP($B37,RawData,BC$4,FALSE)*1</f>
        <v>0</v>
      </c>
      <c r="BD37" s="2174">
        <f t="shared" ref="BD37:BD54" ca="1" si="73">-VLOOKUP($B37,RawData,BD$4,FALSE)*VLOOKUP(BD$3,ConversionFactors,2,FALSE)/1000</f>
        <v>0</v>
      </c>
      <c r="BE37" s="2167">
        <v>0</v>
      </c>
      <c r="BF37" s="2167">
        <v>0</v>
      </c>
      <c r="BG37" s="2167">
        <f t="shared" ref="BG37:BG54" si="74">-VLOOKUP($B37,RawData,BG$4,FALSE)*1</f>
        <v>0</v>
      </c>
      <c r="BH37" s="2167">
        <v>0</v>
      </c>
      <c r="BI37" s="2167">
        <f t="shared" ref="BI37:BI54" si="75">-VLOOKUP($B37,RawData,BI$4,FALSE)*1</f>
        <v>0</v>
      </c>
      <c r="BJ37" s="2167">
        <v>0</v>
      </c>
      <c r="BK37" s="2167">
        <v>0</v>
      </c>
      <c r="BL37" s="2167">
        <v>0</v>
      </c>
      <c r="BM37" s="2167">
        <f t="shared" ref="BM37:BM49" si="76">-VLOOKUP($B37,RawData,BM$4,FALSE)*3.6</f>
        <v>0</v>
      </c>
      <c r="BN37" s="2167">
        <f t="shared" ref="BN37:BN54" si="77">-VLOOKUP($B37,RawData,BN$4,FALSE)*1</f>
        <v>0</v>
      </c>
      <c r="BO37" s="2170">
        <v>0</v>
      </c>
      <c r="BP37" s="2168">
        <f t="shared" ref="BP37:BP68" ca="1" si="78">SUM(E37:BO37)</f>
        <v>0</v>
      </c>
      <c r="BQ37" s="648"/>
      <c r="CA37" s="555" t="s">
        <v>1089</v>
      </c>
      <c r="CB37" s="20" t="s">
        <v>3485</v>
      </c>
      <c r="CC37" s="20" t="s">
        <v>3486</v>
      </c>
      <c r="CD37" s="20" t="s">
        <v>3487</v>
      </c>
      <c r="CE37" s="20" t="s">
        <v>3488</v>
      </c>
      <c r="CF37" s="20" t="s">
        <v>3489</v>
      </c>
      <c r="CG37" s="20" t="s">
        <v>3490</v>
      </c>
      <c r="CH37" s="20" t="s">
        <v>3491</v>
      </c>
      <c r="CI37" s="20" t="s">
        <v>3492</v>
      </c>
      <c r="CJ37" s="20" t="s">
        <v>3493</v>
      </c>
      <c r="CK37" s="20" t="s">
        <v>3494</v>
      </c>
      <c r="CL37" s="20" t="s">
        <v>3495</v>
      </c>
      <c r="CM37" s="20" t="s">
        <v>3496</v>
      </c>
      <c r="CN37" s="20" t="s">
        <v>3497</v>
      </c>
      <c r="CO37" s="20" t="s">
        <v>3498</v>
      </c>
      <c r="CP37" s="20">
        <v>0</v>
      </c>
      <c r="CQ37" s="20" t="s">
        <v>3499</v>
      </c>
      <c r="CR37" s="20" t="s">
        <v>3500</v>
      </c>
      <c r="CS37" s="20" t="s">
        <v>3501</v>
      </c>
      <c r="CT37" s="20" t="s">
        <v>3502</v>
      </c>
      <c r="CU37" s="20" t="s">
        <v>3503</v>
      </c>
      <c r="CV37" s="20" t="s">
        <v>3504</v>
      </c>
      <c r="CW37" s="20" t="s">
        <v>3505</v>
      </c>
      <c r="CX37" s="20" t="s">
        <v>3506</v>
      </c>
      <c r="CY37" s="20" t="s">
        <v>3507</v>
      </c>
      <c r="CZ37" s="20" t="s">
        <v>3508</v>
      </c>
      <c r="DA37" s="20" t="s">
        <v>3509</v>
      </c>
      <c r="DB37" s="20" t="s">
        <v>3510</v>
      </c>
      <c r="DC37" s="20" t="s">
        <v>3511</v>
      </c>
      <c r="DD37" s="20" t="s">
        <v>3512</v>
      </c>
      <c r="DE37" s="20" t="s">
        <v>3513</v>
      </c>
      <c r="DF37" s="20" t="s">
        <v>3514</v>
      </c>
      <c r="DG37" s="20" t="s">
        <v>3515</v>
      </c>
      <c r="DH37" s="20" t="s">
        <v>3516</v>
      </c>
      <c r="DI37" s="20" t="s">
        <v>3517</v>
      </c>
      <c r="DJ37" s="20" t="s">
        <v>3518</v>
      </c>
      <c r="DK37" s="20" t="s">
        <v>3519</v>
      </c>
      <c r="DL37" s="20" t="s">
        <v>3520</v>
      </c>
      <c r="DM37" s="20" t="s">
        <v>3521</v>
      </c>
      <c r="DN37" s="20" t="s">
        <v>3522</v>
      </c>
      <c r="DO37" s="20" t="s">
        <v>3523</v>
      </c>
      <c r="DP37" s="20" t="s">
        <v>3524</v>
      </c>
      <c r="DQ37" s="20" t="s">
        <v>3525</v>
      </c>
      <c r="DR37" s="20" t="s">
        <v>3526</v>
      </c>
      <c r="DS37" s="20" t="s">
        <v>3527</v>
      </c>
      <c r="DT37" s="20" t="s">
        <v>3528</v>
      </c>
      <c r="DU37" s="20" t="s">
        <v>3529</v>
      </c>
      <c r="DV37" s="20" t="s">
        <v>3530</v>
      </c>
      <c r="DW37" s="20" t="s">
        <v>3531</v>
      </c>
      <c r="DX37" s="20" t="s">
        <v>3532</v>
      </c>
      <c r="DY37" s="20" t="s">
        <v>3533</v>
      </c>
      <c r="DZ37" s="20" t="s">
        <v>3534</v>
      </c>
      <c r="EA37" s="20" t="s">
        <v>3535</v>
      </c>
      <c r="EB37" s="20">
        <v>0</v>
      </c>
      <c r="EC37" s="20">
        <v>0</v>
      </c>
      <c r="ED37" s="20" t="s">
        <v>3536</v>
      </c>
      <c r="EE37" s="20">
        <v>0</v>
      </c>
      <c r="EF37" s="20" t="s">
        <v>3537</v>
      </c>
      <c r="EG37" s="20">
        <v>0</v>
      </c>
      <c r="EH37" s="20">
        <v>0</v>
      </c>
      <c r="EI37" s="20">
        <v>0</v>
      </c>
      <c r="EJ37" s="20" t="s">
        <v>3538</v>
      </c>
      <c r="EK37" s="20" t="s">
        <v>3539</v>
      </c>
      <c r="EL37" s="20">
        <v>0</v>
      </c>
    </row>
    <row r="38" spans="1:142" s="20" customFormat="1" ht="11.25" x14ac:dyDescent="0.2">
      <c r="A38" s="557" t="str">
        <f>EOILGASEX</f>
        <v>Oil and gas extraction</v>
      </c>
      <c r="B38" s="230" t="s">
        <v>1096</v>
      </c>
      <c r="C38" s="230" t="s">
        <v>1653</v>
      </c>
      <c r="D38" s="221">
        <f t="shared" si="63"/>
        <v>16</v>
      </c>
      <c r="E38" s="2169">
        <f t="shared" ca="1" si="64"/>
        <v>0</v>
      </c>
      <c r="F38" s="2169">
        <f t="shared" ca="1" si="64"/>
        <v>0</v>
      </c>
      <c r="G38" s="2169">
        <f t="shared" ca="1" si="64"/>
        <v>0</v>
      </c>
      <c r="H38" s="2169">
        <f t="shared" ca="1" si="64"/>
        <v>0</v>
      </c>
      <c r="I38" s="2169">
        <f t="shared" ca="1" si="64"/>
        <v>0</v>
      </c>
      <c r="J38" s="2169">
        <f t="shared" ca="1" si="64"/>
        <v>0</v>
      </c>
      <c r="K38" s="2169">
        <f t="shared" ca="1" si="64"/>
        <v>0</v>
      </c>
      <c r="L38" s="2169">
        <f t="shared" ca="1" si="64"/>
        <v>0</v>
      </c>
      <c r="M38" s="2169">
        <f t="shared" ca="1" si="64"/>
        <v>0</v>
      </c>
      <c r="N38" s="2169">
        <f t="shared" ca="1" si="64"/>
        <v>0</v>
      </c>
      <c r="O38" s="2169">
        <f t="shared" ca="1" si="65"/>
        <v>0</v>
      </c>
      <c r="P38" s="2169">
        <f t="shared" ca="1" si="65"/>
        <v>0</v>
      </c>
      <c r="Q38" s="2169">
        <f t="shared" ca="1" si="65"/>
        <v>0</v>
      </c>
      <c r="R38" s="2169">
        <f t="shared" ca="1" si="65"/>
        <v>0</v>
      </c>
      <c r="S38" s="2170">
        <v>0</v>
      </c>
      <c r="T38" s="2169">
        <f t="shared" ca="1" si="66"/>
        <v>0</v>
      </c>
      <c r="U38" s="2169">
        <f t="shared" ca="1" si="66"/>
        <v>0</v>
      </c>
      <c r="V38" s="2169">
        <f t="shared" ca="1" si="66"/>
        <v>0</v>
      </c>
      <c r="W38" s="2161">
        <f t="shared" ca="1" si="67"/>
        <v>0</v>
      </c>
      <c r="X38" s="2161">
        <f t="shared" ca="1" si="67"/>
        <v>0</v>
      </c>
      <c r="Y38" s="2161">
        <f t="shared" ca="1" si="67"/>
        <v>0</v>
      </c>
      <c r="Z38" s="2161">
        <f t="shared" ca="1" si="67"/>
        <v>0</v>
      </c>
      <c r="AA38" s="2161">
        <f t="shared" ca="1" si="67"/>
        <v>0</v>
      </c>
      <c r="AB38" s="2161">
        <f t="shared" ca="1" si="67"/>
        <v>0</v>
      </c>
      <c r="AC38" s="2161">
        <f t="shared" ca="1" si="67"/>
        <v>0</v>
      </c>
      <c r="AD38" s="2161">
        <f t="shared" ca="1" si="67"/>
        <v>0</v>
      </c>
      <c r="AE38" s="2161">
        <f t="shared" ca="1" si="67"/>
        <v>0</v>
      </c>
      <c r="AF38" s="2161">
        <f t="shared" ca="1" si="67"/>
        <v>0</v>
      </c>
      <c r="AG38" s="2161">
        <f t="shared" ca="1" si="68"/>
        <v>0</v>
      </c>
      <c r="AH38" s="2161">
        <f t="shared" ca="1" si="68"/>
        <v>0</v>
      </c>
      <c r="AI38" s="2161">
        <f t="shared" ca="1" si="68"/>
        <v>0</v>
      </c>
      <c r="AJ38" s="2161">
        <f t="shared" ca="1" si="68"/>
        <v>0</v>
      </c>
      <c r="AK38" s="2161">
        <f t="shared" ca="1" si="68"/>
        <v>0</v>
      </c>
      <c r="AL38" s="2161">
        <f t="shared" ca="1" si="68"/>
        <v>0</v>
      </c>
      <c r="AM38" s="2161">
        <f t="shared" ca="1" si="68"/>
        <v>0</v>
      </c>
      <c r="AN38" s="2161">
        <f t="shared" ca="1" si="68"/>
        <v>0</v>
      </c>
      <c r="AO38" s="2161">
        <f t="shared" ca="1" si="68"/>
        <v>0</v>
      </c>
      <c r="AP38" s="2161">
        <f t="shared" ca="1" si="68"/>
        <v>0</v>
      </c>
      <c r="AQ38" s="2161">
        <f t="shared" ca="1" si="68"/>
        <v>0</v>
      </c>
      <c r="AR38" s="2171">
        <f t="shared" ca="1" si="68"/>
        <v>0</v>
      </c>
      <c r="AS38" s="2172">
        <f t="shared" ca="1" si="69"/>
        <v>0</v>
      </c>
      <c r="AT38" s="2173">
        <f t="shared" si="70"/>
        <v>0</v>
      </c>
      <c r="AU38" s="2173">
        <f t="shared" si="70"/>
        <v>0</v>
      </c>
      <c r="AV38" s="2173">
        <f t="shared" si="70"/>
        <v>0</v>
      </c>
      <c r="AW38" s="2173">
        <f t="shared" si="70"/>
        <v>0</v>
      </c>
      <c r="AX38" s="2173">
        <f t="shared" si="70"/>
        <v>0</v>
      </c>
      <c r="AY38" s="2173">
        <f t="shared" ca="1" si="71"/>
        <v>0</v>
      </c>
      <c r="AZ38" s="2173">
        <f t="shared" ca="1" si="71"/>
        <v>0</v>
      </c>
      <c r="BA38" s="2173">
        <f t="shared" ca="1" si="71"/>
        <v>0</v>
      </c>
      <c r="BB38" s="2173">
        <f t="shared" ca="1" si="71"/>
        <v>0</v>
      </c>
      <c r="BC38" s="2173">
        <f t="shared" si="72"/>
        <v>0</v>
      </c>
      <c r="BD38" s="2174">
        <f t="shared" ca="1" si="73"/>
        <v>0</v>
      </c>
      <c r="BE38" s="2167">
        <v>0</v>
      </c>
      <c r="BF38" s="2167">
        <v>0</v>
      </c>
      <c r="BG38" s="2167">
        <f t="shared" si="74"/>
        <v>0</v>
      </c>
      <c r="BH38" s="2167">
        <v>0</v>
      </c>
      <c r="BI38" s="2167">
        <f t="shared" si="75"/>
        <v>0</v>
      </c>
      <c r="BJ38" s="2167">
        <v>0</v>
      </c>
      <c r="BK38" s="2167">
        <v>0</v>
      </c>
      <c r="BL38" s="2167">
        <v>0</v>
      </c>
      <c r="BM38" s="2167">
        <f t="shared" si="76"/>
        <v>0</v>
      </c>
      <c r="BN38" s="2167">
        <f t="shared" si="77"/>
        <v>0</v>
      </c>
      <c r="BO38" s="2170">
        <v>0</v>
      </c>
      <c r="BP38" s="2168">
        <f t="shared" ca="1" si="78"/>
        <v>0</v>
      </c>
      <c r="BQ38" s="648"/>
      <c r="CA38" s="555" t="s">
        <v>1096</v>
      </c>
      <c r="CB38" s="20" t="s">
        <v>3540</v>
      </c>
      <c r="CC38" s="20" t="s">
        <v>3541</v>
      </c>
      <c r="CD38" s="20" t="s">
        <v>3542</v>
      </c>
      <c r="CE38" s="20" t="s">
        <v>3543</v>
      </c>
      <c r="CF38" s="20" t="s">
        <v>3544</v>
      </c>
      <c r="CG38" s="20" t="s">
        <v>3545</v>
      </c>
      <c r="CH38" s="20" t="s">
        <v>3546</v>
      </c>
      <c r="CI38" s="20" t="s">
        <v>3547</v>
      </c>
      <c r="CJ38" s="20" t="s">
        <v>3548</v>
      </c>
      <c r="CK38" s="20" t="s">
        <v>3549</v>
      </c>
      <c r="CL38" s="20" t="s">
        <v>3550</v>
      </c>
      <c r="CM38" s="20" t="s">
        <v>3551</v>
      </c>
      <c r="CN38" s="20" t="s">
        <v>3552</v>
      </c>
      <c r="CO38" s="20" t="s">
        <v>3553</v>
      </c>
      <c r="CP38" s="20">
        <v>0</v>
      </c>
      <c r="CQ38" s="20" t="s">
        <v>3554</v>
      </c>
      <c r="CR38" s="20" t="s">
        <v>3555</v>
      </c>
      <c r="CS38" s="20" t="s">
        <v>3556</v>
      </c>
      <c r="CT38" s="20" t="s">
        <v>3557</v>
      </c>
      <c r="CU38" s="20" t="s">
        <v>3558</v>
      </c>
      <c r="CV38" s="20" t="s">
        <v>3559</v>
      </c>
      <c r="CW38" s="20" t="s">
        <v>3560</v>
      </c>
      <c r="CX38" s="20" t="s">
        <v>3561</v>
      </c>
      <c r="CY38" s="20" t="s">
        <v>3562</v>
      </c>
      <c r="CZ38" s="20" t="s">
        <v>3563</v>
      </c>
      <c r="DA38" s="20" t="s">
        <v>3564</v>
      </c>
      <c r="DB38" s="20" t="s">
        <v>3565</v>
      </c>
      <c r="DC38" s="20" t="s">
        <v>3566</v>
      </c>
      <c r="DD38" s="20" t="s">
        <v>3567</v>
      </c>
      <c r="DE38" s="20" t="s">
        <v>3568</v>
      </c>
      <c r="DF38" s="20" t="s">
        <v>3569</v>
      </c>
      <c r="DG38" s="20" t="s">
        <v>3570</v>
      </c>
      <c r="DH38" s="20" t="s">
        <v>3571</v>
      </c>
      <c r="DI38" s="20" t="s">
        <v>3572</v>
      </c>
      <c r="DJ38" s="20" t="s">
        <v>3573</v>
      </c>
      <c r="DK38" s="20" t="s">
        <v>3574</v>
      </c>
      <c r="DL38" s="20" t="s">
        <v>3575</v>
      </c>
      <c r="DM38" s="20" t="s">
        <v>3576</v>
      </c>
      <c r="DN38" s="20" t="s">
        <v>3577</v>
      </c>
      <c r="DO38" s="20" t="s">
        <v>3578</v>
      </c>
      <c r="DP38" s="20" t="s">
        <v>3579</v>
      </c>
      <c r="DQ38" s="20" t="s">
        <v>3580</v>
      </c>
      <c r="DR38" s="20" t="s">
        <v>3581</v>
      </c>
      <c r="DS38" s="20" t="s">
        <v>3582</v>
      </c>
      <c r="DT38" s="20" t="s">
        <v>3583</v>
      </c>
      <c r="DU38" s="20" t="s">
        <v>3584</v>
      </c>
      <c r="DV38" s="20" t="s">
        <v>3585</v>
      </c>
      <c r="DW38" s="20" t="s">
        <v>3586</v>
      </c>
      <c r="DX38" s="20" t="s">
        <v>3587</v>
      </c>
      <c r="DY38" s="20" t="s">
        <v>3588</v>
      </c>
      <c r="DZ38" s="20" t="s">
        <v>3589</v>
      </c>
      <c r="EA38" s="20" t="s">
        <v>3590</v>
      </c>
      <c r="EB38" s="20">
        <v>0</v>
      </c>
      <c r="EC38" s="20">
        <v>0</v>
      </c>
      <c r="ED38" s="20" t="s">
        <v>3591</v>
      </c>
      <c r="EE38" s="20">
        <v>0</v>
      </c>
      <c r="EF38" s="20" t="s">
        <v>3592</v>
      </c>
      <c r="EG38" s="20">
        <v>0</v>
      </c>
      <c r="EH38" s="20">
        <v>0</v>
      </c>
      <c r="EI38" s="20">
        <v>0</v>
      </c>
      <c r="EJ38" s="20" t="s">
        <v>3593</v>
      </c>
      <c r="EK38" s="20" t="s">
        <v>3594</v>
      </c>
      <c r="EL38" s="20">
        <v>0</v>
      </c>
    </row>
    <row r="39" spans="1:142" s="20" customFormat="1" ht="11.25" x14ac:dyDescent="0.2">
      <c r="A39" s="557" t="str">
        <f>EPATFUEL</f>
        <v>Patent fuel plants</v>
      </c>
      <c r="B39" s="230" t="s">
        <v>1103</v>
      </c>
      <c r="C39" s="230" t="s">
        <v>1653</v>
      </c>
      <c r="D39" s="221">
        <f t="shared" si="63"/>
        <v>16</v>
      </c>
      <c r="E39" s="2169">
        <f t="shared" ca="1" si="64"/>
        <v>0</v>
      </c>
      <c r="F39" s="2169">
        <f t="shared" ca="1" si="64"/>
        <v>0</v>
      </c>
      <c r="G39" s="2169">
        <f t="shared" ca="1" si="64"/>
        <v>0</v>
      </c>
      <c r="H39" s="2169">
        <f t="shared" ca="1" si="64"/>
        <v>0</v>
      </c>
      <c r="I39" s="2169">
        <f t="shared" ca="1" si="64"/>
        <v>0</v>
      </c>
      <c r="J39" s="2169">
        <f t="shared" ca="1" si="64"/>
        <v>0</v>
      </c>
      <c r="K39" s="2169">
        <f t="shared" ca="1" si="64"/>
        <v>0</v>
      </c>
      <c r="L39" s="2169">
        <f t="shared" ca="1" si="64"/>
        <v>0</v>
      </c>
      <c r="M39" s="2169">
        <f t="shared" ca="1" si="64"/>
        <v>0</v>
      </c>
      <c r="N39" s="2169">
        <f t="shared" ca="1" si="64"/>
        <v>0</v>
      </c>
      <c r="O39" s="2169">
        <f t="shared" ca="1" si="65"/>
        <v>0</v>
      </c>
      <c r="P39" s="2169">
        <f t="shared" ca="1" si="65"/>
        <v>0</v>
      </c>
      <c r="Q39" s="2169">
        <f t="shared" ca="1" si="65"/>
        <v>0</v>
      </c>
      <c r="R39" s="2169">
        <f t="shared" ca="1" si="65"/>
        <v>0</v>
      </c>
      <c r="S39" s="2170">
        <v>0</v>
      </c>
      <c r="T39" s="2169">
        <f t="shared" ca="1" si="66"/>
        <v>0</v>
      </c>
      <c r="U39" s="2169">
        <f t="shared" ca="1" si="66"/>
        <v>0</v>
      </c>
      <c r="V39" s="2169">
        <f t="shared" ca="1" si="66"/>
        <v>0</v>
      </c>
      <c r="W39" s="2161">
        <f t="shared" ca="1" si="67"/>
        <v>0</v>
      </c>
      <c r="X39" s="2161">
        <f t="shared" ca="1" si="67"/>
        <v>0</v>
      </c>
      <c r="Y39" s="2161">
        <f t="shared" ca="1" si="67"/>
        <v>0</v>
      </c>
      <c r="Z39" s="2161">
        <f t="shared" ca="1" si="67"/>
        <v>0</v>
      </c>
      <c r="AA39" s="2161">
        <f t="shared" ca="1" si="67"/>
        <v>0</v>
      </c>
      <c r="AB39" s="2161">
        <f t="shared" ca="1" si="67"/>
        <v>0</v>
      </c>
      <c r="AC39" s="2161">
        <f t="shared" ca="1" si="67"/>
        <v>0</v>
      </c>
      <c r="AD39" s="2161">
        <f t="shared" ca="1" si="67"/>
        <v>0</v>
      </c>
      <c r="AE39" s="2161">
        <f t="shared" ca="1" si="67"/>
        <v>0</v>
      </c>
      <c r="AF39" s="2161">
        <f t="shared" ca="1" si="67"/>
        <v>0</v>
      </c>
      <c r="AG39" s="2161">
        <f t="shared" ca="1" si="68"/>
        <v>0</v>
      </c>
      <c r="AH39" s="2161">
        <f t="shared" ca="1" si="68"/>
        <v>0</v>
      </c>
      <c r="AI39" s="2161">
        <f t="shared" ca="1" si="68"/>
        <v>0</v>
      </c>
      <c r="AJ39" s="2161">
        <f t="shared" ca="1" si="68"/>
        <v>0</v>
      </c>
      <c r="AK39" s="2161">
        <f t="shared" ca="1" si="68"/>
        <v>0</v>
      </c>
      <c r="AL39" s="2161">
        <f t="shared" ca="1" si="68"/>
        <v>0</v>
      </c>
      <c r="AM39" s="2161">
        <f t="shared" ca="1" si="68"/>
        <v>0</v>
      </c>
      <c r="AN39" s="2161">
        <f t="shared" ca="1" si="68"/>
        <v>0</v>
      </c>
      <c r="AO39" s="2161">
        <f t="shared" ca="1" si="68"/>
        <v>0</v>
      </c>
      <c r="AP39" s="2161">
        <f t="shared" ca="1" si="68"/>
        <v>0</v>
      </c>
      <c r="AQ39" s="2161">
        <f t="shared" ca="1" si="68"/>
        <v>0</v>
      </c>
      <c r="AR39" s="2171">
        <f t="shared" ca="1" si="68"/>
        <v>0</v>
      </c>
      <c r="AS39" s="2172">
        <f t="shared" ca="1" si="69"/>
        <v>0</v>
      </c>
      <c r="AT39" s="2173">
        <f t="shared" si="70"/>
        <v>0</v>
      </c>
      <c r="AU39" s="2173">
        <f t="shared" si="70"/>
        <v>0</v>
      </c>
      <c r="AV39" s="2173">
        <f t="shared" si="70"/>
        <v>0</v>
      </c>
      <c r="AW39" s="2173">
        <f t="shared" si="70"/>
        <v>0</v>
      </c>
      <c r="AX39" s="2173">
        <f t="shared" si="70"/>
        <v>0</v>
      </c>
      <c r="AY39" s="2173">
        <f t="shared" ca="1" si="71"/>
        <v>0</v>
      </c>
      <c r="AZ39" s="2173">
        <f t="shared" ca="1" si="71"/>
        <v>0</v>
      </c>
      <c r="BA39" s="2173">
        <f t="shared" ca="1" si="71"/>
        <v>0</v>
      </c>
      <c r="BB39" s="2173">
        <f t="shared" ca="1" si="71"/>
        <v>0</v>
      </c>
      <c r="BC39" s="2173">
        <f t="shared" si="72"/>
        <v>0</v>
      </c>
      <c r="BD39" s="2174">
        <f t="shared" ca="1" si="73"/>
        <v>0</v>
      </c>
      <c r="BE39" s="2167">
        <v>0</v>
      </c>
      <c r="BF39" s="2167">
        <v>0</v>
      </c>
      <c r="BG39" s="2167">
        <f t="shared" si="74"/>
        <v>0</v>
      </c>
      <c r="BH39" s="2167">
        <v>0</v>
      </c>
      <c r="BI39" s="2167">
        <f t="shared" si="75"/>
        <v>0</v>
      </c>
      <c r="BJ39" s="2167">
        <v>0</v>
      </c>
      <c r="BK39" s="2167">
        <v>0</v>
      </c>
      <c r="BL39" s="2167">
        <v>0</v>
      </c>
      <c r="BM39" s="2167">
        <f t="shared" si="76"/>
        <v>0</v>
      </c>
      <c r="BN39" s="2167">
        <f t="shared" si="77"/>
        <v>0</v>
      </c>
      <c r="BO39" s="2170">
        <v>0</v>
      </c>
      <c r="BP39" s="2168">
        <f t="shared" ca="1" si="78"/>
        <v>0</v>
      </c>
      <c r="BQ39" s="648"/>
      <c r="CA39" s="555" t="s">
        <v>1103</v>
      </c>
      <c r="CB39" s="20" t="s">
        <v>3595</v>
      </c>
      <c r="CC39" s="20" t="s">
        <v>3596</v>
      </c>
      <c r="CD39" s="20" t="s">
        <v>3597</v>
      </c>
      <c r="CE39" s="20" t="s">
        <v>3598</v>
      </c>
      <c r="CF39" s="20" t="s">
        <v>3599</v>
      </c>
      <c r="CG39" s="20" t="s">
        <v>3600</v>
      </c>
      <c r="CH39" s="20" t="s">
        <v>3601</v>
      </c>
      <c r="CI39" s="20" t="s">
        <v>3602</v>
      </c>
      <c r="CJ39" s="20" t="s">
        <v>3603</v>
      </c>
      <c r="CK39" s="20" t="s">
        <v>3604</v>
      </c>
      <c r="CL39" s="20" t="s">
        <v>3605</v>
      </c>
      <c r="CM39" s="20" t="s">
        <v>3606</v>
      </c>
      <c r="CN39" s="20" t="s">
        <v>3607</v>
      </c>
      <c r="CO39" s="20" t="s">
        <v>3608</v>
      </c>
      <c r="CP39" s="20">
        <v>0</v>
      </c>
      <c r="CQ39" s="20" t="s">
        <v>3609</v>
      </c>
      <c r="CR39" s="20" t="s">
        <v>3610</v>
      </c>
      <c r="CS39" s="20" t="s">
        <v>3611</v>
      </c>
      <c r="CT39" s="20" t="s">
        <v>3612</v>
      </c>
      <c r="CU39" s="20" t="s">
        <v>3613</v>
      </c>
      <c r="CV39" s="20" t="s">
        <v>3614</v>
      </c>
      <c r="CW39" s="20" t="s">
        <v>3615</v>
      </c>
      <c r="CX39" s="20" t="s">
        <v>3616</v>
      </c>
      <c r="CY39" s="20" t="s">
        <v>3617</v>
      </c>
      <c r="CZ39" s="20" t="s">
        <v>3618</v>
      </c>
      <c r="DA39" s="20" t="s">
        <v>3619</v>
      </c>
      <c r="DB39" s="20" t="s">
        <v>3620</v>
      </c>
      <c r="DC39" s="20" t="s">
        <v>3621</v>
      </c>
      <c r="DD39" s="20" t="s">
        <v>3622</v>
      </c>
      <c r="DE39" s="20" t="s">
        <v>3623</v>
      </c>
      <c r="DF39" s="20" t="s">
        <v>3624</v>
      </c>
      <c r="DG39" s="20" t="s">
        <v>3625</v>
      </c>
      <c r="DH39" s="20" t="s">
        <v>3626</v>
      </c>
      <c r="DI39" s="20" t="s">
        <v>3627</v>
      </c>
      <c r="DJ39" s="20" t="s">
        <v>3628</v>
      </c>
      <c r="DK39" s="20" t="s">
        <v>3629</v>
      </c>
      <c r="DL39" s="20" t="s">
        <v>3630</v>
      </c>
      <c r="DM39" s="20" t="s">
        <v>3631</v>
      </c>
      <c r="DN39" s="20" t="s">
        <v>3632</v>
      </c>
      <c r="DO39" s="20" t="s">
        <v>3633</v>
      </c>
      <c r="DP39" s="20" t="s">
        <v>3634</v>
      </c>
      <c r="DQ39" s="20" t="s">
        <v>3635</v>
      </c>
      <c r="DR39" s="20" t="s">
        <v>3636</v>
      </c>
      <c r="DS39" s="20" t="s">
        <v>3637</v>
      </c>
      <c r="DT39" s="20" t="s">
        <v>3638</v>
      </c>
      <c r="DU39" s="20" t="s">
        <v>3639</v>
      </c>
      <c r="DV39" s="20" t="s">
        <v>3640</v>
      </c>
      <c r="DW39" s="20" t="s">
        <v>3641</v>
      </c>
      <c r="DX39" s="20" t="s">
        <v>3642</v>
      </c>
      <c r="DY39" s="20" t="s">
        <v>3643</v>
      </c>
      <c r="DZ39" s="20" t="s">
        <v>3644</v>
      </c>
      <c r="EA39" s="20" t="s">
        <v>3645</v>
      </c>
      <c r="EB39" s="20">
        <v>0</v>
      </c>
      <c r="EC39" s="20">
        <v>0</v>
      </c>
      <c r="ED39" s="20" t="s">
        <v>3646</v>
      </c>
      <c r="EE39" s="20">
        <v>0</v>
      </c>
      <c r="EF39" s="20" t="s">
        <v>3647</v>
      </c>
      <c r="EG39" s="20">
        <v>0</v>
      </c>
      <c r="EH39" s="20">
        <v>0</v>
      </c>
      <c r="EI39" s="20">
        <v>0</v>
      </c>
      <c r="EJ39" s="20" t="s">
        <v>3648</v>
      </c>
      <c r="EK39" s="20" t="s">
        <v>3649</v>
      </c>
      <c r="EL39" s="20">
        <v>0</v>
      </c>
    </row>
    <row r="40" spans="1:142" s="20" customFormat="1" ht="11.25" x14ac:dyDescent="0.2">
      <c r="A40" s="557" t="str">
        <f>ECOKEOVS</f>
        <v>Coke ovens</v>
      </c>
      <c r="B40" s="230" t="s">
        <v>1107</v>
      </c>
      <c r="C40" s="230" t="s">
        <v>1644</v>
      </c>
      <c r="D40" s="221">
        <f t="shared" si="63"/>
        <v>7</v>
      </c>
      <c r="E40" s="2169">
        <f t="shared" ca="1" si="64"/>
        <v>0</v>
      </c>
      <c r="F40" s="2169">
        <f t="shared" ca="1" si="64"/>
        <v>0</v>
      </c>
      <c r="G40" s="2169">
        <f t="shared" ca="1" si="64"/>
        <v>0</v>
      </c>
      <c r="H40" s="2169">
        <f t="shared" ca="1" si="64"/>
        <v>0</v>
      </c>
      <c r="I40" s="2169">
        <f t="shared" ca="1" si="64"/>
        <v>0</v>
      </c>
      <c r="J40" s="2169">
        <f t="shared" ca="1" si="64"/>
        <v>0</v>
      </c>
      <c r="K40" s="2169">
        <f t="shared" ca="1" si="64"/>
        <v>0</v>
      </c>
      <c r="L40" s="2169">
        <f t="shared" ca="1" si="64"/>
        <v>0</v>
      </c>
      <c r="M40" s="2169">
        <f t="shared" ca="1" si="64"/>
        <v>0</v>
      </c>
      <c r="N40" s="2169">
        <f t="shared" ca="1" si="64"/>
        <v>0</v>
      </c>
      <c r="O40" s="2169">
        <f t="shared" ca="1" si="65"/>
        <v>0</v>
      </c>
      <c r="P40" s="2169">
        <f t="shared" ca="1" si="65"/>
        <v>0</v>
      </c>
      <c r="Q40" s="2169">
        <f t="shared" ca="1" si="65"/>
        <v>0</v>
      </c>
      <c r="R40" s="2169">
        <f t="shared" ca="1" si="65"/>
        <v>0</v>
      </c>
      <c r="S40" s="2170">
        <v>0</v>
      </c>
      <c r="T40" s="2169">
        <f t="shared" ca="1" si="66"/>
        <v>0</v>
      </c>
      <c r="U40" s="2169">
        <f t="shared" ca="1" si="66"/>
        <v>0</v>
      </c>
      <c r="V40" s="2169">
        <f t="shared" ca="1" si="66"/>
        <v>0</v>
      </c>
      <c r="W40" s="2161">
        <f t="shared" ca="1" si="67"/>
        <v>0</v>
      </c>
      <c r="X40" s="2161">
        <f t="shared" ca="1" si="67"/>
        <v>0</v>
      </c>
      <c r="Y40" s="2161">
        <f t="shared" ca="1" si="67"/>
        <v>0</v>
      </c>
      <c r="Z40" s="2161">
        <f t="shared" ca="1" si="67"/>
        <v>0</v>
      </c>
      <c r="AA40" s="2161">
        <f t="shared" ca="1" si="67"/>
        <v>0</v>
      </c>
      <c r="AB40" s="2161">
        <f t="shared" ca="1" si="67"/>
        <v>0</v>
      </c>
      <c r="AC40" s="2161">
        <f t="shared" ca="1" si="67"/>
        <v>0</v>
      </c>
      <c r="AD40" s="2161">
        <f t="shared" ca="1" si="67"/>
        <v>0</v>
      </c>
      <c r="AE40" s="2161">
        <f t="shared" ca="1" si="67"/>
        <v>0</v>
      </c>
      <c r="AF40" s="2161">
        <f t="shared" ca="1" si="67"/>
        <v>0</v>
      </c>
      <c r="AG40" s="2161">
        <f t="shared" ca="1" si="68"/>
        <v>0</v>
      </c>
      <c r="AH40" s="2161">
        <f t="shared" ca="1" si="68"/>
        <v>0</v>
      </c>
      <c r="AI40" s="2161">
        <f t="shared" ca="1" si="68"/>
        <v>0</v>
      </c>
      <c r="AJ40" s="2161">
        <f t="shared" ca="1" si="68"/>
        <v>0</v>
      </c>
      <c r="AK40" s="2161">
        <f t="shared" ca="1" si="68"/>
        <v>0</v>
      </c>
      <c r="AL40" s="2161">
        <f t="shared" ca="1" si="68"/>
        <v>0</v>
      </c>
      <c r="AM40" s="2161">
        <f t="shared" ca="1" si="68"/>
        <v>0</v>
      </c>
      <c r="AN40" s="2161">
        <f t="shared" ca="1" si="68"/>
        <v>0</v>
      </c>
      <c r="AO40" s="2161">
        <f t="shared" ca="1" si="68"/>
        <v>0</v>
      </c>
      <c r="AP40" s="2161">
        <f t="shared" ca="1" si="68"/>
        <v>0</v>
      </c>
      <c r="AQ40" s="2161">
        <f t="shared" ca="1" si="68"/>
        <v>0</v>
      </c>
      <c r="AR40" s="2171">
        <f t="shared" ca="1" si="68"/>
        <v>0</v>
      </c>
      <c r="AS40" s="2172">
        <f t="shared" ca="1" si="69"/>
        <v>0</v>
      </c>
      <c r="AT40" s="2173">
        <f t="shared" si="70"/>
        <v>0</v>
      </c>
      <c r="AU40" s="2173">
        <f t="shared" si="70"/>
        <v>0</v>
      </c>
      <c r="AV40" s="2173">
        <f t="shared" si="70"/>
        <v>0</v>
      </c>
      <c r="AW40" s="2173">
        <f t="shared" si="70"/>
        <v>0</v>
      </c>
      <c r="AX40" s="2173">
        <f t="shared" si="70"/>
        <v>0</v>
      </c>
      <c r="AY40" s="2173">
        <f t="shared" ca="1" si="71"/>
        <v>0</v>
      </c>
      <c r="AZ40" s="2173">
        <f t="shared" ca="1" si="71"/>
        <v>0</v>
      </c>
      <c r="BA40" s="2173">
        <f t="shared" ca="1" si="71"/>
        <v>0</v>
      </c>
      <c r="BB40" s="2173">
        <f t="shared" ca="1" si="71"/>
        <v>0</v>
      </c>
      <c r="BC40" s="2173">
        <f t="shared" si="72"/>
        <v>0</v>
      </c>
      <c r="BD40" s="2174">
        <f t="shared" ca="1" si="73"/>
        <v>0</v>
      </c>
      <c r="BE40" s="2167">
        <v>0</v>
      </c>
      <c r="BF40" s="2167">
        <v>0</v>
      </c>
      <c r="BG40" s="2167">
        <f t="shared" si="74"/>
        <v>0</v>
      </c>
      <c r="BH40" s="2167">
        <v>0</v>
      </c>
      <c r="BI40" s="2167">
        <f t="shared" si="75"/>
        <v>0</v>
      </c>
      <c r="BJ40" s="2167">
        <v>0</v>
      </c>
      <c r="BK40" s="2167">
        <v>0</v>
      </c>
      <c r="BL40" s="2167">
        <v>0</v>
      </c>
      <c r="BM40" s="2167">
        <f t="shared" si="76"/>
        <v>0</v>
      </c>
      <c r="BN40" s="2167">
        <f t="shared" si="77"/>
        <v>0</v>
      </c>
      <c r="BO40" s="2170">
        <v>0</v>
      </c>
      <c r="BP40" s="2168">
        <f t="shared" ca="1" si="78"/>
        <v>0</v>
      </c>
      <c r="BQ40" s="648"/>
      <c r="CA40" s="555" t="s">
        <v>1107</v>
      </c>
      <c r="CB40" s="20" t="s">
        <v>3650</v>
      </c>
      <c r="CC40" s="20" t="s">
        <v>3651</v>
      </c>
      <c r="CD40" s="20" t="s">
        <v>3652</v>
      </c>
      <c r="CE40" s="20" t="s">
        <v>3653</v>
      </c>
      <c r="CF40" s="20" t="s">
        <v>3654</v>
      </c>
      <c r="CG40" s="20" t="s">
        <v>3655</v>
      </c>
      <c r="CH40" s="20" t="s">
        <v>3656</v>
      </c>
      <c r="CI40" s="20" t="s">
        <v>3657</v>
      </c>
      <c r="CJ40" s="20" t="s">
        <v>3658</v>
      </c>
      <c r="CK40" s="20" t="s">
        <v>3659</v>
      </c>
      <c r="CL40" s="20" t="s">
        <v>3660</v>
      </c>
      <c r="CM40" s="20" t="s">
        <v>3661</v>
      </c>
      <c r="CN40" s="20" t="s">
        <v>3662</v>
      </c>
      <c r="CO40" s="20" t="s">
        <v>3663</v>
      </c>
      <c r="CP40" s="20">
        <v>0</v>
      </c>
      <c r="CQ40" s="20" t="s">
        <v>3664</v>
      </c>
      <c r="CR40" s="20" t="s">
        <v>3665</v>
      </c>
      <c r="CS40" s="20" t="s">
        <v>3666</v>
      </c>
      <c r="CT40" s="20" t="s">
        <v>3667</v>
      </c>
      <c r="CU40" s="20" t="s">
        <v>3668</v>
      </c>
      <c r="CV40" s="20" t="s">
        <v>3669</v>
      </c>
      <c r="CW40" s="20" t="s">
        <v>3670</v>
      </c>
      <c r="CX40" s="20" t="s">
        <v>3671</v>
      </c>
      <c r="CY40" s="20" t="s">
        <v>3672</v>
      </c>
      <c r="CZ40" s="20" t="s">
        <v>3673</v>
      </c>
      <c r="DA40" s="20" t="s">
        <v>3674</v>
      </c>
      <c r="DB40" s="20" t="s">
        <v>3675</v>
      </c>
      <c r="DC40" s="20" t="s">
        <v>3676</v>
      </c>
      <c r="DD40" s="20" t="s">
        <v>3677</v>
      </c>
      <c r="DE40" s="20" t="s">
        <v>3678</v>
      </c>
      <c r="DF40" s="20" t="s">
        <v>3679</v>
      </c>
      <c r="DG40" s="20" t="s">
        <v>3680</v>
      </c>
      <c r="DH40" s="20" t="s">
        <v>3681</v>
      </c>
      <c r="DI40" s="20" t="s">
        <v>3682</v>
      </c>
      <c r="DJ40" s="20" t="s">
        <v>3683</v>
      </c>
      <c r="DK40" s="20" t="s">
        <v>3684</v>
      </c>
      <c r="DL40" s="20" t="s">
        <v>3685</v>
      </c>
      <c r="DM40" s="20" t="s">
        <v>3686</v>
      </c>
      <c r="DN40" s="20" t="s">
        <v>3687</v>
      </c>
      <c r="DO40" s="20" t="s">
        <v>3688</v>
      </c>
      <c r="DP40" s="20" t="s">
        <v>3689</v>
      </c>
      <c r="DQ40" s="20" t="s">
        <v>3690</v>
      </c>
      <c r="DR40" s="20" t="s">
        <v>3691</v>
      </c>
      <c r="DS40" s="20" t="s">
        <v>3692</v>
      </c>
      <c r="DT40" s="20" t="s">
        <v>3693</v>
      </c>
      <c r="DU40" s="20" t="s">
        <v>3694</v>
      </c>
      <c r="DV40" s="20" t="s">
        <v>3695</v>
      </c>
      <c r="DW40" s="20" t="s">
        <v>3696</v>
      </c>
      <c r="DX40" s="20" t="s">
        <v>3697</v>
      </c>
      <c r="DY40" s="20" t="s">
        <v>3698</v>
      </c>
      <c r="DZ40" s="20" t="s">
        <v>3699</v>
      </c>
      <c r="EA40" s="20" t="s">
        <v>3700</v>
      </c>
      <c r="EB40" s="20">
        <v>0</v>
      </c>
      <c r="EC40" s="20">
        <v>0</v>
      </c>
      <c r="ED40" s="20" t="s">
        <v>3701</v>
      </c>
      <c r="EE40" s="20">
        <v>0</v>
      </c>
      <c r="EF40" s="20" t="s">
        <v>3702</v>
      </c>
      <c r="EG40" s="20">
        <v>0</v>
      </c>
      <c r="EH40" s="20">
        <v>0</v>
      </c>
      <c r="EI40" s="20">
        <v>0</v>
      </c>
      <c r="EJ40" s="20" t="s">
        <v>3703</v>
      </c>
      <c r="EK40" s="20" t="s">
        <v>3704</v>
      </c>
      <c r="EL40" s="20">
        <v>0</v>
      </c>
    </row>
    <row r="41" spans="1:142" s="20" customFormat="1" ht="11.25" x14ac:dyDescent="0.2">
      <c r="A41" s="557" t="str">
        <f>EGASWKS</f>
        <v>Gas works</v>
      </c>
      <c r="B41" s="230" t="s">
        <v>1111</v>
      </c>
      <c r="C41" s="230" t="s">
        <v>1653</v>
      </c>
      <c r="D41" s="221">
        <f t="shared" si="63"/>
        <v>16</v>
      </c>
      <c r="E41" s="2169">
        <f t="shared" ca="1" si="64"/>
        <v>0</v>
      </c>
      <c r="F41" s="2169">
        <f t="shared" ca="1" si="64"/>
        <v>0</v>
      </c>
      <c r="G41" s="2169">
        <f t="shared" ca="1" si="64"/>
        <v>0</v>
      </c>
      <c r="H41" s="2169">
        <f t="shared" ca="1" si="64"/>
        <v>0</v>
      </c>
      <c r="I41" s="2169">
        <f t="shared" ca="1" si="64"/>
        <v>0</v>
      </c>
      <c r="J41" s="2169">
        <f t="shared" ca="1" si="64"/>
        <v>0</v>
      </c>
      <c r="K41" s="2169">
        <f t="shared" ca="1" si="64"/>
        <v>0</v>
      </c>
      <c r="L41" s="2169">
        <f t="shared" ca="1" si="64"/>
        <v>0</v>
      </c>
      <c r="M41" s="2169">
        <f t="shared" ca="1" si="64"/>
        <v>0</v>
      </c>
      <c r="N41" s="2169">
        <f t="shared" ca="1" si="64"/>
        <v>0</v>
      </c>
      <c r="O41" s="2169">
        <f t="shared" ca="1" si="65"/>
        <v>0</v>
      </c>
      <c r="P41" s="2169">
        <f t="shared" ca="1" si="65"/>
        <v>0</v>
      </c>
      <c r="Q41" s="2169">
        <f t="shared" ca="1" si="65"/>
        <v>0</v>
      </c>
      <c r="R41" s="2169">
        <f t="shared" ca="1" si="65"/>
        <v>0</v>
      </c>
      <c r="S41" s="2170">
        <v>0</v>
      </c>
      <c r="T41" s="2169">
        <f t="shared" ca="1" si="66"/>
        <v>0</v>
      </c>
      <c r="U41" s="2169">
        <f t="shared" ca="1" si="66"/>
        <v>0</v>
      </c>
      <c r="V41" s="2169">
        <f t="shared" ca="1" si="66"/>
        <v>0</v>
      </c>
      <c r="W41" s="2161">
        <f t="shared" ca="1" si="67"/>
        <v>0</v>
      </c>
      <c r="X41" s="2161">
        <f t="shared" ca="1" si="67"/>
        <v>0</v>
      </c>
      <c r="Y41" s="2161">
        <f t="shared" ca="1" si="67"/>
        <v>0</v>
      </c>
      <c r="Z41" s="2161">
        <f t="shared" ca="1" si="67"/>
        <v>0</v>
      </c>
      <c r="AA41" s="2161">
        <f t="shared" ca="1" si="67"/>
        <v>0</v>
      </c>
      <c r="AB41" s="2161">
        <f t="shared" ca="1" si="67"/>
        <v>0</v>
      </c>
      <c r="AC41" s="2161">
        <f t="shared" ca="1" si="67"/>
        <v>0</v>
      </c>
      <c r="AD41" s="2161">
        <f t="shared" ca="1" si="67"/>
        <v>0</v>
      </c>
      <c r="AE41" s="2161">
        <f t="shared" ca="1" si="67"/>
        <v>0</v>
      </c>
      <c r="AF41" s="2161">
        <f t="shared" ca="1" si="67"/>
        <v>0</v>
      </c>
      <c r="AG41" s="2161">
        <f t="shared" ca="1" si="68"/>
        <v>0</v>
      </c>
      <c r="AH41" s="2161">
        <f t="shared" ca="1" si="68"/>
        <v>0</v>
      </c>
      <c r="AI41" s="2161">
        <f t="shared" ca="1" si="68"/>
        <v>0</v>
      </c>
      <c r="AJ41" s="2161">
        <f t="shared" ca="1" si="68"/>
        <v>0</v>
      </c>
      <c r="AK41" s="2161">
        <f t="shared" ca="1" si="68"/>
        <v>0</v>
      </c>
      <c r="AL41" s="2161">
        <f t="shared" ca="1" si="68"/>
        <v>0</v>
      </c>
      <c r="AM41" s="2161">
        <f t="shared" ca="1" si="68"/>
        <v>0</v>
      </c>
      <c r="AN41" s="2161">
        <f t="shared" ca="1" si="68"/>
        <v>0</v>
      </c>
      <c r="AO41" s="2161">
        <f t="shared" ca="1" si="68"/>
        <v>0</v>
      </c>
      <c r="AP41" s="2161">
        <f t="shared" ca="1" si="68"/>
        <v>0</v>
      </c>
      <c r="AQ41" s="2161">
        <f t="shared" ca="1" si="68"/>
        <v>0</v>
      </c>
      <c r="AR41" s="2171">
        <f t="shared" ca="1" si="68"/>
        <v>0</v>
      </c>
      <c r="AS41" s="2172">
        <f t="shared" ca="1" si="69"/>
        <v>0</v>
      </c>
      <c r="AT41" s="2173">
        <f t="shared" si="70"/>
        <v>0</v>
      </c>
      <c r="AU41" s="2173">
        <f t="shared" si="70"/>
        <v>0</v>
      </c>
      <c r="AV41" s="2173">
        <f t="shared" si="70"/>
        <v>0</v>
      </c>
      <c r="AW41" s="2173">
        <f t="shared" si="70"/>
        <v>0</v>
      </c>
      <c r="AX41" s="2173">
        <f t="shared" si="70"/>
        <v>0</v>
      </c>
      <c r="AY41" s="2173">
        <f t="shared" ca="1" si="71"/>
        <v>0</v>
      </c>
      <c r="AZ41" s="2173">
        <f t="shared" ca="1" si="71"/>
        <v>0</v>
      </c>
      <c r="BA41" s="2173">
        <f t="shared" ca="1" si="71"/>
        <v>0</v>
      </c>
      <c r="BB41" s="2173">
        <f t="shared" ca="1" si="71"/>
        <v>0</v>
      </c>
      <c r="BC41" s="2173">
        <f t="shared" si="72"/>
        <v>0</v>
      </c>
      <c r="BD41" s="2174">
        <f t="shared" ca="1" si="73"/>
        <v>0</v>
      </c>
      <c r="BE41" s="2167">
        <v>0</v>
      </c>
      <c r="BF41" s="2167">
        <v>0</v>
      </c>
      <c r="BG41" s="2167">
        <f t="shared" si="74"/>
        <v>0</v>
      </c>
      <c r="BH41" s="2167">
        <v>0</v>
      </c>
      <c r="BI41" s="2167">
        <f t="shared" si="75"/>
        <v>0</v>
      </c>
      <c r="BJ41" s="2167">
        <v>0</v>
      </c>
      <c r="BK41" s="2167">
        <v>0</v>
      </c>
      <c r="BL41" s="2167">
        <v>0</v>
      </c>
      <c r="BM41" s="2167">
        <f t="shared" si="76"/>
        <v>0</v>
      </c>
      <c r="BN41" s="2167">
        <f t="shared" si="77"/>
        <v>0</v>
      </c>
      <c r="BO41" s="2170">
        <v>0</v>
      </c>
      <c r="BP41" s="2168">
        <f t="shared" ca="1" si="78"/>
        <v>0</v>
      </c>
      <c r="BQ41" s="648"/>
      <c r="CA41" s="555" t="s">
        <v>1111</v>
      </c>
      <c r="CB41" s="20" t="s">
        <v>3705</v>
      </c>
      <c r="CC41" s="20" t="s">
        <v>3706</v>
      </c>
      <c r="CD41" s="20" t="s">
        <v>3707</v>
      </c>
      <c r="CE41" s="20" t="s">
        <v>3708</v>
      </c>
      <c r="CF41" s="20" t="s">
        <v>3709</v>
      </c>
      <c r="CG41" s="20" t="s">
        <v>3710</v>
      </c>
      <c r="CH41" s="20" t="s">
        <v>3711</v>
      </c>
      <c r="CI41" s="20" t="s">
        <v>3712</v>
      </c>
      <c r="CJ41" s="20" t="s">
        <v>3713</v>
      </c>
      <c r="CK41" s="20" t="s">
        <v>3714</v>
      </c>
      <c r="CL41" s="20" t="s">
        <v>3715</v>
      </c>
      <c r="CM41" s="20" t="s">
        <v>3716</v>
      </c>
      <c r="CN41" s="20" t="s">
        <v>3717</v>
      </c>
      <c r="CO41" s="20" t="s">
        <v>3718</v>
      </c>
      <c r="CP41" s="20">
        <v>0</v>
      </c>
      <c r="CQ41" s="20" t="s">
        <v>3719</v>
      </c>
      <c r="CR41" s="20" t="s">
        <v>3720</v>
      </c>
      <c r="CS41" s="20" t="s">
        <v>3721</v>
      </c>
      <c r="CT41" s="20" t="s">
        <v>3722</v>
      </c>
      <c r="CU41" s="20" t="s">
        <v>3723</v>
      </c>
      <c r="CV41" s="20" t="s">
        <v>3724</v>
      </c>
      <c r="CW41" s="20" t="s">
        <v>3725</v>
      </c>
      <c r="CX41" s="20" t="s">
        <v>3726</v>
      </c>
      <c r="CY41" s="20" t="s">
        <v>3727</v>
      </c>
      <c r="CZ41" s="20" t="s">
        <v>3728</v>
      </c>
      <c r="DA41" s="20" t="s">
        <v>3729</v>
      </c>
      <c r="DB41" s="20" t="s">
        <v>3730</v>
      </c>
      <c r="DC41" s="20" t="s">
        <v>3731</v>
      </c>
      <c r="DD41" s="20" t="s">
        <v>3732</v>
      </c>
      <c r="DE41" s="20" t="s">
        <v>3733</v>
      </c>
      <c r="DF41" s="20" t="s">
        <v>3734</v>
      </c>
      <c r="DG41" s="20" t="s">
        <v>3735</v>
      </c>
      <c r="DH41" s="20" t="s">
        <v>3736</v>
      </c>
      <c r="DI41" s="20" t="s">
        <v>3737</v>
      </c>
      <c r="DJ41" s="20" t="s">
        <v>3738</v>
      </c>
      <c r="DK41" s="20" t="s">
        <v>3739</v>
      </c>
      <c r="DL41" s="20" t="s">
        <v>3740</v>
      </c>
      <c r="DM41" s="20" t="s">
        <v>3741</v>
      </c>
      <c r="DN41" s="20" t="s">
        <v>3742</v>
      </c>
      <c r="DO41" s="20" t="s">
        <v>3743</v>
      </c>
      <c r="DP41" s="20" t="s">
        <v>3744</v>
      </c>
      <c r="DQ41" s="20" t="s">
        <v>3745</v>
      </c>
      <c r="DR41" s="20" t="s">
        <v>3746</v>
      </c>
      <c r="DS41" s="20" t="s">
        <v>3747</v>
      </c>
      <c r="DT41" s="20" t="s">
        <v>3748</v>
      </c>
      <c r="DU41" s="20" t="s">
        <v>3749</v>
      </c>
      <c r="DV41" s="20" t="s">
        <v>3750</v>
      </c>
      <c r="DW41" s="20" t="s">
        <v>3751</v>
      </c>
      <c r="DX41" s="20" t="s">
        <v>3752</v>
      </c>
      <c r="DY41" s="20" t="s">
        <v>3753</v>
      </c>
      <c r="DZ41" s="20" t="s">
        <v>3754</v>
      </c>
      <c r="EA41" s="20" t="s">
        <v>3755</v>
      </c>
      <c r="EB41" s="20">
        <v>0</v>
      </c>
      <c r="EC41" s="20">
        <v>0</v>
      </c>
      <c r="ED41" s="20" t="s">
        <v>3756</v>
      </c>
      <c r="EE41" s="20">
        <v>0</v>
      </c>
      <c r="EF41" s="20" t="s">
        <v>3757</v>
      </c>
      <c r="EG41" s="20">
        <v>0</v>
      </c>
      <c r="EH41" s="20">
        <v>0</v>
      </c>
      <c r="EI41" s="20">
        <v>0</v>
      </c>
      <c r="EJ41" s="20" t="s">
        <v>3758</v>
      </c>
      <c r="EK41" s="20" t="s">
        <v>3759</v>
      </c>
      <c r="EL41" s="20">
        <v>0</v>
      </c>
    </row>
    <row r="42" spans="1:142" s="20" customFormat="1" ht="11.25" x14ac:dyDescent="0.2">
      <c r="A42" s="557" t="str">
        <f>EBIOGAS</f>
        <v>Gasification plants for biogases</v>
      </c>
      <c r="B42" s="230" t="s">
        <v>1116</v>
      </c>
      <c r="C42" s="230" t="s">
        <v>1653</v>
      </c>
      <c r="D42" s="221">
        <f t="shared" si="63"/>
        <v>16</v>
      </c>
      <c r="E42" s="2169">
        <f t="shared" ca="1" si="64"/>
        <v>0</v>
      </c>
      <c r="F42" s="2169">
        <f t="shared" ca="1" si="64"/>
        <v>0</v>
      </c>
      <c r="G42" s="2169">
        <f t="shared" ca="1" si="64"/>
        <v>0</v>
      </c>
      <c r="H42" s="2169">
        <f t="shared" ca="1" si="64"/>
        <v>0</v>
      </c>
      <c r="I42" s="2169">
        <f t="shared" ca="1" si="64"/>
        <v>0</v>
      </c>
      <c r="J42" s="2169">
        <f t="shared" ca="1" si="64"/>
        <v>0</v>
      </c>
      <c r="K42" s="2169">
        <f t="shared" ca="1" si="64"/>
        <v>0</v>
      </c>
      <c r="L42" s="2169">
        <f t="shared" ca="1" si="64"/>
        <v>0</v>
      </c>
      <c r="M42" s="2169">
        <f t="shared" ca="1" si="64"/>
        <v>0</v>
      </c>
      <c r="N42" s="2169">
        <f t="shared" ca="1" si="64"/>
        <v>0</v>
      </c>
      <c r="O42" s="2169">
        <f t="shared" ca="1" si="65"/>
        <v>0</v>
      </c>
      <c r="P42" s="2169">
        <f t="shared" ca="1" si="65"/>
        <v>0</v>
      </c>
      <c r="Q42" s="2169">
        <f t="shared" ca="1" si="65"/>
        <v>0</v>
      </c>
      <c r="R42" s="2169">
        <f t="shared" ca="1" si="65"/>
        <v>0</v>
      </c>
      <c r="S42" s="2170">
        <v>0</v>
      </c>
      <c r="T42" s="2169">
        <f t="shared" ca="1" si="66"/>
        <v>0</v>
      </c>
      <c r="U42" s="2169">
        <f t="shared" ca="1" si="66"/>
        <v>0</v>
      </c>
      <c r="V42" s="2169">
        <f t="shared" ca="1" si="66"/>
        <v>0</v>
      </c>
      <c r="W42" s="2161">
        <f t="shared" ca="1" si="67"/>
        <v>0</v>
      </c>
      <c r="X42" s="2161">
        <f t="shared" ca="1" si="67"/>
        <v>0</v>
      </c>
      <c r="Y42" s="2161">
        <f t="shared" ca="1" si="67"/>
        <v>0</v>
      </c>
      <c r="Z42" s="2161">
        <f t="shared" ca="1" si="67"/>
        <v>0</v>
      </c>
      <c r="AA42" s="2161">
        <f t="shared" ca="1" si="67"/>
        <v>0</v>
      </c>
      <c r="AB42" s="2161">
        <f t="shared" ca="1" si="67"/>
        <v>0</v>
      </c>
      <c r="AC42" s="2161">
        <f t="shared" ca="1" si="67"/>
        <v>0</v>
      </c>
      <c r="AD42" s="2161">
        <f t="shared" ca="1" si="67"/>
        <v>0</v>
      </c>
      <c r="AE42" s="2161">
        <f t="shared" ca="1" si="67"/>
        <v>0</v>
      </c>
      <c r="AF42" s="2161">
        <f t="shared" ca="1" si="67"/>
        <v>0</v>
      </c>
      <c r="AG42" s="2161">
        <f t="shared" ca="1" si="68"/>
        <v>0</v>
      </c>
      <c r="AH42" s="2161">
        <f t="shared" ca="1" si="68"/>
        <v>0</v>
      </c>
      <c r="AI42" s="2161">
        <f t="shared" ca="1" si="68"/>
        <v>0</v>
      </c>
      <c r="AJ42" s="2161">
        <f t="shared" ca="1" si="68"/>
        <v>0</v>
      </c>
      <c r="AK42" s="2161">
        <f t="shared" ca="1" si="68"/>
        <v>0</v>
      </c>
      <c r="AL42" s="2161">
        <f t="shared" ca="1" si="68"/>
        <v>0</v>
      </c>
      <c r="AM42" s="2161">
        <f t="shared" ca="1" si="68"/>
        <v>0</v>
      </c>
      <c r="AN42" s="2161">
        <f t="shared" ca="1" si="68"/>
        <v>0</v>
      </c>
      <c r="AO42" s="2161">
        <f t="shared" ca="1" si="68"/>
        <v>0</v>
      </c>
      <c r="AP42" s="2161">
        <f t="shared" ca="1" si="68"/>
        <v>0</v>
      </c>
      <c r="AQ42" s="2161">
        <f t="shared" ca="1" si="68"/>
        <v>0</v>
      </c>
      <c r="AR42" s="2171">
        <f t="shared" ca="1" si="68"/>
        <v>0</v>
      </c>
      <c r="AS42" s="2172">
        <f t="shared" ca="1" si="69"/>
        <v>0</v>
      </c>
      <c r="AT42" s="2173">
        <f t="shared" si="70"/>
        <v>0</v>
      </c>
      <c r="AU42" s="2173">
        <f t="shared" si="70"/>
        <v>0</v>
      </c>
      <c r="AV42" s="2173">
        <f t="shared" si="70"/>
        <v>0</v>
      </c>
      <c r="AW42" s="2173">
        <f t="shared" si="70"/>
        <v>0</v>
      </c>
      <c r="AX42" s="2173">
        <f t="shared" si="70"/>
        <v>0</v>
      </c>
      <c r="AY42" s="2173">
        <f t="shared" ca="1" si="71"/>
        <v>0</v>
      </c>
      <c r="AZ42" s="2173">
        <f t="shared" ca="1" si="71"/>
        <v>0</v>
      </c>
      <c r="BA42" s="2173">
        <f t="shared" ca="1" si="71"/>
        <v>0</v>
      </c>
      <c r="BB42" s="2173">
        <f t="shared" ca="1" si="71"/>
        <v>0</v>
      </c>
      <c r="BC42" s="2173">
        <f t="shared" si="72"/>
        <v>0</v>
      </c>
      <c r="BD42" s="2174">
        <f t="shared" ca="1" si="73"/>
        <v>0</v>
      </c>
      <c r="BE42" s="2167">
        <v>0</v>
      </c>
      <c r="BF42" s="2167">
        <v>0</v>
      </c>
      <c r="BG42" s="2167">
        <f t="shared" si="74"/>
        <v>0</v>
      </c>
      <c r="BH42" s="2167">
        <v>0</v>
      </c>
      <c r="BI42" s="2167">
        <f t="shared" si="75"/>
        <v>0</v>
      </c>
      <c r="BJ42" s="2167">
        <v>0</v>
      </c>
      <c r="BK42" s="2167">
        <v>0</v>
      </c>
      <c r="BL42" s="2167">
        <v>0</v>
      </c>
      <c r="BM42" s="2167">
        <f t="shared" si="76"/>
        <v>0</v>
      </c>
      <c r="BN42" s="2167">
        <f t="shared" si="77"/>
        <v>0</v>
      </c>
      <c r="BO42" s="2170">
        <v>0</v>
      </c>
      <c r="BP42" s="2168">
        <f t="shared" ca="1" si="78"/>
        <v>0</v>
      </c>
      <c r="BQ42" s="648"/>
      <c r="CA42" s="555" t="s">
        <v>1116</v>
      </c>
      <c r="CB42" s="20" t="s">
        <v>3760</v>
      </c>
      <c r="CC42" s="20" t="s">
        <v>3761</v>
      </c>
      <c r="CD42" s="20" t="s">
        <v>3762</v>
      </c>
      <c r="CE42" s="20" t="s">
        <v>3763</v>
      </c>
      <c r="CF42" s="20" t="s">
        <v>3764</v>
      </c>
      <c r="CG42" s="20" t="s">
        <v>3765</v>
      </c>
      <c r="CH42" s="20" t="s">
        <v>3766</v>
      </c>
      <c r="CI42" s="20" t="s">
        <v>3767</v>
      </c>
      <c r="CJ42" s="20" t="s">
        <v>3768</v>
      </c>
      <c r="CK42" s="20" t="s">
        <v>3769</v>
      </c>
      <c r="CL42" s="20" t="s">
        <v>3770</v>
      </c>
      <c r="CM42" s="20" t="s">
        <v>3771</v>
      </c>
      <c r="CN42" s="20" t="s">
        <v>3772</v>
      </c>
      <c r="CO42" s="20" t="s">
        <v>3773</v>
      </c>
      <c r="CP42" s="20">
        <v>0</v>
      </c>
      <c r="CQ42" s="20" t="s">
        <v>3774</v>
      </c>
      <c r="CR42" s="20" t="s">
        <v>3775</v>
      </c>
      <c r="CS42" s="20" t="s">
        <v>3776</v>
      </c>
      <c r="CT42" s="20" t="s">
        <v>3777</v>
      </c>
      <c r="CU42" s="20" t="s">
        <v>3778</v>
      </c>
      <c r="CV42" s="20" t="s">
        <v>3779</v>
      </c>
      <c r="CW42" s="20" t="s">
        <v>3780</v>
      </c>
      <c r="CX42" s="20" t="s">
        <v>3781</v>
      </c>
      <c r="CY42" s="20" t="s">
        <v>3782</v>
      </c>
      <c r="CZ42" s="20" t="s">
        <v>3783</v>
      </c>
      <c r="DA42" s="20" t="s">
        <v>3784</v>
      </c>
      <c r="DB42" s="20" t="s">
        <v>3785</v>
      </c>
      <c r="DC42" s="20" t="s">
        <v>3786</v>
      </c>
      <c r="DD42" s="20" t="s">
        <v>3787</v>
      </c>
      <c r="DE42" s="20" t="s">
        <v>3788</v>
      </c>
      <c r="DF42" s="20" t="s">
        <v>3789</v>
      </c>
      <c r="DG42" s="20" t="s">
        <v>3790</v>
      </c>
      <c r="DH42" s="20" t="s">
        <v>3791</v>
      </c>
      <c r="DI42" s="20" t="s">
        <v>3792</v>
      </c>
      <c r="DJ42" s="20" t="s">
        <v>3793</v>
      </c>
      <c r="DK42" s="20" t="s">
        <v>3794</v>
      </c>
      <c r="DL42" s="20" t="s">
        <v>3795</v>
      </c>
      <c r="DM42" s="20" t="s">
        <v>3796</v>
      </c>
      <c r="DN42" s="20" t="s">
        <v>3797</v>
      </c>
      <c r="DO42" s="20" t="s">
        <v>3798</v>
      </c>
      <c r="DP42" s="20" t="s">
        <v>3799</v>
      </c>
      <c r="DQ42" s="20" t="s">
        <v>3800</v>
      </c>
      <c r="DR42" s="20" t="s">
        <v>3801</v>
      </c>
      <c r="DS42" s="20" t="s">
        <v>3802</v>
      </c>
      <c r="DT42" s="20" t="s">
        <v>3803</v>
      </c>
      <c r="DU42" s="20" t="s">
        <v>3804</v>
      </c>
      <c r="DV42" s="20" t="s">
        <v>3805</v>
      </c>
      <c r="DW42" s="20" t="s">
        <v>3806</v>
      </c>
      <c r="DX42" s="20" t="s">
        <v>3807</v>
      </c>
      <c r="DY42" s="20" t="s">
        <v>3808</v>
      </c>
      <c r="DZ42" s="20" t="s">
        <v>3809</v>
      </c>
      <c r="EA42" s="20" t="s">
        <v>3810</v>
      </c>
      <c r="EB42" s="20">
        <v>0</v>
      </c>
      <c r="EC42" s="20">
        <v>0</v>
      </c>
      <c r="ED42" s="20" t="s">
        <v>3811</v>
      </c>
      <c r="EE42" s="20">
        <v>0</v>
      </c>
      <c r="EF42" s="20" t="s">
        <v>3812</v>
      </c>
      <c r="EG42" s="20">
        <v>0</v>
      </c>
      <c r="EH42" s="20">
        <v>0</v>
      </c>
      <c r="EI42" s="20">
        <v>0</v>
      </c>
      <c r="EJ42" s="20" t="s">
        <v>3813</v>
      </c>
      <c r="EK42" s="20" t="s">
        <v>3814</v>
      </c>
      <c r="EL42" s="20">
        <v>0</v>
      </c>
    </row>
    <row r="43" spans="1:142" s="20" customFormat="1" ht="11.25" x14ac:dyDescent="0.2">
      <c r="A43" s="557" t="str">
        <f>EBLASTFUR</f>
        <v>Blast furnaces</v>
      </c>
      <c r="B43" s="230" t="s">
        <v>1123</v>
      </c>
      <c r="C43" s="230" t="s">
        <v>1645</v>
      </c>
      <c r="D43" s="221">
        <f t="shared" si="63"/>
        <v>8</v>
      </c>
      <c r="E43" s="2169">
        <f t="shared" ca="1" si="64"/>
        <v>0</v>
      </c>
      <c r="F43" s="2169">
        <f t="shared" ca="1" si="64"/>
        <v>0</v>
      </c>
      <c r="G43" s="2169">
        <f t="shared" ca="1" si="64"/>
        <v>0</v>
      </c>
      <c r="H43" s="2169">
        <f t="shared" ca="1" si="64"/>
        <v>0</v>
      </c>
      <c r="I43" s="2169">
        <f t="shared" ca="1" si="64"/>
        <v>0</v>
      </c>
      <c r="J43" s="2169">
        <f t="shared" ca="1" si="64"/>
        <v>0</v>
      </c>
      <c r="K43" s="2169">
        <f t="shared" ca="1" si="64"/>
        <v>0</v>
      </c>
      <c r="L43" s="2169">
        <f t="shared" ca="1" si="64"/>
        <v>0</v>
      </c>
      <c r="M43" s="2169">
        <f t="shared" ca="1" si="64"/>
        <v>0</v>
      </c>
      <c r="N43" s="2169">
        <f t="shared" ca="1" si="64"/>
        <v>0</v>
      </c>
      <c r="O43" s="2169">
        <f t="shared" ca="1" si="65"/>
        <v>0</v>
      </c>
      <c r="P43" s="2169">
        <f t="shared" ca="1" si="65"/>
        <v>0</v>
      </c>
      <c r="Q43" s="2169">
        <f t="shared" ca="1" si="65"/>
        <v>0</v>
      </c>
      <c r="R43" s="2169">
        <f t="shared" ca="1" si="65"/>
        <v>0</v>
      </c>
      <c r="S43" s="2170">
        <v>0</v>
      </c>
      <c r="T43" s="2169">
        <f t="shared" ca="1" si="66"/>
        <v>0</v>
      </c>
      <c r="U43" s="2169">
        <f t="shared" ca="1" si="66"/>
        <v>0</v>
      </c>
      <c r="V43" s="2169">
        <f t="shared" ca="1" si="66"/>
        <v>0</v>
      </c>
      <c r="W43" s="2161">
        <f t="shared" ca="1" si="67"/>
        <v>0</v>
      </c>
      <c r="X43" s="2161">
        <f t="shared" ca="1" si="67"/>
        <v>0</v>
      </c>
      <c r="Y43" s="2161">
        <f t="shared" ca="1" si="67"/>
        <v>0</v>
      </c>
      <c r="Z43" s="2161">
        <f t="shared" ca="1" si="67"/>
        <v>0</v>
      </c>
      <c r="AA43" s="2161">
        <f t="shared" ca="1" si="67"/>
        <v>0</v>
      </c>
      <c r="AB43" s="2161">
        <f t="shared" ca="1" si="67"/>
        <v>0</v>
      </c>
      <c r="AC43" s="2161">
        <f t="shared" ca="1" si="67"/>
        <v>0</v>
      </c>
      <c r="AD43" s="2161">
        <f t="shared" ca="1" si="67"/>
        <v>0</v>
      </c>
      <c r="AE43" s="2161">
        <f t="shared" ca="1" si="67"/>
        <v>0</v>
      </c>
      <c r="AF43" s="2161">
        <f t="shared" ca="1" si="67"/>
        <v>0</v>
      </c>
      <c r="AG43" s="2161">
        <f t="shared" ca="1" si="68"/>
        <v>0</v>
      </c>
      <c r="AH43" s="2161">
        <f t="shared" ca="1" si="68"/>
        <v>0</v>
      </c>
      <c r="AI43" s="2161">
        <f t="shared" ca="1" si="68"/>
        <v>0</v>
      </c>
      <c r="AJ43" s="2161">
        <f t="shared" ca="1" si="68"/>
        <v>0</v>
      </c>
      <c r="AK43" s="2161">
        <f t="shared" ca="1" si="68"/>
        <v>0</v>
      </c>
      <c r="AL43" s="2161">
        <f t="shared" ca="1" si="68"/>
        <v>0</v>
      </c>
      <c r="AM43" s="2161">
        <f t="shared" ca="1" si="68"/>
        <v>0</v>
      </c>
      <c r="AN43" s="2161">
        <f t="shared" ca="1" si="68"/>
        <v>0</v>
      </c>
      <c r="AO43" s="2161">
        <f t="shared" ca="1" si="68"/>
        <v>0</v>
      </c>
      <c r="AP43" s="2161">
        <f t="shared" ca="1" si="68"/>
        <v>0</v>
      </c>
      <c r="AQ43" s="2161">
        <f t="shared" ca="1" si="68"/>
        <v>0</v>
      </c>
      <c r="AR43" s="2171">
        <f t="shared" ca="1" si="68"/>
        <v>0</v>
      </c>
      <c r="AS43" s="2172">
        <f t="shared" ca="1" si="69"/>
        <v>0</v>
      </c>
      <c r="AT43" s="2173">
        <f t="shared" si="70"/>
        <v>0</v>
      </c>
      <c r="AU43" s="2173">
        <f t="shared" si="70"/>
        <v>0</v>
      </c>
      <c r="AV43" s="2173">
        <f t="shared" si="70"/>
        <v>0</v>
      </c>
      <c r="AW43" s="2173">
        <f t="shared" si="70"/>
        <v>0</v>
      </c>
      <c r="AX43" s="2173">
        <f t="shared" si="70"/>
        <v>0</v>
      </c>
      <c r="AY43" s="2173">
        <f t="shared" ca="1" si="71"/>
        <v>0</v>
      </c>
      <c r="AZ43" s="2173">
        <f t="shared" ca="1" si="71"/>
        <v>0</v>
      </c>
      <c r="BA43" s="2173">
        <f t="shared" ca="1" si="71"/>
        <v>0</v>
      </c>
      <c r="BB43" s="2173">
        <f t="shared" ca="1" si="71"/>
        <v>0</v>
      </c>
      <c r="BC43" s="2173">
        <f t="shared" si="72"/>
        <v>0</v>
      </c>
      <c r="BD43" s="2174">
        <f t="shared" ca="1" si="73"/>
        <v>0</v>
      </c>
      <c r="BE43" s="2167">
        <v>0</v>
      </c>
      <c r="BF43" s="2167">
        <v>0</v>
      </c>
      <c r="BG43" s="2167">
        <f t="shared" si="74"/>
        <v>0</v>
      </c>
      <c r="BH43" s="2167">
        <v>0</v>
      </c>
      <c r="BI43" s="2167">
        <f t="shared" si="75"/>
        <v>0</v>
      </c>
      <c r="BJ43" s="2167">
        <v>0</v>
      </c>
      <c r="BK43" s="2167">
        <v>0</v>
      </c>
      <c r="BL43" s="2167">
        <v>0</v>
      </c>
      <c r="BM43" s="2167">
        <f t="shared" si="76"/>
        <v>0</v>
      </c>
      <c r="BN43" s="2167">
        <f t="shared" si="77"/>
        <v>0</v>
      </c>
      <c r="BO43" s="2170">
        <v>0</v>
      </c>
      <c r="BP43" s="2168">
        <f t="shared" ca="1" si="78"/>
        <v>0</v>
      </c>
      <c r="BQ43" s="648"/>
      <c r="CA43" s="555" t="s">
        <v>1123</v>
      </c>
      <c r="CB43" s="20" t="s">
        <v>3815</v>
      </c>
      <c r="CC43" s="20" t="s">
        <v>3816</v>
      </c>
      <c r="CD43" s="20" t="s">
        <v>3817</v>
      </c>
      <c r="CE43" s="20" t="s">
        <v>3818</v>
      </c>
      <c r="CF43" s="20" t="s">
        <v>3819</v>
      </c>
      <c r="CG43" s="20" t="s">
        <v>3820</v>
      </c>
      <c r="CH43" s="20" t="s">
        <v>3821</v>
      </c>
      <c r="CI43" s="20" t="s">
        <v>3822</v>
      </c>
      <c r="CJ43" s="20" t="s">
        <v>3823</v>
      </c>
      <c r="CK43" s="20" t="s">
        <v>3824</v>
      </c>
      <c r="CL43" s="20" t="s">
        <v>3825</v>
      </c>
      <c r="CM43" s="20" t="s">
        <v>3826</v>
      </c>
      <c r="CN43" s="20" t="s">
        <v>3827</v>
      </c>
      <c r="CO43" s="20" t="s">
        <v>3828</v>
      </c>
      <c r="CP43" s="20">
        <v>0</v>
      </c>
      <c r="CQ43" s="20" t="s">
        <v>3829</v>
      </c>
      <c r="CR43" s="20" t="s">
        <v>3830</v>
      </c>
      <c r="CS43" s="20" t="s">
        <v>3831</v>
      </c>
      <c r="CT43" s="20" t="s">
        <v>3832</v>
      </c>
      <c r="CU43" s="20" t="s">
        <v>3833</v>
      </c>
      <c r="CV43" s="20" t="s">
        <v>3834</v>
      </c>
      <c r="CW43" s="20" t="s">
        <v>3835</v>
      </c>
      <c r="CX43" s="20" t="s">
        <v>3836</v>
      </c>
      <c r="CY43" s="20" t="s">
        <v>3837</v>
      </c>
      <c r="CZ43" s="20" t="s">
        <v>3838</v>
      </c>
      <c r="DA43" s="20" t="s">
        <v>3839</v>
      </c>
      <c r="DB43" s="20" t="s">
        <v>3840</v>
      </c>
      <c r="DC43" s="20" t="s">
        <v>3841</v>
      </c>
      <c r="DD43" s="20" t="s">
        <v>3842</v>
      </c>
      <c r="DE43" s="20" t="s">
        <v>3843</v>
      </c>
      <c r="DF43" s="20" t="s">
        <v>3844</v>
      </c>
      <c r="DG43" s="20" t="s">
        <v>3845</v>
      </c>
      <c r="DH43" s="20" t="s">
        <v>3846</v>
      </c>
      <c r="DI43" s="20" t="s">
        <v>3847</v>
      </c>
      <c r="DJ43" s="20" t="s">
        <v>3848</v>
      </c>
      <c r="DK43" s="20" t="s">
        <v>3849</v>
      </c>
      <c r="DL43" s="20" t="s">
        <v>3850</v>
      </c>
      <c r="DM43" s="20" t="s">
        <v>3851</v>
      </c>
      <c r="DN43" s="20" t="s">
        <v>3852</v>
      </c>
      <c r="DO43" s="20" t="s">
        <v>3853</v>
      </c>
      <c r="DP43" s="20" t="s">
        <v>3854</v>
      </c>
      <c r="DQ43" s="20" t="s">
        <v>3855</v>
      </c>
      <c r="DR43" s="20" t="s">
        <v>3856</v>
      </c>
      <c r="DS43" s="20" t="s">
        <v>3857</v>
      </c>
      <c r="DT43" s="20" t="s">
        <v>3858</v>
      </c>
      <c r="DU43" s="20" t="s">
        <v>3859</v>
      </c>
      <c r="DV43" s="20" t="s">
        <v>3860</v>
      </c>
      <c r="DW43" s="20" t="s">
        <v>3861</v>
      </c>
      <c r="DX43" s="20" t="s">
        <v>3862</v>
      </c>
      <c r="DY43" s="20" t="s">
        <v>3863</v>
      </c>
      <c r="DZ43" s="20" t="s">
        <v>3864</v>
      </c>
      <c r="EA43" s="20" t="s">
        <v>3865</v>
      </c>
      <c r="EB43" s="20">
        <v>0</v>
      </c>
      <c r="EC43" s="20">
        <v>0</v>
      </c>
      <c r="ED43" s="20" t="s">
        <v>3866</v>
      </c>
      <c r="EE43" s="20">
        <v>0</v>
      </c>
      <c r="EF43" s="20" t="s">
        <v>3867</v>
      </c>
      <c r="EG43" s="20">
        <v>0</v>
      </c>
      <c r="EH43" s="20">
        <v>0</v>
      </c>
      <c r="EI43" s="20">
        <v>0</v>
      </c>
      <c r="EJ43" s="20" t="s">
        <v>3868</v>
      </c>
      <c r="EK43" s="20" t="s">
        <v>3869</v>
      </c>
      <c r="EL43" s="20">
        <v>0</v>
      </c>
    </row>
    <row r="44" spans="1:142" s="20" customFormat="1" ht="11.25" x14ac:dyDescent="0.2">
      <c r="A44" s="557" t="str">
        <f>EBKB</f>
        <v>BKB / peat briquette plants</v>
      </c>
      <c r="B44" s="230" t="s">
        <v>1127</v>
      </c>
      <c r="C44" s="230" t="s">
        <v>1653</v>
      </c>
      <c r="D44" s="221">
        <f t="shared" si="63"/>
        <v>16</v>
      </c>
      <c r="E44" s="2169">
        <f t="shared" ca="1" si="64"/>
        <v>0</v>
      </c>
      <c r="F44" s="2169">
        <f t="shared" ca="1" si="64"/>
        <v>0</v>
      </c>
      <c r="G44" s="2169">
        <f t="shared" ca="1" si="64"/>
        <v>0</v>
      </c>
      <c r="H44" s="2169">
        <f t="shared" ca="1" si="64"/>
        <v>0</v>
      </c>
      <c r="I44" s="2169">
        <f t="shared" ca="1" si="64"/>
        <v>0</v>
      </c>
      <c r="J44" s="2169">
        <f t="shared" ca="1" si="64"/>
        <v>0</v>
      </c>
      <c r="K44" s="2169">
        <f t="shared" ca="1" si="64"/>
        <v>0</v>
      </c>
      <c r="L44" s="2169">
        <f t="shared" ca="1" si="64"/>
        <v>0</v>
      </c>
      <c r="M44" s="2169">
        <f t="shared" ca="1" si="64"/>
        <v>0</v>
      </c>
      <c r="N44" s="2169">
        <f t="shared" ca="1" si="64"/>
        <v>0</v>
      </c>
      <c r="O44" s="2169">
        <f t="shared" ca="1" si="65"/>
        <v>0</v>
      </c>
      <c r="P44" s="2169">
        <f t="shared" ca="1" si="65"/>
        <v>0</v>
      </c>
      <c r="Q44" s="2169">
        <f t="shared" ca="1" si="65"/>
        <v>0</v>
      </c>
      <c r="R44" s="2169">
        <f t="shared" ca="1" si="65"/>
        <v>0</v>
      </c>
      <c r="S44" s="2170">
        <v>0</v>
      </c>
      <c r="T44" s="2169">
        <f t="shared" ca="1" si="66"/>
        <v>0</v>
      </c>
      <c r="U44" s="2169">
        <f t="shared" ca="1" si="66"/>
        <v>0</v>
      </c>
      <c r="V44" s="2169">
        <f t="shared" ca="1" si="66"/>
        <v>0</v>
      </c>
      <c r="W44" s="2161">
        <f t="shared" ca="1" si="67"/>
        <v>0</v>
      </c>
      <c r="X44" s="2161">
        <f t="shared" ca="1" si="67"/>
        <v>0</v>
      </c>
      <c r="Y44" s="2161">
        <f t="shared" ca="1" si="67"/>
        <v>0</v>
      </c>
      <c r="Z44" s="2161">
        <f t="shared" ca="1" si="67"/>
        <v>0</v>
      </c>
      <c r="AA44" s="2161">
        <f t="shared" ca="1" si="67"/>
        <v>0</v>
      </c>
      <c r="AB44" s="2161">
        <f t="shared" ca="1" si="67"/>
        <v>0</v>
      </c>
      <c r="AC44" s="2161">
        <f t="shared" ca="1" si="67"/>
        <v>0</v>
      </c>
      <c r="AD44" s="2161">
        <f t="shared" ca="1" si="67"/>
        <v>0</v>
      </c>
      <c r="AE44" s="2161">
        <f t="shared" ca="1" si="67"/>
        <v>0</v>
      </c>
      <c r="AF44" s="2161">
        <f t="shared" ca="1" si="67"/>
        <v>0</v>
      </c>
      <c r="AG44" s="2161">
        <f t="shared" ca="1" si="68"/>
        <v>0</v>
      </c>
      <c r="AH44" s="2161">
        <f t="shared" ca="1" si="68"/>
        <v>0</v>
      </c>
      <c r="AI44" s="2161">
        <f t="shared" ca="1" si="68"/>
        <v>0</v>
      </c>
      <c r="AJ44" s="2161">
        <f t="shared" ca="1" si="68"/>
        <v>0</v>
      </c>
      <c r="AK44" s="2161">
        <f t="shared" ca="1" si="68"/>
        <v>0</v>
      </c>
      <c r="AL44" s="2161">
        <f t="shared" ca="1" si="68"/>
        <v>0</v>
      </c>
      <c r="AM44" s="2161">
        <f t="shared" ca="1" si="68"/>
        <v>0</v>
      </c>
      <c r="AN44" s="2161">
        <f t="shared" ca="1" si="68"/>
        <v>0</v>
      </c>
      <c r="AO44" s="2161">
        <f t="shared" ca="1" si="68"/>
        <v>0</v>
      </c>
      <c r="AP44" s="2161">
        <f t="shared" ca="1" si="68"/>
        <v>0</v>
      </c>
      <c r="AQ44" s="2161">
        <f t="shared" ca="1" si="68"/>
        <v>0</v>
      </c>
      <c r="AR44" s="2171">
        <f t="shared" ca="1" si="68"/>
        <v>0</v>
      </c>
      <c r="AS44" s="2172">
        <f t="shared" ca="1" si="69"/>
        <v>0</v>
      </c>
      <c r="AT44" s="2173">
        <f t="shared" si="70"/>
        <v>0</v>
      </c>
      <c r="AU44" s="2173">
        <f t="shared" si="70"/>
        <v>0</v>
      </c>
      <c r="AV44" s="2173">
        <f t="shared" si="70"/>
        <v>0</v>
      </c>
      <c r="AW44" s="2173">
        <f t="shared" si="70"/>
        <v>0</v>
      </c>
      <c r="AX44" s="2173">
        <f t="shared" si="70"/>
        <v>0</v>
      </c>
      <c r="AY44" s="2173">
        <f t="shared" ca="1" si="71"/>
        <v>0</v>
      </c>
      <c r="AZ44" s="2173">
        <f t="shared" ca="1" si="71"/>
        <v>0</v>
      </c>
      <c r="BA44" s="2173">
        <f t="shared" ca="1" si="71"/>
        <v>0</v>
      </c>
      <c r="BB44" s="2173">
        <f t="shared" ca="1" si="71"/>
        <v>0</v>
      </c>
      <c r="BC44" s="2173">
        <f t="shared" si="72"/>
        <v>0</v>
      </c>
      <c r="BD44" s="2174">
        <f t="shared" ca="1" si="73"/>
        <v>0</v>
      </c>
      <c r="BE44" s="2167">
        <v>0</v>
      </c>
      <c r="BF44" s="2167">
        <v>0</v>
      </c>
      <c r="BG44" s="2167">
        <f t="shared" si="74"/>
        <v>0</v>
      </c>
      <c r="BH44" s="2167">
        <v>0</v>
      </c>
      <c r="BI44" s="2167">
        <f t="shared" si="75"/>
        <v>0</v>
      </c>
      <c r="BJ44" s="2167">
        <v>0</v>
      </c>
      <c r="BK44" s="2167">
        <v>0</v>
      </c>
      <c r="BL44" s="2167">
        <v>0</v>
      </c>
      <c r="BM44" s="2167">
        <f t="shared" si="76"/>
        <v>0</v>
      </c>
      <c r="BN44" s="2167">
        <f t="shared" si="77"/>
        <v>0</v>
      </c>
      <c r="BO44" s="2170">
        <v>0</v>
      </c>
      <c r="BP44" s="2168">
        <f t="shared" ca="1" si="78"/>
        <v>0</v>
      </c>
      <c r="BQ44" s="648"/>
      <c r="CA44" s="555" t="s">
        <v>1127</v>
      </c>
      <c r="CB44" s="20" t="s">
        <v>3870</v>
      </c>
      <c r="CC44" s="20" t="s">
        <v>3871</v>
      </c>
      <c r="CD44" s="20" t="s">
        <v>3872</v>
      </c>
      <c r="CE44" s="20" t="s">
        <v>3873</v>
      </c>
      <c r="CF44" s="20" t="s">
        <v>3874</v>
      </c>
      <c r="CG44" s="20" t="s">
        <v>3875</v>
      </c>
      <c r="CH44" s="20" t="s">
        <v>3876</v>
      </c>
      <c r="CI44" s="20" t="s">
        <v>3877</v>
      </c>
      <c r="CJ44" s="20" t="s">
        <v>3878</v>
      </c>
      <c r="CK44" s="20" t="s">
        <v>3879</v>
      </c>
      <c r="CL44" s="20" t="s">
        <v>3880</v>
      </c>
      <c r="CM44" s="20" t="s">
        <v>3881</v>
      </c>
      <c r="CN44" s="20" t="s">
        <v>3882</v>
      </c>
      <c r="CO44" s="20" t="s">
        <v>3883</v>
      </c>
      <c r="CP44" s="20">
        <v>0</v>
      </c>
      <c r="CQ44" s="20" t="s">
        <v>3884</v>
      </c>
      <c r="CR44" s="20" t="s">
        <v>3885</v>
      </c>
      <c r="CS44" s="20" t="s">
        <v>3886</v>
      </c>
      <c r="CT44" s="20" t="s">
        <v>3887</v>
      </c>
      <c r="CU44" s="20" t="s">
        <v>3888</v>
      </c>
      <c r="CV44" s="20" t="s">
        <v>3889</v>
      </c>
      <c r="CW44" s="20" t="s">
        <v>3890</v>
      </c>
      <c r="CX44" s="20" t="s">
        <v>3891</v>
      </c>
      <c r="CY44" s="20" t="s">
        <v>3892</v>
      </c>
      <c r="CZ44" s="20" t="s">
        <v>3893</v>
      </c>
      <c r="DA44" s="20" t="s">
        <v>3894</v>
      </c>
      <c r="DB44" s="20" t="s">
        <v>3895</v>
      </c>
      <c r="DC44" s="20" t="s">
        <v>3896</v>
      </c>
      <c r="DD44" s="20" t="s">
        <v>3897</v>
      </c>
      <c r="DE44" s="20" t="s">
        <v>3898</v>
      </c>
      <c r="DF44" s="20" t="s">
        <v>3899</v>
      </c>
      <c r="DG44" s="20" t="s">
        <v>3900</v>
      </c>
      <c r="DH44" s="20" t="s">
        <v>3901</v>
      </c>
      <c r="DI44" s="20" t="s">
        <v>3902</v>
      </c>
      <c r="DJ44" s="20" t="s">
        <v>3903</v>
      </c>
      <c r="DK44" s="20" t="s">
        <v>3904</v>
      </c>
      <c r="DL44" s="20" t="s">
        <v>3905</v>
      </c>
      <c r="DM44" s="20" t="s">
        <v>3906</v>
      </c>
      <c r="DN44" s="20" t="s">
        <v>3907</v>
      </c>
      <c r="DO44" s="20" t="s">
        <v>3908</v>
      </c>
      <c r="DP44" s="20" t="s">
        <v>3909</v>
      </c>
      <c r="DQ44" s="20" t="s">
        <v>3910</v>
      </c>
      <c r="DR44" s="20" t="s">
        <v>3911</v>
      </c>
      <c r="DS44" s="20" t="s">
        <v>3912</v>
      </c>
      <c r="DT44" s="20" t="s">
        <v>3913</v>
      </c>
      <c r="DU44" s="20" t="s">
        <v>3914</v>
      </c>
      <c r="DV44" s="20" t="s">
        <v>3915</v>
      </c>
      <c r="DW44" s="20" t="s">
        <v>3916</v>
      </c>
      <c r="DX44" s="20" t="s">
        <v>3917</v>
      </c>
      <c r="DY44" s="20" t="s">
        <v>3918</v>
      </c>
      <c r="DZ44" s="20" t="s">
        <v>3919</v>
      </c>
      <c r="EA44" s="20" t="s">
        <v>3920</v>
      </c>
      <c r="EB44" s="20">
        <v>0</v>
      </c>
      <c r="EC44" s="20">
        <v>0</v>
      </c>
      <c r="ED44" s="20" t="s">
        <v>3921</v>
      </c>
      <c r="EE44" s="20">
        <v>0</v>
      </c>
      <c r="EF44" s="20" t="s">
        <v>3922</v>
      </c>
      <c r="EG44" s="20">
        <v>0</v>
      </c>
      <c r="EH44" s="20">
        <v>0</v>
      </c>
      <c r="EI44" s="20">
        <v>0</v>
      </c>
      <c r="EJ44" s="20" t="s">
        <v>3923</v>
      </c>
      <c r="EK44" s="20" t="s">
        <v>3924</v>
      </c>
      <c r="EL44" s="20">
        <v>0</v>
      </c>
    </row>
    <row r="45" spans="1:142" s="20" customFormat="1" ht="11.25" x14ac:dyDescent="0.2">
      <c r="A45" s="557" t="str">
        <f>EREFINER</f>
        <v>Oil refineries</v>
      </c>
      <c r="B45" s="230" t="s">
        <v>1132</v>
      </c>
      <c r="C45" s="230" t="s">
        <v>1653</v>
      </c>
      <c r="D45" s="221">
        <f t="shared" si="63"/>
        <v>16</v>
      </c>
      <c r="E45" s="2169">
        <f t="shared" ca="1" si="64"/>
        <v>0</v>
      </c>
      <c r="F45" s="2169">
        <f t="shared" ca="1" si="64"/>
        <v>0</v>
      </c>
      <c r="G45" s="2169">
        <f t="shared" ca="1" si="64"/>
        <v>0</v>
      </c>
      <c r="H45" s="2169">
        <f t="shared" ca="1" si="64"/>
        <v>0</v>
      </c>
      <c r="I45" s="2169">
        <f t="shared" ca="1" si="64"/>
        <v>0</v>
      </c>
      <c r="J45" s="2169">
        <f t="shared" ca="1" si="64"/>
        <v>0</v>
      </c>
      <c r="K45" s="2169">
        <f t="shared" ca="1" si="64"/>
        <v>0</v>
      </c>
      <c r="L45" s="2169">
        <f t="shared" ca="1" si="64"/>
        <v>0</v>
      </c>
      <c r="M45" s="2169">
        <f t="shared" ca="1" si="64"/>
        <v>0</v>
      </c>
      <c r="N45" s="2169">
        <f t="shared" ca="1" si="64"/>
        <v>0</v>
      </c>
      <c r="O45" s="2169">
        <f t="shared" ca="1" si="65"/>
        <v>0</v>
      </c>
      <c r="P45" s="2169">
        <f t="shared" ca="1" si="65"/>
        <v>0</v>
      </c>
      <c r="Q45" s="2169">
        <f t="shared" ca="1" si="65"/>
        <v>0</v>
      </c>
      <c r="R45" s="2169">
        <f t="shared" ca="1" si="65"/>
        <v>0</v>
      </c>
      <c r="S45" s="2170">
        <v>0</v>
      </c>
      <c r="T45" s="2169">
        <f t="shared" ca="1" si="66"/>
        <v>0</v>
      </c>
      <c r="U45" s="2169">
        <f t="shared" ca="1" si="66"/>
        <v>0</v>
      </c>
      <c r="V45" s="2169">
        <f t="shared" ca="1" si="66"/>
        <v>0</v>
      </c>
      <c r="W45" s="2161">
        <f t="shared" ca="1" si="67"/>
        <v>0</v>
      </c>
      <c r="X45" s="2161">
        <f t="shared" ca="1" si="67"/>
        <v>0</v>
      </c>
      <c r="Y45" s="2161">
        <f t="shared" ca="1" si="67"/>
        <v>0</v>
      </c>
      <c r="Z45" s="2161">
        <f t="shared" ca="1" si="67"/>
        <v>0</v>
      </c>
      <c r="AA45" s="2161">
        <f t="shared" ca="1" si="67"/>
        <v>0</v>
      </c>
      <c r="AB45" s="2161">
        <f t="shared" ca="1" si="67"/>
        <v>0</v>
      </c>
      <c r="AC45" s="2161">
        <f t="shared" ca="1" si="67"/>
        <v>0</v>
      </c>
      <c r="AD45" s="2161">
        <f t="shared" ca="1" si="67"/>
        <v>0</v>
      </c>
      <c r="AE45" s="2161">
        <f t="shared" ca="1" si="67"/>
        <v>0</v>
      </c>
      <c r="AF45" s="2161">
        <f t="shared" ca="1" si="67"/>
        <v>0</v>
      </c>
      <c r="AG45" s="2161">
        <f t="shared" ca="1" si="68"/>
        <v>0</v>
      </c>
      <c r="AH45" s="2161">
        <f t="shared" ca="1" si="68"/>
        <v>0</v>
      </c>
      <c r="AI45" s="2161">
        <f t="shared" ca="1" si="68"/>
        <v>0</v>
      </c>
      <c r="AJ45" s="2161">
        <f t="shared" ca="1" si="68"/>
        <v>0</v>
      </c>
      <c r="AK45" s="2161">
        <f t="shared" ca="1" si="68"/>
        <v>0</v>
      </c>
      <c r="AL45" s="2161">
        <f t="shared" ca="1" si="68"/>
        <v>0</v>
      </c>
      <c r="AM45" s="2161">
        <f t="shared" ca="1" si="68"/>
        <v>0</v>
      </c>
      <c r="AN45" s="2161">
        <f t="shared" ca="1" si="68"/>
        <v>0</v>
      </c>
      <c r="AO45" s="2161">
        <f t="shared" ca="1" si="68"/>
        <v>0</v>
      </c>
      <c r="AP45" s="2161">
        <f t="shared" ca="1" si="68"/>
        <v>0</v>
      </c>
      <c r="AQ45" s="2161">
        <f t="shared" ca="1" si="68"/>
        <v>0</v>
      </c>
      <c r="AR45" s="2171">
        <f t="shared" ca="1" si="68"/>
        <v>0</v>
      </c>
      <c r="AS45" s="2172">
        <f t="shared" ca="1" si="69"/>
        <v>0</v>
      </c>
      <c r="AT45" s="2173">
        <f t="shared" si="70"/>
        <v>0</v>
      </c>
      <c r="AU45" s="2173">
        <f t="shared" si="70"/>
        <v>0</v>
      </c>
      <c r="AV45" s="2173">
        <f t="shared" si="70"/>
        <v>0</v>
      </c>
      <c r="AW45" s="2173">
        <f t="shared" si="70"/>
        <v>0</v>
      </c>
      <c r="AX45" s="2173">
        <f t="shared" si="70"/>
        <v>0</v>
      </c>
      <c r="AY45" s="2173">
        <f t="shared" ca="1" si="71"/>
        <v>0</v>
      </c>
      <c r="AZ45" s="2173">
        <f t="shared" ca="1" si="71"/>
        <v>0</v>
      </c>
      <c r="BA45" s="2173">
        <f t="shared" ca="1" si="71"/>
        <v>0</v>
      </c>
      <c r="BB45" s="2173">
        <f t="shared" ca="1" si="71"/>
        <v>0</v>
      </c>
      <c r="BC45" s="2173">
        <f t="shared" si="72"/>
        <v>0</v>
      </c>
      <c r="BD45" s="2174">
        <f t="shared" ca="1" si="73"/>
        <v>0</v>
      </c>
      <c r="BE45" s="2167">
        <v>0</v>
      </c>
      <c r="BF45" s="2167">
        <v>0</v>
      </c>
      <c r="BG45" s="2167">
        <f t="shared" si="74"/>
        <v>0</v>
      </c>
      <c r="BH45" s="2167">
        <v>0</v>
      </c>
      <c r="BI45" s="2167">
        <f t="shared" si="75"/>
        <v>0</v>
      </c>
      <c r="BJ45" s="2167">
        <v>0</v>
      </c>
      <c r="BK45" s="2167">
        <v>0</v>
      </c>
      <c r="BL45" s="2167">
        <v>0</v>
      </c>
      <c r="BM45" s="2167">
        <f t="shared" si="76"/>
        <v>-44655.408000000003</v>
      </c>
      <c r="BN45" s="2167">
        <f t="shared" si="77"/>
        <v>0</v>
      </c>
      <c r="BO45" s="2170">
        <v>0</v>
      </c>
      <c r="BP45" s="2168">
        <f t="shared" ca="1" si="78"/>
        <v>-44655.408000000003</v>
      </c>
      <c r="BQ45" s="648"/>
      <c r="CA45" s="555" t="s">
        <v>1132</v>
      </c>
      <c r="CB45" s="20" t="s">
        <v>3925</v>
      </c>
      <c r="CC45" s="20" t="s">
        <v>3926</v>
      </c>
      <c r="CD45" s="20" t="s">
        <v>3927</v>
      </c>
      <c r="CE45" s="20" t="s">
        <v>3928</v>
      </c>
      <c r="CF45" s="20" t="s">
        <v>3929</v>
      </c>
      <c r="CG45" s="20" t="s">
        <v>3930</v>
      </c>
      <c r="CH45" s="20" t="s">
        <v>3931</v>
      </c>
      <c r="CI45" s="20" t="s">
        <v>3932</v>
      </c>
      <c r="CJ45" s="20" t="s">
        <v>3933</v>
      </c>
      <c r="CK45" s="20" t="s">
        <v>3934</v>
      </c>
      <c r="CL45" s="20" t="s">
        <v>3935</v>
      </c>
      <c r="CM45" s="20" t="s">
        <v>3936</v>
      </c>
      <c r="CN45" s="20" t="s">
        <v>3937</v>
      </c>
      <c r="CO45" s="20" t="s">
        <v>3938</v>
      </c>
      <c r="CP45" s="20">
        <v>0</v>
      </c>
      <c r="CQ45" s="20" t="s">
        <v>3939</v>
      </c>
      <c r="CR45" s="20" t="s">
        <v>3940</v>
      </c>
      <c r="CS45" s="20" t="s">
        <v>3941</v>
      </c>
      <c r="CT45" s="20" t="s">
        <v>3942</v>
      </c>
      <c r="CU45" s="20" t="s">
        <v>3943</v>
      </c>
      <c r="CV45" s="20" t="s">
        <v>3944</v>
      </c>
      <c r="CW45" s="20" t="s">
        <v>3945</v>
      </c>
      <c r="CX45" s="20" t="s">
        <v>3946</v>
      </c>
      <c r="CY45" s="20" t="s">
        <v>3947</v>
      </c>
      <c r="CZ45" s="20" t="s">
        <v>3948</v>
      </c>
      <c r="DA45" s="20" t="s">
        <v>3949</v>
      </c>
      <c r="DB45" s="20" t="s">
        <v>3950</v>
      </c>
      <c r="DC45" s="20" t="s">
        <v>3951</v>
      </c>
      <c r="DD45" s="20" t="s">
        <v>3952</v>
      </c>
      <c r="DE45" s="20" t="s">
        <v>3953</v>
      </c>
      <c r="DF45" s="20" t="s">
        <v>3954</v>
      </c>
      <c r="DG45" s="20" t="s">
        <v>3955</v>
      </c>
      <c r="DH45" s="20" t="s">
        <v>3956</v>
      </c>
      <c r="DI45" s="20" t="s">
        <v>3957</v>
      </c>
      <c r="DJ45" s="20" t="s">
        <v>3958</v>
      </c>
      <c r="DK45" s="20" t="s">
        <v>3959</v>
      </c>
      <c r="DL45" s="20" t="s">
        <v>3960</v>
      </c>
      <c r="DM45" s="20" t="s">
        <v>3961</v>
      </c>
      <c r="DN45" s="20" t="s">
        <v>3962</v>
      </c>
      <c r="DO45" s="20" t="s">
        <v>3963</v>
      </c>
      <c r="DP45" s="20" t="s">
        <v>3964</v>
      </c>
      <c r="DQ45" s="20" t="s">
        <v>3965</v>
      </c>
      <c r="DR45" s="20" t="s">
        <v>3966</v>
      </c>
      <c r="DS45" s="20" t="s">
        <v>3967</v>
      </c>
      <c r="DT45" s="20" t="s">
        <v>3968</v>
      </c>
      <c r="DU45" s="20" t="s">
        <v>3969</v>
      </c>
      <c r="DV45" s="20" t="s">
        <v>3970</v>
      </c>
      <c r="DW45" s="20" t="s">
        <v>3971</v>
      </c>
      <c r="DX45" s="20" t="s">
        <v>3972</v>
      </c>
      <c r="DY45" s="20" t="s">
        <v>3973</v>
      </c>
      <c r="DZ45" s="20" t="s">
        <v>3974</v>
      </c>
      <c r="EA45" s="20" t="s">
        <v>3975</v>
      </c>
      <c r="EB45" s="20">
        <v>0</v>
      </c>
      <c r="EC45" s="20">
        <v>0</v>
      </c>
      <c r="ED45" s="20" t="s">
        <v>3976</v>
      </c>
      <c r="EE45" s="20">
        <v>0</v>
      </c>
      <c r="EF45" s="20" t="s">
        <v>3977</v>
      </c>
      <c r="EG45" s="20">
        <v>0</v>
      </c>
      <c r="EH45" s="20">
        <v>0</v>
      </c>
      <c r="EI45" s="20">
        <v>0</v>
      </c>
      <c r="EJ45" s="20" t="s">
        <v>3978</v>
      </c>
      <c r="EK45" s="20" t="s">
        <v>3979</v>
      </c>
      <c r="EL45" s="20">
        <v>0</v>
      </c>
    </row>
    <row r="46" spans="1:142" s="20" customFormat="1" ht="11.25" x14ac:dyDescent="0.2">
      <c r="A46" s="557" t="str">
        <f>ECOALLIQ</f>
        <v>Coal liquefaction plants</v>
      </c>
      <c r="B46" s="230" t="s">
        <v>1137</v>
      </c>
      <c r="C46" s="230" t="s">
        <v>1653</v>
      </c>
      <c r="D46" s="221">
        <f t="shared" si="63"/>
        <v>16</v>
      </c>
      <c r="E46" s="2169">
        <f t="shared" ref="E46:F54" ca="1" si="79">-VLOOKUP($B46,RawData,E$4,FALSE)*VLOOKUP(E$3,ConversionFactors,$D46,FALSE)/1000</f>
        <v>0</v>
      </c>
      <c r="F46" s="2169">
        <f t="shared" ca="1" si="79"/>
        <v>0</v>
      </c>
      <c r="G46" s="2246">
        <f>-VLOOKUP($B46,RawData,G$4,FALSE)*0.4968</f>
        <v>-6301.1628000000001</v>
      </c>
      <c r="H46" s="2169">
        <f t="shared" ref="H46:N54" ca="1" si="80">-VLOOKUP($B46,RawData,H$4,FALSE)*VLOOKUP(H$3,ConversionFactors,$D46,FALSE)/1000</f>
        <v>0</v>
      </c>
      <c r="I46" s="2169">
        <f t="shared" ca="1" si="80"/>
        <v>0</v>
      </c>
      <c r="J46" s="2169">
        <f t="shared" ca="1" si="80"/>
        <v>0</v>
      </c>
      <c r="K46" s="2169">
        <f t="shared" ca="1" si="80"/>
        <v>0</v>
      </c>
      <c r="L46" s="2169">
        <f t="shared" ca="1" si="80"/>
        <v>0</v>
      </c>
      <c r="M46" s="2169">
        <f t="shared" ca="1" si="80"/>
        <v>0</v>
      </c>
      <c r="N46" s="2169">
        <f t="shared" ca="1" si="80"/>
        <v>0</v>
      </c>
      <c r="O46" s="2169">
        <f t="shared" ca="1" si="65"/>
        <v>0</v>
      </c>
      <c r="P46" s="2169">
        <f t="shared" ca="1" si="65"/>
        <v>0</v>
      </c>
      <c r="Q46" s="2169">
        <f t="shared" ca="1" si="65"/>
        <v>0</v>
      </c>
      <c r="R46" s="2169">
        <f t="shared" ca="1" si="65"/>
        <v>0</v>
      </c>
      <c r="S46" s="2170">
        <v>0</v>
      </c>
      <c r="T46" s="2169">
        <f t="shared" ca="1" si="66"/>
        <v>0</v>
      </c>
      <c r="U46" s="2169">
        <f t="shared" ca="1" si="66"/>
        <v>0</v>
      </c>
      <c r="V46" s="2169">
        <f t="shared" ca="1" si="66"/>
        <v>0</v>
      </c>
      <c r="W46" s="2161">
        <f t="shared" ca="1" si="67"/>
        <v>0</v>
      </c>
      <c r="X46" s="2161">
        <f t="shared" ca="1" si="67"/>
        <v>0</v>
      </c>
      <c r="Y46" s="2161">
        <f t="shared" ca="1" si="67"/>
        <v>0</v>
      </c>
      <c r="Z46" s="2161">
        <f t="shared" ca="1" si="67"/>
        <v>0</v>
      </c>
      <c r="AA46" s="2161">
        <f t="shared" ca="1" si="67"/>
        <v>0</v>
      </c>
      <c r="AB46" s="2161">
        <f t="shared" ca="1" si="67"/>
        <v>0</v>
      </c>
      <c r="AC46" s="2161">
        <f t="shared" ca="1" si="67"/>
        <v>0</v>
      </c>
      <c r="AD46" s="2161">
        <f t="shared" ca="1" si="67"/>
        <v>0</v>
      </c>
      <c r="AE46" s="2161">
        <f t="shared" ca="1" si="67"/>
        <v>0</v>
      </c>
      <c r="AF46" s="2161">
        <f t="shared" ca="1" si="67"/>
        <v>0</v>
      </c>
      <c r="AG46" s="2161">
        <f t="shared" ca="1" si="68"/>
        <v>0</v>
      </c>
      <c r="AH46" s="2161">
        <f t="shared" ca="1" si="68"/>
        <v>0</v>
      </c>
      <c r="AI46" s="2161">
        <f t="shared" ca="1" si="68"/>
        <v>0</v>
      </c>
      <c r="AJ46" s="2161">
        <f t="shared" ca="1" si="68"/>
        <v>0</v>
      </c>
      <c r="AK46" s="2161">
        <f t="shared" ca="1" si="68"/>
        <v>0</v>
      </c>
      <c r="AL46" s="2161">
        <f t="shared" ca="1" si="68"/>
        <v>0</v>
      </c>
      <c r="AM46" s="2161">
        <f t="shared" ca="1" si="68"/>
        <v>0</v>
      </c>
      <c r="AN46" s="2161">
        <f t="shared" ca="1" si="68"/>
        <v>0</v>
      </c>
      <c r="AO46" s="2161">
        <f t="shared" ca="1" si="68"/>
        <v>0</v>
      </c>
      <c r="AP46" s="2161">
        <f t="shared" ca="1" si="68"/>
        <v>0</v>
      </c>
      <c r="AQ46" s="2161">
        <f t="shared" ca="1" si="68"/>
        <v>0</v>
      </c>
      <c r="AR46" s="2171">
        <f t="shared" ca="1" si="68"/>
        <v>0</v>
      </c>
      <c r="AS46" s="2172">
        <f t="shared" ca="1" si="69"/>
        <v>0</v>
      </c>
      <c r="AT46" s="2173">
        <f t="shared" si="70"/>
        <v>0</v>
      </c>
      <c r="AU46" s="2173">
        <f>-VLOOKUP($B46,RawData,AU$4,FALSE)*1</f>
        <v>0</v>
      </c>
      <c r="AV46" s="2173">
        <f t="shared" si="70"/>
        <v>0</v>
      </c>
      <c r="AW46" s="2173">
        <f t="shared" si="70"/>
        <v>0</v>
      </c>
      <c r="AX46" s="2173">
        <f t="shared" si="70"/>
        <v>0</v>
      </c>
      <c r="AY46" s="2173">
        <f t="shared" ca="1" si="71"/>
        <v>0</v>
      </c>
      <c r="AZ46" s="2173">
        <f t="shared" ca="1" si="71"/>
        <v>0</v>
      </c>
      <c r="BA46" s="2173">
        <f t="shared" ca="1" si="71"/>
        <v>0</v>
      </c>
      <c r="BB46" s="2173">
        <f t="shared" ca="1" si="71"/>
        <v>0</v>
      </c>
      <c r="BC46" s="2173">
        <f t="shared" si="72"/>
        <v>0</v>
      </c>
      <c r="BD46" s="2174">
        <f t="shared" ca="1" si="73"/>
        <v>0</v>
      </c>
      <c r="BE46" s="2167">
        <v>0</v>
      </c>
      <c r="BF46" s="2167">
        <v>0</v>
      </c>
      <c r="BG46" s="2167">
        <f t="shared" si="74"/>
        <v>0</v>
      </c>
      <c r="BH46" s="2167">
        <v>0</v>
      </c>
      <c r="BI46" s="2167">
        <f t="shared" si="75"/>
        <v>0</v>
      </c>
      <c r="BJ46" s="2167">
        <v>0</v>
      </c>
      <c r="BK46" s="2167">
        <v>0</v>
      </c>
      <c r="BL46" s="2167">
        <v>0</v>
      </c>
      <c r="BM46" s="2167">
        <f t="shared" si="76"/>
        <v>0</v>
      </c>
      <c r="BN46" s="2167">
        <f t="shared" si="77"/>
        <v>0</v>
      </c>
      <c r="BO46" s="2170">
        <v>0</v>
      </c>
      <c r="BP46" s="2168">
        <f t="shared" ca="1" si="78"/>
        <v>-6301.1628000000001</v>
      </c>
      <c r="BQ46" s="648"/>
      <c r="CA46" s="555" t="s">
        <v>1137</v>
      </c>
      <c r="CB46" s="20" t="s">
        <v>3980</v>
      </c>
      <c r="CC46" s="20" t="s">
        <v>3981</v>
      </c>
      <c r="CD46" s="20" t="s">
        <v>3982</v>
      </c>
      <c r="CE46" s="20" t="s">
        <v>3983</v>
      </c>
      <c r="CF46" s="20" t="s">
        <v>3984</v>
      </c>
      <c r="CG46" s="20" t="s">
        <v>3985</v>
      </c>
      <c r="CH46" s="20" t="s">
        <v>3986</v>
      </c>
      <c r="CI46" s="20" t="s">
        <v>3987</v>
      </c>
      <c r="CJ46" s="20" t="s">
        <v>3988</v>
      </c>
      <c r="CK46" s="20" t="s">
        <v>3989</v>
      </c>
      <c r="CL46" s="20" t="s">
        <v>3990</v>
      </c>
      <c r="CM46" s="20" t="s">
        <v>3991</v>
      </c>
      <c r="CN46" s="20" t="s">
        <v>3992</v>
      </c>
      <c r="CO46" s="20" t="s">
        <v>3993</v>
      </c>
      <c r="CP46" s="20">
        <v>0</v>
      </c>
      <c r="CQ46" s="20" t="s">
        <v>3994</v>
      </c>
      <c r="CR46" s="20" t="s">
        <v>3995</v>
      </c>
      <c r="CS46" s="20" t="s">
        <v>3996</v>
      </c>
      <c r="CT46" s="20" t="s">
        <v>3997</v>
      </c>
      <c r="CU46" s="20" t="s">
        <v>3998</v>
      </c>
      <c r="CV46" s="20" t="s">
        <v>3999</v>
      </c>
      <c r="CW46" s="20" t="s">
        <v>4000</v>
      </c>
      <c r="CX46" s="20" t="s">
        <v>4001</v>
      </c>
      <c r="CY46" s="20" t="s">
        <v>4002</v>
      </c>
      <c r="CZ46" s="20" t="s">
        <v>4003</v>
      </c>
      <c r="DA46" s="20" t="s">
        <v>4004</v>
      </c>
      <c r="DB46" s="20" t="s">
        <v>4005</v>
      </c>
      <c r="DC46" s="20" t="s">
        <v>4006</v>
      </c>
      <c r="DD46" s="20" t="s">
        <v>4007</v>
      </c>
      <c r="DE46" s="20" t="s">
        <v>4008</v>
      </c>
      <c r="DF46" s="20" t="s">
        <v>4009</v>
      </c>
      <c r="DG46" s="20" t="s">
        <v>4010</v>
      </c>
      <c r="DH46" s="20" t="s">
        <v>4011</v>
      </c>
      <c r="DI46" s="20" t="s">
        <v>4012</v>
      </c>
      <c r="DJ46" s="20" t="s">
        <v>4013</v>
      </c>
      <c r="DK46" s="20" t="s">
        <v>4014</v>
      </c>
      <c r="DL46" s="20" t="s">
        <v>4015</v>
      </c>
      <c r="DM46" s="20" t="s">
        <v>4016</v>
      </c>
      <c r="DN46" s="20" t="s">
        <v>4017</v>
      </c>
      <c r="DO46" s="20" t="s">
        <v>4018</v>
      </c>
      <c r="DP46" s="20" t="s">
        <v>4019</v>
      </c>
      <c r="DQ46" s="20" t="s">
        <v>4020</v>
      </c>
      <c r="DR46" s="20" t="s">
        <v>4021</v>
      </c>
      <c r="DS46" s="20" t="s">
        <v>4022</v>
      </c>
      <c r="DT46" s="20" t="s">
        <v>4023</v>
      </c>
      <c r="DU46" s="20" t="s">
        <v>4024</v>
      </c>
      <c r="DV46" s="20" t="s">
        <v>4025</v>
      </c>
      <c r="DW46" s="20" t="s">
        <v>4026</v>
      </c>
      <c r="DX46" s="20" t="s">
        <v>4027</v>
      </c>
      <c r="DY46" s="20" t="s">
        <v>4028</v>
      </c>
      <c r="DZ46" s="20" t="s">
        <v>4029</v>
      </c>
      <c r="EA46" s="20" t="s">
        <v>4030</v>
      </c>
      <c r="EB46" s="20">
        <v>0</v>
      </c>
      <c r="EC46" s="20">
        <v>0</v>
      </c>
      <c r="ED46" s="20" t="s">
        <v>4031</v>
      </c>
      <c r="EE46" s="20">
        <v>0</v>
      </c>
      <c r="EF46" s="20" t="s">
        <v>4032</v>
      </c>
      <c r="EG46" s="20">
        <v>0</v>
      </c>
      <c r="EH46" s="20">
        <v>0</v>
      </c>
      <c r="EI46" s="20">
        <v>0</v>
      </c>
      <c r="EJ46" s="20" t="s">
        <v>4033</v>
      </c>
      <c r="EK46" s="20" t="s">
        <v>4034</v>
      </c>
      <c r="EL46" s="20">
        <v>0</v>
      </c>
    </row>
    <row r="47" spans="1:142" s="20" customFormat="1" ht="11.25" x14ac:dyDescent="0.2">
      <c r="A47" s="557" t="str">
        <f>ELNG</f>
        <v>Liquefaction (LNG) / regasification plants</v>
      </c>
      <c r="B47" s="230" t="s">
        <v>1143</v>
      </c>
      <c r="C47" s="230" t="s">
        <v>1653</v>
      </c>
      <c r="D47" s="221">
        <f t="shared" si="63"/>
        <v>16</v>
      </c>
      <c r="E47" s="2169">
        <f t="shared" ca="1" si="79"/>
        <v>0</v>
      </c>
      <c r="F47" s="2169">
        <f t="shared" ca="1" si="79"/>
        <v>0</v>
      </c>
      <c r="G47" s="2169">
        <f t="shared" ref="G47:G54" ca="1" si="81">-VLOOKUP($B47,RawData,G$4,FALSE)*VLOOKUP(G$3,ConversionFactors,$D47,FALSE)/1000</f>
        <v>0</v>
      </c>
      <c r="H47" s="2169">
        <f t="shared" ca="1" si="80"/>
        <v>0</v>
      </c>
      <c r="I47" s="2169">
        <f t="shared" ca="1" si="80"/>
        <v>0</v>
      </c>
      <c r="J47" s="2169">
        <f t="shared" ca="1" si="80"/>
        <v>0</v>
      </c>
      <c r="K47" s="2169">
        <f t="shared" ca="1" si="80"/>
        <v>0</v>
      </c>
      <c r="L47" s="2169">
        <f t="shared" ca="1" si="80"/>
        <v>0</v>
      </c>
      <c r="M47" s="2169">
        <f t="shared" ca="1" si="80"/>
        <v>0</v>
      </c>
      <c r="N47" s="2169">
        <f t="shared" ca="1" si="80"/>
        <v>0</v>
      </c>
      <c r="O47" s="2169">
        <f t="shared" ca="1" si="65"/>
        <v>0</v>
      </c>
      <c r="P47" s="2169">
        <f t="shared" ca="1" si="65"/>
        <v>0</v>
      </c>
      <c r="Q47" s="2169">
        <f t="shared" ca="1" si="65"/>
        <v>0</v>
      </c>
      <c r="R47" s="2169">
        <f t="shared" ca="1" si="65"/>
        <v>0</v>
      </c>
      <c r="S47" s="2170">
        <v>0</v>
      </c>
      <c r="T47" s="2169">
        <f t="shared" ca="1" si="66"/>
        <v>0</v>
      </c>
      <c r="U47" s="2169">
        <f t="shared" ca="1" si="66"/>
        <v>0</v>
      </c>
      <c r="V47" s="2169">
        <f t="shared" ca="1" si="66"/>
        <v>0</v>
      </c>
      <c r="W47" s="2161">
        <f t="shared" ref="W47:AF54" ca="1" si="82">-VLOOKUP($B47,RawData,W$4,FALSE)*VLOOKUP(W$3,ConversionFactors,2,FALSE)/1000</f>
        <v>0</v>
      </c>
      <c r="X47" s="2161">
        <f t="shared" ca="1" si="82"/>
        <v>0</v>
      </c>
      <c r="Y47" s="2161">
        <f t="shared" ca="1" si="82"/>
        <v>0</v>
      </c>
      <c r="Z47" s="2161">
        <f t="shared" ca="1" si="82"/>
        <v>0</v>
      </c>
      <c r="AA47" s="2161">
        <f t="shared" ca="1" si="82"/>
        <v>0</v>
      </c>
      <c r="AB47" s="2161">
        <f t="shared" ca="1" si="82"/>
        <v>0</v>
      </c>
      <c r="AC47" s="2161">
        <f t="shared" ca="1" si="82"/>
        <v>0</v>
      </c>
      <c r="AD47" s="2161">
        <f t="shared" ca="1" si="82"/>
        <v>0</v>
      </c>
      <c r="AE47" s="2161">
        <f t="shared" ca="1" si="82"/>
        <v>0</v>
      </c>
      <c r="AF47" s="2161">
        <f t="shared" ca="1" si="82"/>
        <v>0</v>
      </c>
      <c r="AG47" s="2161">
        <f t="shared" ref="AG47:AR54" ca="1" si="83">-VLOOKUP($B47,RawData,AG$4,FALSE)*VLOOKUP(AG$3,ConversionFactors,2,FALSE)/1000</f>
        <v>0</v>
      </c>
      <c r="AH47" s="2161">
        <f t="shared" ca="1" si="83"/>
        <v>0</v>
      </c>
      <c r="AI47" s="2161">
        <f t="shared" ca="1" si="83"/>
        <v>0</v>
      </c>
      <c r="AJ47" s="2161">
        <f t="shared" ca="1" si="83"/>
        <v>0</v>
      </c>
      <c r="AK47" s="2161">
        <f t="shared" ca="1" si="83"/>
        <v>0</v>
      </c>
      <c r="AL47" s="2161">
        <f t="shared" ca="1" si="83"/>
        <v>0</v>
      </c>
      <c r="AM47" s="2161">
        <f t="shared" ca="1" si="83"/>
        <v>0</v>
      </c>
      <c r="AN47" s="2161">
        <f t="shared" ca="1" si="83"/>
        <v>0</v>
      </c>
      <c r="AO47" s="2161">
        <f t="shared" ca="1" si="83"/>
        <v>0</v>
      </c>
      <c r="AP47" s="2161">
        <f t="shared" ca="1" si="83"/>
        <v>0</v>
      </c>
      <c r="AQ47" s="2161">
        <f t="shared" ca="1" si="83"/>
        <v>0</v>
      </c>
      <c r="AR47" s="2171">
        <f t="shared" ca="1" si="83"/>
        <v>0</v>
      </c>
      <c r="AS47" s="2172">
        <f t="shared" ca="1" si="69"/>
        <v>0</v>
      </c>
      <c r="AT47" s="2173">
        <f t="shared" ref="AT47:AX54" si="84">-VLOOKUP($B47,RawData,AT$4,FALSE)*1</f>
        <v>0</v>
      </c>
      <c r="AU47" s="2173">
        <f t="shared" si="84"/>
        <v>0</v>
      </c>
      <c r="AV47" s="2173">
        <f t="shared" si="84"/>
        <v>0</v>
      </c>
      <c r="AW47" s="2173">
        <f t="shared" si="84"/>
        <v>0</v>
      </c>
      <c r="AX47" s="2173">
        <f t="shared" si="84"/>
        <v>0</v>
      </c>
      <c r="AY47" s="2173">
        <f t="shared" ca="1" si="71"/>
        <v>0</v>
      </c>
      <c r="AZ47" s="2173">
        <f t="shared" ca="1" si="71"/>
        <v>0</v>
      </c>
      <c r="BA47" s="2173">
        <f t="shared" ca="1" si="71"/>
        <v>0</v>
      </c>
      <c r="BB47" s="2173">
        <f t="shared" ca="1" si="71"/>
        <v>0</v>
      </c>
      <c r="BC47" s="2173">
        <f t="shared" si="72"/>
        <v>0</v>
      </c>
      <c r="BD47" s="2174">
        <f t="shared" ca="1" si="73"/>
        <v>0</v>
      </c>
      <c r="BE47" s="2167">
        <v>0</v>
      </c>
      <c r="BF47" s="2167">
        <v>0</v>
      </c>
      <c r="BG47" s="2167">
        <f t="shared" si="74"/>
        <v>0</v>
      </c>
      <c r="BH47" s="2167">
        <v>0</v>
      </c>
      <c r="BI47" s="2167">
        <f t="shared" si="75"/>
        <v>0</v>
      </c>
      <c r="BJ47" s="2167">
        <v>0</v>
      </c>
      <c r="BK47" s="2167">
        <v>0</v>
      </c>
      <c r="BL47" s="2167">
        <v>0</v>
      </c>
      <c r="BM47" s="2167">
        <f t="shared" si="76"/>
        <v>0</v>
      </c>
      <c r="BN47" s="2167">
        <f t="shared" si="77"/>
        <v>0</v>
      </c>
      <c r="BO47" s="2170">
        <v>0</v>
      </c>
      <c r="BP47" s="2168">
        <f t="shared" ca="1" si="78"/>
        <v>0</v>
      </c>
      <c r="BQ47" s="648"/>
      <c r="CA47" s="555" t="s">
        <v>1143</v>
      </c>
      <c r="CB47" s="20" t="s">
        <v>4035</v>
      </c>
      <c r="CC47" s="20" t="s">
        <v>4036</v>
      </c>
      <c r="CD47" s="20" t="s">
        <v>4037</v>
      </c>
      <c r="CE47" s="20" t="s">
        <v>4038</v>
      </c>
      <c r="CF47" s="20" t="s">
        <v>4039</v>
      </c>
      <c r="CG47" s="20" t="s">
        <v>4040</v>
      </c>
      <c r="CH47" s="20" t="s">
        <v>4041</v>
      </c>
      <c r="CI47" s="20" t="s">
        <v>4042</v>
      </c>
      <c r="CJ47" s="20" t="s">
        <v>4043</v>
      </c>
      <c r="CK47" s="20" t="s">
        <v>4044</v>
      </c>
      <c r="CL47" s="20" t="s">
        <v>4045</v>
      </c>
      <c r="CM47" s="20" t="s">
        <v>4046</v>
      </c>
      <c r="CN47" s="20" t="s">
        <v>4047</v>
      </c>
      <c r="CO47" s="20" t="s">
        <v>4048</v>
      </c>
      <c r="CP47" s="20">
        <v>0</v>
      </c>
      <c r="CQ47" s="20" t="s">
        <v>4049</v>
      </c>
      <c r="CR47" s="20" t="s">
        <v>4050</v>
      </c>
      <c r="CS47" s="20" t="s">
        <v>4051</v>
      </c>
      <c r="CT47" s="20" t="s">
        <v>4052</v>
      </c>
      <c r="CU47" s="20" t="s">
        <v>4053</v>
      </c>
      <c r="CV47" s="20" t="s">
        <v>4054</v>
      </c>
      <c r="CW47" s="20" t="s">
        <v>4055</v>
      </c>
      <c r="CX47" s="20" t="s">
        <v>4056</v>
      </c>
      <c r="CY47" s="20" t="s">
        <v>4057</v>
      </c>
      <c r="CZ47" s="20" t="s">
        <v>4058</v>
      </c>
      <c r="DA47" s="20" t="s">
        <v>4059</v>
      </c>
      <c r="DB47" s="20" t="s">
        <v>4060</v>
      </c>
      <c r="DC47" s="20" t="s">
        <v>4061</v>
      </c>
      <c r="DD47" s="20" t="s">
        <v>4062</v>
      </c>
      <c r="DE47" s="20" t="s">
        <v>4063</v>
      </c>
      <c r="DF47" s="20" t="s">
        <v>4064</v>
      </c>
      <c r="DG47" s="20" t="s">
        <v>4065</v>
      </c>
      <c r="DH47" s="20" t="s">
        <v>4066</v>
      </c>
      <c r="DI47" s="20" t="s">
        <v>4067</v>
      </c>
      <c r="DJ47" s="20" t="s">
        <v>4068</v>
      </c>
      <c r="DK47" s="20" t="s">
        <v>4069</v>
      </c>
      <c r="DL47" s="20" t="s">
        <v>4070</v>
      </c>
      <c r="DM47" s="20" t="s">
        <v>4071</v>
      </c>
      <c r="DN47" s="20" t="s">
        <v>4072</v>
      </c>
      <c r="DO47" s="20" t="s">
        <v>4073</v>
      </c>
      <c r="DP47" s="20" t="s">
        <v>4074</v>
      </c>
      <c r="DQ47" s="20" t="s">
        <v>4075</v>
      </c>
      <c r="DR47" s="20" t="s">
        <v>4076</v>
      </c>
      <c r="DS47" s="20" t="s">
        <v>4077</v>
      </c>
      <c r="DT47" s="20" t="s">
        <v>4078</v>
      </c>
      <c r="DU47" s="20" t="s">
        <v>4079</v>
      </c>
      <c r="DV47" s="20" t="s">
        <v>4080</v>
      </c>
      <c r="DW47" s="20" t="s">
        <v>4081</v>
      </c>
      <c r="DX47" s="20" t="s">
        <v>4082</v>
      </c>
      <c r="DY47" s="20" t="s">
        <v>4083</v>
      </c>
      <c r="DZ47" s="20" t="s">
        <v>4084</v>
      </c>
      <c r="EA47" s="20" t="s">
        <v>4085</v>
      </c>
      <c r="EB47" s="20">
        <v>0</v>
      </c>
      <c r="EC47" s="20">
        <v>0</v>
      </c>
      <c r="ED47" s="20" t="s">
        <v>4086</v>
      </c>
      <c r="EE47" s="20">
        <v>0</v>
      </c>
      <c r="EF47" s="20" t="s">
        <v>4087</v>
      </c>
      <c r="EG47" s="20">
        <v>0</v>
      </c>
      <c r="EH47" s="20">
        <v>0</v>
      </c>
      <c r="EI47" s="20">
        <v>0</v>
      </c>
      <c r="EJ47" s="20" t="s">
        <v>4088</v>
      </c>
      <c r="EK47" s="20" t="s">
        <v>4089</v>
      </c>
      <c r="EL47" s="20">
        <v>0</v>
      </c>
    </row>
    <row r="48" spans="1:142" s="20" customFormat="1" ht="11.25" x14ac:dyDescent="0.2">
      <c r="A48" s="557" t="str">
        <f>EGTL</f>
        <v>Gas-to-liquids (GTL) plants</v>
      </c>
      <c r="B48" s="230" t="s">
        <v>1150</v>
      </c>
      <c r="C48" s="230" t="s">
        <v>1653</v>
      </c>
      <c r="D48" s="221">
        <f t="shared" si="63"/>
        <v>16</v>
      </c>
      <c r="E48" s="2169">
        <f t="shared" ca="1" si="79"/>
        <v>0</v>
      </c>
      <c r="F48" s="2169">
        <f t="shared" ca="1" si="79"/>
        <v>0</v>
      </c>
      <c r="G48" s="2169">
        <f t="shared" ca="1" si="81"/>
        <v>0</v>
      </c>
      <c r="H48" s="2169">
        <f t="shared" ca="1" si="80"/>
        <v>0</v>
      </c>
      <c r="I48" s="2169">
        <f t="shared" ca="1" si="80"/>
        <v>0</v>
      </c>
      <c r="J48" s="2169">
        <f t="shared" ca="1" si="80"/>
        <v>0</v>
      </c>
      <c r="K48" s="2169">
        <f t="shared" ca="1" si="80"/>
        <v>0</v>
      </c>
      <c r="L48" s="2169">
        <f t="shared" ca="1" si="80"/>
        <v>0</v>
      </c>
      <c r="M48" s="2169">
        <f t="shared" ca="1" si="80"/>
        <v>0</v>
      </c>
      <c r="N48" s="2169">
        <f t="shared" ca="1" si="80"/>
        <v>0</v>
      </c>
      <c r="O48" s="2169">
        <f t="shared" ca="1" si="65"/>
        <v>0</v>
      </c>
      <c r="P48" s="2169">
        <f t="shared" ca="1" si="65"/>
        <v>0</v>
      </c>
      <c r="Q48" s="2169">
        <f t="shared" ca="1" si="65"/>
        <v>0</v>
      </c>
      <c r="R48" s="2169">
        <f t="shared" ca="1" si="65"/>
        <v>0</v>
      </c>
      <c r="S48" s="2170">
        <v>0</v>
      </c>
      <c r="T48" s="2169">
        <f t="shared" ca="1" si="66"/>
        <v>0</v>
      </c>
      <c r="U48" s="2169">
        <f t="shared" ca="1" si="66"/>
        <v>0</v>
      </c>
      <c r="V48" s="2169">
        <f t="shared" ca="1" si="66"/>
        <v>0</v>
      </c>
      <c r="W48" s="2161">
        <f t="shared" ca="1" si="82"/>
        <v>0</v>
      </c>
      <c r="X48" s="2161">
        <f t="shared" ca="1" si="82"/>
        <v>0</v>
      </c>
      <c r="Y48" s="2161">
        <f t="shared" ca="1" si="82"/>
        <v>0</v>
      </c>
      <c r="Z48" s="2161">
        <f t="shared" ca="1" si="82"/>
        <v>0</v>
      </c>
      <c r="AA48" s="2161">
        <f t="shared" ca="1" si="82"/>
        <v>0</v>
      </c>
      <c r="AB48" s="2161">
        <f t="shared" ca="1" si="82"/>
        <v>0</v>
      </c>
      <c r="AC48" s="2161">
        <f t="shared" ca="1" si="82"/>
        <v>0</v>
      </c>
      <c r="AD48" s="2161">
        <f t="shared" ca="1" si="82"/>
        <v>0</v>
      </c>
      <c r="AE48" s="2161">
        <f t="shared" ca="1" si="82"/>
        <v>0</v>
      </c>
      <c r="AF48" s="2161">
        <f t="shared" ca="1" si="82"/>
        <v>0</v>
      </c>
      <c r="AG48" s="2161">
        <f t="shared" ca="1" si="83"/>
        <v>0</v>
      </c>
      <c r="AH48" s="2161">
        <f t="shared" ca="1" si="83"/>
        <v>0</v>
      </c>
      <c r="AI48" s="2161">
        <f t="shared" ca="1" si="83"/>
        <v>0</v>
      </c>
      <c r="AJ48" s="2161">
        <f t="shared" ca="1" si="83"/>
        <v>0</v>
      </c>
      <c r="AK48" s="2161">
        <f t="shared" ca="1" si="83"/>
        <v>0</v>
      </c>
      <c r="AL48" s="2161">
        <f t="shared" ca="1" si="83"/>
        <v>0</v>
      </c>
      <c r="AM48" s="2161">
        <f t="shared" ca="1" si="83"/>
        <v>0</v>
      </c>
      <c r="AN48" s="2161">
        <f t="shared" ca="1" si="83"/>
        <v>0</v>
      </c>
      <c r="AO48" s="2161">
        <f t="shared" ca="1" si="83"/>
        <v>0</v>
      </c>
      <c r="AP48" s="2161">
        <f t="shared" ca="1" si="83"/>
        <v>0</v>
      </c>
      <c r="AQ48" s="2161">
        <f t="shared" ca="1" si="83"/>
        <v>0</v>
      </c>
      <c r="AR48" s="2171">
        <f t="shared" ca="1" si="83"/>
        <v>0</v>
      </c>
      <c r="AS48" s="2172">
        <f t="shared" ca="1" si="69"/>
        <v>0</v>
      </c>
      <c r="AT48" s="2173">
        <f t="shared" si="84"/>
        <v>0</v>
      </c>
      <c r="AU48" s="2173">
        <f t="shared" si="84"/>
        <v>0</v>
      </c>
      <c r="AV48" s="2173">
        <f t="shared" si="84"/>
        <v>0</v>
      </c>
      <c r="AW48" s="2173">
        <f t="shared" si="84"/>
        <v>0</v>
      </c>
      <c r="AX48" s="2173">
        <f t="shared" si="84"/>
        <v>0</v>
      </c>
      <c r="AY48" s="2173">
        <f t="shared" ca="1" si="71"/>
        <v>0</v>
      </c>
      <c r="AZ48" s="2173">
        <f t="shared" ca="1" si="71"/>
        <v>0</v>
      </c>
      <c r="BA48" s="2173">
        <f t="shared" ca="1" si="71"/>
        <v>0</v>
      </c>
      <c r="BB48" s="2173">
        <f t="shared" ca="1" si="71"/>
        <v>0</v>
      </c>
      <c r="BC48" s="2173">
        <f t="shared" si="72"/>
        <v>0</v>
      </c>
      <c r="BD48" s="2174">
        <f t="shared" ca="1" si="73"/>
        <v>0</v>
      </c>
      <c r="BE48" s="2167">
        <v>0</v>
      </c>
      <c r="BF48" s="2167">
        <v>0</v>
      </c>
      <c r="BG48" s="2167">
        <f t="shared" si="74"/>
        <v>0</v>
      </c>
      <c r="BH48" s="2167">
        <v>0</v>
      </c>
      <c r="BI48" s="2167">
        <f t="shared" si="75"/>
        <v>0</v>
      </c>
      <c r="BJ48" s="2167">
        <v>0</v>
      </c>
      <c r="BK48" s="2167">
        <v>0</v>
      </c>
      <c r="BL48" s="2167">
        <v>0</v>
      </c>
      <c r="BM48" s="2167">
        <f t="shared" si="76"/>
        <v>0</v>
      </c>
      <c r="BN48" s="2167">
        <f t="shared" si="77"/>
        <v>0</v>
      </c>
      <c r="BO48" s="2170">
        <v>0</v>
      </c>
      <c r="BP48" s="2168">
        <f t="shared" ca="1" si="78"/>
        <v>0</v>
      </c>
      <c r="BQ48" s="648"/>
      <c r="CA48" s="555" t="s">
        <v>1150</v>
      </c>
      <c r="CB48" s="20" t="s">
        <v>4090</v>
      </c>
      <c r="CC48" s="20" t="s">
        <v>4091</v>
      </c>
      <c r="CD48" s="20" t="s">
        <v>4092</v>
      </c>
      <c r="CE48" s="20" t="s">
        <v>4093</v>
      </c>
      <c r="CF48" s="20" t="s">
        <v>4094</v>
      </c>
      <c r="CG48" s="20" t="s">
        <v>4095</v>
      </c>
      <c r="CH48" s="20" t="s">
        <v>4096</v>
      </c>
      <c r="CI48" s="20" t="s">
        <v>4097</v>
      </c>
      <c r="CJ48" s="20" t="s">
        <v>4098</v>
      </c>
      <c r="CK48" s="20" t="s">
        <v>4099</v>
      </c>
      <c r="CL48" s="20" t="s">
        <v>4100</v>
      </c>
      <c r="CM48" s="20" t="s">
        <v>4101</v>
      </c>
      <c r="CN48" s="20" t="s">
        <v>4102</v>
      </c>
      <c r="CO48" s="20" t="s">
        <v>4103</v>
      </c>
      <c r="CP48" s="20">
        <v>0</v>
      </c>
      <c r="CQ48" s="20" t="s">
        <v>4104</v>
      </c>
      <c r="CR48" s="20" t="s">
        <v>4105</v>
      </c>
      <c r="CS48" s="20" t="s">
        <v>4106</v>
      </c>
      <c r="CT48" s="20" t="s">
        <v>4107</v>
      </c>
      <c r="CU48" s="20" t="s">
        <v>4108</v>
      </c>
      <c r="CV48" s="20" t="s">
        <v>4109</v>
      </c>
      <c r="CW48" s="20" t="s">
        <v>4110</v>
      </c>
      <c r="CX48" s="20" t="s">
        <v>4111</v>
      </c>
      <c r="CY48" s="20" t="s">
        <v>4112</v>
      </c>
      <c r="CZ48" s="20" t="s">
        <v>4113</v>
      </c>
      <c r="DA48" s="20" t="s">
        <v>4114</v>
      </c>
      <c r="DB48" s="20" t="s">
        <v>4115</v>
      </c>
      <c r="DC48" s="20" t="s">
        <v>4116</v>
      </c>
      <c r="DD48" s="20" t="s">
        <v>4117</v>
      </c>
      <c r="DE48" s="20" t="s">
        <v>4118</v>
      </c>
      <c r="DF48" s="20" t="s">
        <v>4119</v>
      </c>
      <c r="DG48" s="20" t="s">
        <v>4120</v>
      </c>
      <c r="DH48" s="20" t="s">
        <v>4121</v>
      </c>
      <c r="DI48" s="20" t="s">
        <v>4122</v>
      </c>
      <c r="DJ48" s="20" t="s">
        <v>4123</v>
      </c>
      <c r="DK48" s="20" t="s">
        <v>4124</v>
      </c>
      <c r="DL48" s="20" t="s">
        <v>4125</v>
      </c>
      <c r="DM48" s="20" t="s">
        <v>4126</v>
      </c>
      <c r="DN48" s="20" t="s">
        <v>4127</v>
      </c>
      <c r="DO48" s="20" t="s">
        <v>4128</v>
      </c>
      <c r="DP48" s="20" t="s">
        <v>4129</v>
      </c>
      <c r="DQ48" s="20" t="s">
        <v>4130</v>
      </c>
      <c r="DR48" s="20" t="s">
        <v>4131</v>
      </c>
      <c r="DS48" s="20" t="s">
        <v>4132</v>
      </c>
      <c r="DT48" s="20" t="s">
        <v>4133</v>
      </c>
      <c r="DU48" s="20" t="s">
        <v>4134</v>
      </c>
      <c r="DV48" s="20" t="s">
        <v>4135</v>
      </c>
      <c r="DW48" s="20" t="s">
        <v>4136</v>
      </c>
      <c r="DX48" s="20" t="s">
        <v>4137</v>
      </c>
      <c r="DY48" s="20" t="s">
        <v>4138</v>
      </c>
      <c r="DZ48" s="20" t="s">
        <v>4139</v>
      </c>
      <c r="EA48" s="20" t="s">
        <v>4140</v>
      </c>
      <c r="EB48" s="20">
        <v>0</v>
      </c>
      <c r="EC48" s="20">
        <v>0</v>
      </c>
      <c r="ED48" s="20" t="s">
        <v>4141</v>
      </c>
      <c r="EE48" s="20">
        <v>0</v>
      </c>
      <c r="EF48" s="20" t="s">
        <v>4142</v>
      </c>
      <c r="EG48" s="20">
        <v>0</v>
      </c>
      <c r="EH48" s="20">
        <v>0</v>
      </c>
      <c r="EI48" s="20">
        <v>0</v>
      </c>
      <c r="EJ48" s="20" t="s">
        <v>4143</v>
      </c>
      <c r="EK48" s="20" t="s">
        <v>4144</v>
      </c>
      <c r="EL48" s="20">
        <v>0</v>
      </c>
    </row>
    <row r="49" spans="1:142" s="20" customFormat="1" ht="11.25" x14ac:dyDescent="0.2">
      <c r="A49" s="557" t="str">
        <f>EPOWERPLT</f>
        <v>Own use in electricity, CHP and heat plants</v>
      </c>
      <c r="B49" s="230" t="s">
        <v>1155</v>
      </c>
      <c r="C49" s="230" t="s">
        <v>1646</v>
      </c>
      <c r="D49" s="221">
        <f t="shared" si="63"/>
        <v>9</v>
      </c>
      <c r="E49" s="2169">
        <f t="shared" ca="1" si="79"/>
        <v>0</v>
      </c>
      <c r="F49" s="2169">
        <f t="shared" ca="1" si="79"/>
        <v>0</v>
      </c>
      <c r="G49" s="2169">
        <f t="shared" ca="1" si="81"/>
        <v>0</v>
      </c>
      <c r="H49" s="2169">
        <f t="shared" ca="1" si="80"/>
        <v>0</v>
      </c>
      <c r="I49" s="2169">
        <f t="shared" ca="1" si="80"/>
        <v>0</v>
      </c>
      <c r="J49" s="2169">
        <f t="shared" ca="1" si="80"/>
        <v>0</v>
      </c>
      <c r="K49" s="2169">
        <f t="shared" ca="1" si="80"/>
        <v>0</v>
      </c>
      <c r="L49" s="2169">
        <f t="shared" ca="1" si="80"/>
        <v>0</v>
      </c>
      <c r="M49" s="2169">
        <f t="shared" ca="1" si="80"/>
        <v>0</v>
      </c>
      <c r="N49" s="2169">
        <f t="shared" ca="1" si="80"/>
        <v>0</v>
      </c>
      <c r="O49" s="2169">
        <f t="shared" ca="1" si="65"/>
        <v>-1105.623</v>
      </c>
      <c r="P49" s="2169">
        <f t="shared" ca="1" si="65"/>
        <v>0</v>
      </c>
      <c r="Q49" s="2169">
        <f t="shared" ca="1" si="65"/>
        <v>0</v>
      </c>
      <c r="R49" s="2169">
        <f t="shared" ca="1" si="65"/>
        <v>0</v>
      </c>
      <c r="S49" s="2170">
        <v>0</v>
      </c>
      <c r="T49" s="2169">
        <f t="shared" ca="1" si="66"/>
        <v>0</v>
      </c>
      <c r="U49" s="2169">
        <f t="shared" ca="1" si="66"/>
        <v>0</v>
      </c>
      <c r="V49" s="2169">
        <f t="shared" ca="1" si="66"/>
        <v>0</v>
      </c>
      <c r="W49" s="2161">
        <f t="shared" ca="1" si="82"/>
        <v>0</v>
      </c>
      <c r="X49" s="2161">
        <f t="shared" ca="1" si="82"/>
        <v>0</v>
      </c>
      <c r="Y49" s="2161">
        <f t="shared" ca="1" si="82"/>
        <v>0</v>
      </c>
      <c r="Z49" s="2161">
        <f t="shared" ca="1" si="82"/>
        <v>0</v>
      </c>
      <c r="AA49" s="2161">
        <f t="shared" ca="1" si="82"/>
        <v>0</v>
      </c>
      <c r="AB49" s="2161">
        <f t="shared" ca="1" si="82"/>
        <v>0</v>
      </c>
      <c r="AC49" s="2161">
        <f t="shared" ca="1" si="82"/>
        <v>0</v>
      </c>
      <c r="AD49" s="2161">
        <f t="shared" ca="1" si="82"/>
        <v>0</v>
      </c>
      <c r="AE49" s="2161">
        <f t="shared" ca="1" si="82"/>
        <v>0</v>
      </c>
      <c r="AF49" s="2161">
        <f t="shared" ca="1" si="82"/>
        <v>0</v>
      </c>
      <c r="AG49" s="2161">
        <f t="shared" ca="1" si="83"/>
        <v>0</v>
      </c>
      <c r="AH49" s="2161">
        <f t="shared" ca="1" si="83"/>
        <v>0</v>
      </c>
      <c r="AI49" s="2161">
        <f t="shared" ca="1" si="83"/>
        <v>0</v>
      </c>
      <c r="AJ49" s="2161">
        <f t="shared" ca="1" si="83"/>
        <v>0</v>
      </c>
      <c r="AK49" s="2161">
        <f t="shared" ca="1" si="83"/>
        <v>0</v>
      </c>
      <c r="AL49" s="2161">
        <f t="shared" ca="1" si="83"/>
        <v>0</v>
      </c>
      <c r="AM49" s="2161">
        <f t="shared" ca="1" si="83"/>
        <v>0</v>
      </c>
      <c r="AN49" s="2161">
        <f t="shared" ca="1" si="83"/>
        <v>0</v>
      </c>
      <c r="AO49" s="2161">
        <f t="shared" ca="1" si="83"/>
        <v>0</v>
      </c>
      <c r="AP49" s="2161">
        <f t="shared" ca="1" si="83"/>
        <v>0</v>
      </c>
      <c r="AQ49" s="2161">
        <f t="shared" ca="1" si="83"/>
        <v>0</v>
      </c>
      <c r="AR49" s="2171">
        <f t="shared" ca="1" si="83"/>
        <v>0</v>
      </c>
      <c r="AS49" s="2172">
        <f ca="1">-VLOOKUP($B49,RawData,AS$4,FALSE)*VLOOKUP(AS$3,ConversionFactors,2,FALSE)*1</f>
        <v>-13881.58681640625</v>
      </c>
      <c r="AT49" s="2173">
        <f t="shared" si="84"/>
        <v>0</v>
      </c>
      <c r="AU49" s="2173">
        <f t="shared" si="84"/>
        <v>0</v>
      </c>
      <c r="AV49" s="2173">
        <f t="shared" si="84"/>
        <v>0</v>
      </c>
      <c r="AW49" s="2173">
        <f t="shared" si="84"/>
        <v>0</v>
      </c>
      <c r="AX49" s="2173">
        <f t="shared" si="84"/>
        <v>0</v>
      </c>
      <c r="AY49" s="2173">
        <f t="shared" ca="1" si="71"/>
        <v>0</v>
      </c>
      <c r="AZ49" s="2173">
        <f t="shared" ca="1" si="71"/>
        <v>0</v>
      </c>
      <c r="BA49" s="2173">
        <f t="shared" ca="1" si="71"/>
        <v>0</v>
      </c>
      <c r="BB49" s="2173">
        <f t="shared" ca="1" si="71"/>
        <v>0</v>
      </c>
      <c r="BC49" s="2173">
        <f t="shared" si="72"/>
        <v>0</v>
      </c>
      <c r="BD49" s="2174">
        <f t="shared" ca="1" si="73"/>
        <v>0</v>
      </c>
      <c r="BE49" s="2167">
        <v>0</v>
      </c>
      <c r="BF49" s="2167">
        <v>0</v>
      </c>
      <c r="BG49" s="2167">
        <f t="shared" si="74"/>
        <v>0</v>
      </c>
      <c r="BH49" s="2167">
        <v>0</v>
      </c>
      <c r="BI49" s="2167">
        <f t="shared" si="75"/>
        <v>0</v>
      </c>
      <c r="BJ49" s="2167">
        <v>0</v>
      </c>
      <c r="BK49" s="2167">
        <v>0</v>
      </c>
      <c r="BL49" s="2167">
        <v>0</v>
      </c>
      <c r="BM49" s="2167">
        <f t="shared" si="76"/>
        <v>-0.53279999999999994</v>
      </c>
      <c r="BN49" s="2167">
        <f t="shared" si="77"/>
        <v>0</v>
      </c>
      <c r="BO49" s="2170">
        <v>0</v>
      </c>
      <c r="BP49" s="2168">
        <f t="shared" ca="1" si="78"/>
        <v>-14987.742616406251</v>
      </c>
      <c r="BQ49" s="648"/>
      <c r="CA49" s="555" t="s">
        <v>1155</v>
      </c>
      <c r="CB49" s="20" t="s">
        <v>4145</v>
      </c>
      <c r="CC49" s="20" t="s">
        <v>4146</v>
      </c>
      <c r="CD49" s="20" t="s">
        <v>4147</v>
      </c>
      <c r="CE49" s="20" t="s">
        <v>4148</v>
      </c>
      <c r="CF49" s="20" t="s">
        <v>4149</v>
      </c>
      <c r="CG49" s="20" t="s">
        <v>4150</v>
      </c>
      <c r="CH49" s="20" t="s">
        <v>4151</v>
      </c>
      <c r="CI49" s="20" t="s">
        <v>4152</v>
      </c>
      <c r="CJ49" s="20" t="s">
        <v>4153</v>
      </c>
      <c r="CK49" s="20" t="s">
        <v>4154</v>
      </c>
      <c r="CL49" s="20" t="s">
        <v>4155</v>
      </c>
      <c r="CM49" s="20" t="s">
        <v>4156</v>
      </c>
      <c r="CN49" s="20" t="s">
        <v>4157</v>
      </c>
      <c r="CO49" s="20" t="s">
        <v>4158</v>
      </c>
      <c r="CP49" s="20">
        <v>0</v>
      </c>
      <c r="CQ49" s="20" t="s">
        <v>4159</v>
      </c>
      <c r="CR49" s="20" t="s">
        <v>4160</v>
      </c>
      <c r="CS49" s="20" t="s">
        <v>4161</v>
      </c>
      <c r="CT49" s="20" t="s">
        <v>4162</v>
      </c>
      <c r="CU49" s="20" t="s">
        <v>4163</v>
      </c>
      <c r="CV49" s="20" t="s">
        <v>4164</v>
      </c>
      <c r="CW49" s="20" t="s">
        <v>4165</v>
      </c>
      <c r="CX49" s="20" t="s">
        <v>4166</v>
      </c>
      <c r="CY49" s="20" t="s">
        <v>4167</v>
      </c>
      <c r="CZ49" s="20" t="s">
        <v>4168</v>
      </c>
      <c r="DA49" s="20" t="s">
        <v>4169</v>
      </c>
      <c r="DB49" s="20" t="s">
        <v>4170</v>
      </c>
      <c r="DC49" s="20" t="s">
        <v>4171</v>
      </c>
      <c r="DD49" s="20" t="s">
        <v>4172</v>
      </c>
      <c r="DE49" s="20" t="s">
        <v>4173</v>
      </c>
      <c r="DF49" s="20" t="s">
        <v>4174</v>
      </c>
      <c r="DG49" s="20" t="s">
        <v>4175</v>
      </c>
      <c r="DH49" s="20" t="s">
        <v>4176</v>
      </c>
      <c r="DI49" s="20" t="s">
        <v>4177</v>
      </c>
      <c r="DJ49" s="20" t="s">
        <v>4178</v>
      </c>
      <c r="DK49" s="20" t="s">
        <v>4179</v>
      </c>
      <c r="DL49" s="20" t="s">
        <v>4180</v>
      </c>
      <c r="DM49" s="20" t="s">
        <v>4181</v>
      </c>
      <c r="DN49" s="20" t="s">
        <v>4182</v>
      </c>
      <c r="DO49" s="20" t="s">
        <v>4183</v>
      </c>
      <c r="DP49" s="20" t="s">
        <v>4184</v>
      </c>
      <c r="DQ49" s="20" t="s">
        <v>4185</v>
      </c>
      <c r="DR49" s="20" t="s">
        <v>4186</v>
      </c>
      <c r="DS49" s="20" t="s">
        <v>4187</v>
      </c>
      <c r="DT49" s="20" t="s">
        <v>4188</v>
      </c>
      <c r="DU49" s="20" t="s">
        <v>4189</v>
      </c>
      <c r="DV49" s="20" t="s">
        <v>4190</v>
      </c>
      <c r="DW49" s="20" t="s">
        <v>4191</v>
      </c>
      <c r="DX49" s="20" t="s">
        <v>4192</v>
      </c>
      <c r="DY49" s="20" t="s">
        <v>4193</v>
      </c>
      <c r="DZ49" s="20" t="s">
        <v>4194</v>
      </c>
      <c r="EA49" s="20" t="s">
        <v>4195</v>
      </c>
      <c r="EB49" s="20">
        <v>0</v>
      </c>
      <c r="EC49" s="20">
        <v>0</v>
      </c>
      <c r="ED49" s="20" t="s">
        <v>4196</v>
      </c>
      <c r="EE49" s="20">
        <v>0</v>
      </c>
      <c r="EF49" s="20" t="s">
        <v>4197</v>
      </c>
      <c r="EG49" s="20">
        <v>0</v>
      </c>
      <c r="EH49" s="20">
        <v>0</v>
      </c>
      <c r="EI49" s="20">
        <v>0</v>
      </c>
      <c r="EJ49" s="20" t="s">
        <v>4198</v>
      </c>
      <c r="EK49" s="20" t="s">
        <v>4199</v>
      </c>
      <c r="EL49" s="20">
        <v>0</v>
      </c>
    </row>
    <row r="50" spans="1:142" s="20" customFormat="1" ht="11.25" x14ac:dyDescent="0.2">
      <c r="A50" s="557" t="str">
        <f>EPUMPST</f>
        <v>Used for pumped storage</v>
      </c>
      <c r="B50" s="230" t="s">
        <v>1162</v>
      </c>
      <c r="C50" s="230" t="s">
        <v>1653</v>
      </c>
      <c r="D50" s="221">
        <f t="shared" si="63"/>
        <v>16</v>
      </c>
      <c r="E50" s="2169">
        <f t="shared" ca="1" si="79"/>
        <v>0</v>
      </c>
      <c r="F50" s="2169">
        <f t="shared" ca="1" si="79"/>
        <v>0</v>
      </c>
      <c r="G50" s="2169">
        <f t="shared" ca="1" si="81"/>
        <v>0</v>
      </c>
      <c r="H50" s="2169">
        <f t="shared" ca="1" si="80"/>
        <v>0</v>
      </c>
      <c r="I50" s="2169">
        <f t="shared" ca="1" si="80"/>
        <v>0</v>
      </c>
      <c r="J50" s="2169">
        <f t="shared" ca="1" si="80"/>
        <v>0</v>
      </c>
      <c r="K50" s="2169">
        <f t="shared" ca="1" si="80"/>
        <v>0</v>
      </c>
      <c r="L50" s="2169">
        <f t="shared" ca="1" si="80"/>
        <v>0</v>
      </c>
      <c r="M50" s="2169">
        <f t="shared" ca="1" si="80"/>
        <v>0</v>
      </c>
      <c r="N50" s="2169">
        <f t="shared" ca="1" si="80"/>
        <v>0</v>
      </c>
      <c r="O50" s="2169">
        <f t="shared" ca="1" si="65"/>
        <v>0</v>
      </c>
      <c r="P50" s="2169">
        <f t="shared" ca="1" si="65"/>
        <v>0</v>
      </c>
      <c r="Q50" s="2169">
        <f t="shared" ca="1" si="65"/>
        <v>0</v>
      </c>
      <c r="R50" s="2169">
        <f t="shared" ca="1" si="65"/>
        <v>0</v>
      </c>
      <c r="S50" s="2170">
        <v>0</v>
      </c>
      <c r="T50" s="2169">
        <f t="shared" ca="1" si="66"/>
        <v>0</v>
      </c>
      <c r="U50" s="2169">
        <f t="shared" ca="1" si="66"/>
        <v>0</v>
      </c>
      <c r="V50" s="2169">
        <f t="shared" ca="1" si="66"/>
        <v>0</v>
      </c>
      <c r="W50" s="2161">
        <f t="shared" ca="1" si="82"/>
        <v>0</v>
      </c>
      <c r="X50" s="2161">
        <f t="shared" ca="1" si="82"/>
        <v>0</v>
      </c>
      <c r="Y50" s="2161">
        <f t="shared" ca="1" si="82"/>
        <v>0</v>
      </c>
      <c r="Z50" s="2161">
        <f t="shared" ca="1" si="82"/>
        <v>0</v>
      </c>
      <c r="AA50" s="2161">
        <f t="shared" ca="1" si="82"/>
        <v>0</v>
      </c>
      <c r="AB50" s="2161">
        <f t="shared" ca="1" si="82"/>
        <v>0</v>
      </c>
      <c r="AC50" s="2161">
        <f t="shared" ca="1" si="82"/>
        <v>0</v>
      </c>
      <c r="AD50" s="2161">
        <f t="shared" ca="1" si="82"/>
        <v>0</v>
      </c>
      <c r="AE50" s="2161">
        <f t="shared" ca="1" si="82"/>
        <v>0</v>
      </c>
      <c r="AF50" s="2161">
        <f t="shared" ca="1" si="82"/>
        <v>0</v>
      </c>
      <c r="AG50" s="2161">
        <f t="shared" ca="1" si="83"/>
        <v>0</v>
      </c>
      <c r="AH50" s="2161">
        <f t="shared" ca="1" si="83"/>
        <v>0</v>
      </c>
      <c r="AI50" s="2161">
        <f t="shared" ca="1" si="83"/>
        <v>0</v>
      </c>
      <c r="AJ50" s="2161">
        <f t="shared" ca="1" si="83"/>
        <v>0</v>
      </c>
      <c r="AK50" s="2161">
        <f t="shared" ca="1" si="83"/>
        <v>0</v>
      </c>
      <c r="AL50" s="2161">
        <f t="shared" ca="1" si="83"/>
        <v>0</v>
      </c>
      <c r="AM50" s="2161">
        <f t="shared" ca="1" si="83"/>
        <v>0</v>
      </c>
      <c r="AN50" s="2161">
        <f t="shared" ca="1" si="83"/>
        <v>0</v>
      </c>
      <c r="AO50" s="2161">
        <f t="shared" ca="1" si="83"/>
        <v>0</v>
      </c>
      <c r="AP50" s="2161">
        <f t="shared" ca="1" si="83"/>
        <v>0</v>
      </c>
      <c r="AQ50" s="2161">
        <f t="shared" ca="1" si="83"/>
        <v>0</v>
      </c>
      <c r="AR50" s="2171">
        <f t="shared" ca="1" si="83"/>
        <v>0</v>
      </c>
      <c r="AS50" s="2172">
        <f t="shared" ca="1" si="69"/>
        <v>0</v>
      </c>
      <c r="AT50" s="2173">
        <f t="shared" si="84"/>
        <v>0</v>
      </c>
      <c r="AU50" s="2173">
        <f t="shared" si="84"/>
        <v>0</v>
      </c>
      <c r="AV50" s="2173">
        <f t="shared" si="84"/>
        <v>0</v>
      </c>
      <c r="AW50" s="2173">
        <f t="shared" si="84"/>
        <v>0</v>
      </c>
      <c r="AX50" s="2173">
        <f t="shared" si="84"/>
        <v>0</v>
      </c>
      <c r="AY50" s="2173">
        <f t="shared" ca="1" si="71"/>
        <v>0</v>
      </c>
      <c r="AZ50" s="2173">
        <f t="shared" ca="1" si="71"/>
        <v>0</v>
      </c>
      <c r="BA50" s="2173">
        <f t="shared" ca="1" si="71"/>
        <v>0</v>
      </c>
      <c r="BB50" s="2173">
        <f t="shared" ca="1" si="71"/>
        <v>0</v>
      </c>
      <c r="BC50" s="2173">
        <f t="shared" si="72"/>
        <v>0</v>
      </c>
      <c r="BD50" s="2174">
        <f t="shared" ca="1" si="73"/>
        <v>0</v>
      </c>
      <c r="BE50" s="2167">
        <v>0</v>
      </c>
      <c r="BF50" s="2167">
        <v>0</v>
      </c>
      <c r="BG50" s="2167">
        <f t="shared" si="74"/>
        <v>0</v>
      </c>
      <c r="BH50" s="2167">
        <v>0</v>
      </c>
      <c r="BI50" s="2167">
        <f t="shared" si="75"/>
        <v>0</v>
      </c>
      <c r="BJ50" s="2167">
        <v>0</v>
      </c>
      <c r="BK50" s="2167">
        <v>0</v>
      </c>
      <c r="BL50" s="2167">
        <v>0</v>
      </c>
      <c r="BM50" s="2167">
        <f>-(VLOOKUP($B50,RawData,BM$4,FALSE)-VLOOKUP("MHYDPUMP",RawData,BF$4,FALSE)-VLOOKUP("AHYDPUMP",RawData,BF$4,FALSE))*3.6</f>
        <v>45779.371200000001</v>
      </c>
      <c r="BN50" s="2167">
        <f t="shared" si="77"/>
        <v>0</v>
      </c>
      <c r="BO50" s="2170">
        <v>0</v>
      </c>
      <c r="BP50" s="2168">
        <f t="shared" ca="1" si="78"/>
        <v>45779.371200000001</v>
      </c>
      <c r="BQ50" s="648"/>
      <c r="CA50" s="555" t="s">
        <v>1162</v>
      </c>
      <c r="CB50" s="20" t="s">
        <v>4200</v>
      </c>
      <c r="CC50" s="20" t="s">
        <v>4201</v>
      </c>
      <c r="CD50" s="20" t="s">
        <v>4202</v>
      </c>
      <c r="CE50" s="20" t="s">
        <v>4203</v>
      </c>
      <c r="CF50" s="20" t="s">
        <v>4204</v>
      </c>
      <c r="CG50" s="20" t="s">
        <v>4205</v>
      </c>
      <c r="CH50" s="20" t="s">
        <v>4206</v>
      </c>
      <c r="CI50" s="20" t="s">
        <v>4207</v>
      </c>
      <c r="CJ50" s="20" t="s">
        <v>4208</v>
      </c>
      <c r="CK50" s="20" t="s">
        <v>4209</v>
      </c>
      <c r="CL50" s="20" t="s">
        <v>4210</v>
      </c>
      <c r="CM50" s="20" t="s">
        <v>4211</v>
      </c>
      <c r="CN50" s="20" t="s">
        <v>4212</v>
      </c>
      <c r="CO50" s="20" t="s">
        <v>4213</v>
      </c>
      <c r="CP50" s="20">
        <v>0</v>
      </c>
      <c r="CQ50" s="20" t="s">
        <v>4214</v>
      </c>
      <c r="CR50" s="20" t="s">
        <v>4215</v>
      </c>
      <c r="CS50" s="20" t="s">
        <v>4216</v>
      </c>
      <c r="CT50" s="20" t="s">
        <v>4217</v>
      </c>
      <c r="CU50" s="20" t="s">
        <v>4218</v>
      </c>
      <c r="CV50" s="20" t="s">
        <v>4219</v>
      </c>
      <c r="CW50" s="20" t="s">
        <v>4220</v>
      </c>
      <c r="CX50" s="20" t="s">
        <v>4221</v>
      </c>
      <c r="CY50" s="20" t="s">
        <v>4222</v>
      </c>
      <c r="CZ50" s="20" t="s">
        <v>4223</v>
      </c>
      <c r="DA50" s="20" t="s">
        <v>4224</v>
      </c>
      <c r="DB50" s="20" t="s">
        <v>4225</v>
      </c>
      <c r="DC50" s="20" t="s">
        <v>4226</v>
      </c>
      <c r="DD50" s="20" t="s">
        <v>4227</v>
      </c>
      <c r="DE50" s="20" t="s">
        <v>4228</v>
      </c>
      <c r="DF50" s="20" t="s">
        <v>4229</v>
      </c>
      <c r="DG50" s="20" t="s">
        <v>4230</v>
      </c>
      <c r="DH50" s="20" t="s">
        <v>4231</v>
      </c>
      <c r="DI50" s="20" t="s">
        <v>4232</v>
      </c>
      <c r="DJ50" s="20" t="s">
        <v>4233</v>
      </c>
      <c r="DK50" s="20" t="s">
        <v>4234</v>
      </c>
      <c r="DL50" s="20" t="s">
        <v>4235</v>
      </c>
      <c r="DM50" s="20" t="s">
        <v>4236</v>
      </c>
      <c r="DN50" s="20" t="s">
        <v>4237</v>
      </c>
      <c r="DO50" s="20" t="s">
        <v>4238</v>
      </c>
      <c r="DP50" s="20" t="s">
        <v>4239</v>
      </c>
      <c r="DQ50" s="20" t="s">
        <v>4240</v>
      </c>
      <c r="DR50" s="20" t="s">
        <v>4241</v>
      </c>
      <c r="DS50" s="20" t="s">
        <v>4242</v>
      </c>
      <c r="DT50" s="20" t="s">
        <v>4243</v>
      </c>
      <c r="DU50" s="20" t="s">
        <v>4244</v>
      </c>
      <c r="DV50" s="20" t="s">
        <v>4245</v>
      </c>
      <c r="DW50" s="20" t="s">
        <v>4246</v>
      </c>
      <c r="DX50" s="20" t="s">
        <v>4247</v>
      </c>
      <c r="DY50" s="20" t="s">
        <v>4248</v>
      </c>
      <c r="DZ50" s="20" t="s">
        <v>4249</v>
      </c>
      <c r="EA50" s="20" t="s">
        <v>4250</v>
      </c>
      <c r="EB50" s="20">
        <v>0</v>
      </c>
      <c r="EC50" s="20">
        <v>0</v>
      </c>
      <c r="ED50" s="20" t="s">
        <v>4251</v>
      </c>
      <c r="EE50" s="20">
        <v>0</v>
      </c>
      <c r="EF50" s="20" t="s">
        <v>4252</v>
      </c>
      <c r="EG50" s="20">
        <v>0</v>
      </c>
      <c r="EH50" s="20">
        <v>0</v>
      </c>
      <c r="EI50" s="20">
        <v>0</v>
      </c>
      <c r="EJ50" s="20" t="s">
        <v>4253</v>
      </c>
      <c r="EK50" s="20" t="s">
        <v>4254</v>
      </c>
      <c r="EL50" s="20">
        <v>0</v>
      </c>
    </row>
    <row r="51" spans="1:142" s="20" customFormat="1" ht="11.25" x14ac:dyDescent="0.2">
      <c r="A51" s="557" t="str">
        <f>ENUC</f>
        <v>Nuclear industry</v>
      </c>
      <c r="B51" s="230" t="s">
        <v>1169</v>
      </c>
      <c r="C51" s="230" t="s">
        <v>1653</v>
      </c>
      <c r="D51" s="221">
        <f t="shared" si="63"/>
        <v>16</v>
      </c>
      <c r="E51" s="2169">
        <f t="shared" ca="1" si="79"/>
        <v>0</v>
      </c>
      <c r="F51" s="2169">
        <f t="shared" ca="1" si="79"/>
        <v>0</v>
      </c>
      <c r="G51" s="2169">
        <f t="shared" ca="1" si="81"/>
        <v>0</v>
      </c>
      <c r="H51" s="2169">
        <f t="shared" ca="1" si="80"/>
        <v>0</v>
      </c>
      <c r="I51" s="2169">
        <f t="shared" ca="1" si="80"/>
        <v>0</v>
      </c>
      <c r="J51" s="2169">
        <f t="shared" ca="1" si="80"/>
        <v>0</v>
      </c>
      <c r="K51" s="2169">
        <f t="shared" ca="1" si="80"/>
        <v>0</v>
      </c>
      <c r="L51" s="2169">
        <f t="shared" ca="1" si="80"/>
        <v>0</v>
      </c>
      <c r="M51" s="2169">
        <f t="shared" ca="1" si="80"/>
        <v>0</v>
      </c>
      <c r="N51" s="2169">
        <f t="shared" ca="1" si="80"/>
        <v>0</v>
      </c>
      <c r="O51" s="2169">
        <f t="shared" ca="1" si="65"/>
        <v>0</v>
      </c>
      <c r="P51" s="2169">
        <f t="shared" ca="1" si="65"/>
        <v>0</v>
      </c>
      <c r="Q51" s="2169">
        <f t="shared" ca="1" si="65"/>
        <v>0</v>
      </c>
      <c r="R51" s="2169">
        <f t="shared" ca="1" si="65"/>
        <v>0</v>
      </c>
      <c r="S51" s="2170">
        <v>0</v>
      </c>
      <c r="T51" s="2169">
        <f t="shared" ca="1" si="66"/>
        <v>0</v>
      </c>
      <c r="U51" s="2169">
        <f t="shared" ca="1" si="66"/>
        <v>0</v>
      </c>
      <c r="V51" s="2169">
        <f t="shared" ca="1" si="66"/>
        <v>0</v>
      </c>
      <c r="W51" s="2161">
        <f t="shared" ca="1" si="82"/>
        <v>0</v>
      </c>
      <c r="X51" s="2161">
        <f t="shared" ca="1" si="82"/>
        <v>0</v>
      </c>
      <c r="Y51" s="2161">
        <f t="shared" ca="1" si="82"/>
        <v>0</v>
      </c>
      <c r="Z51" s="2161">
        <f t="shared" ca="1" si="82"/>
        <v>0</v>
      </c>
      <c r="AA51" s="2161">
        <f t="shared" ca="1" si="82"/>
        <v>0</v>
      </c>
      <c r="AB51" s="2161">
        <f t="shared" ca="1" si="82"/>
        <v>0</v>
      </c>
      <c r="AC51" s="2161">
        <f t="shared" ca="1" si="82"/>
        <v>0</v>
      </c>
      <c r="AD51" s="2161">
        <f t="shared" ca="1" si="82"/>
        <v>0</v>
      </c>
      <c r="AE51" s="2161">
        <f t="shared" ca="1" si="82"/>
        <v>0</v>
      </c>
      <c r="AF51" s="2161">
        <f t="shared" ca="1" si="82"/>
        <v>0</v>
      </c>
      <c r="AG51" s="2161">
        <f t="shared" ca="1" si="83"/>
        <v>0</v>
      </c>
      <c r="AH51" s="2161">
        <f t="shared" ca="1" si="83"/>
        <v>0</v>
      </c>
      <c r="AI51" s="2161">
        <f t="shared" ca="1" si="83"/>
        <v>0</v>
      </c>
      <c r="AJ51" s="2161">
        <f t="shared" ca="1" si="83"/>
        <v>0</v>
      </c>
      <c r="AK51" s="2161">
        <f t="shared" ca="1" si="83"/>
        <v>0</v>
      </c>
      <c r="AL51" s="2161">
        <f t="shared" ca="1" si="83"/>
        <v>0</v>
      </c>
      <c r="AM51" s="2161">
        <f t="shared" ca="1" si="83"/>
        <v>0</v>
      </c>
      <c r="AN51" s="2161">
        <f t="shared" ca="1" si="83"/>
        <v>0</v>
      </c>
      <c r="AO51" s="2161">
        <f t="shared" ca="1" si="83"/>
        <v>0</v>
      </c>
      <c r="AP51" s="2161">
        <f t="shared" ca="1" si="83"/>
        <v>0</v>
      </c>
      <c r="AQ51" s="2161">
        <f t="shared" ca="1" si="83"/>
        <v>0</v>
      </c>
      <c r="AR51" s="2171">
        <f t="shared" ca="1" si="83"/>
        <v>0</v>
      </c>
      <c r="AS51" s="2172">
        <f t="shared" ca="1" si="69"/>
        <v>0</v>
      </c>
      <c r="AT51" s="2173">
        <f t="shared" si="84"/>
        <v>0</v>
      </c>
      <c r="AU51" s="2173">
        <f t="shared" si="84"/>
        <v>0</v>
      </c>
      <c r="AV51" s="2173">
        <f t="shared" si="84"/>
        <v>0</v>
      </c>
      <c r="AW51" s="2173">
        <f t="shared" si="84"/>
        <v>0</v>
      </c>
      <c r="AX51" s="2173">
        <f t="shared" si="84"/>
        <v>0</v>
      </c>
      <c r="AY51" s="2173">
        <f t="shared" ca="1" si="71"/>
        <v>0</v>
      </c>
      <c r="AZ51" s="2173">
        <f t="shared" ca="1" si="71"/>
        <v>0</v>
      </c>
      <c r="BA51" s="2173">
        <f t="shared" ca="1" si="71"/>
        <v>0</v>
      </c>
      <c r="BB51" s="2173">
        <f t="shared" ca="1" si="71"/>
        <v>0</v>
      </c>
      <c r="BC51" s="2173">
        <f t="shared" si="72"/>
        <v>0</v>
      </c>
      <c r="BD51" s="2174">
        <f t="shared" ca="1" si="73"/>
        <v>0</v>
      </c>
      <c r="BE51" s="2167">
        <v>0</v>
      </c>
      <c r="BF51" s="2167">
        <v>0</v>
      </c>
      <c r="BG51" s="2167">
        <f t="shared" si="74"/>
        <v>0</v>
      </c>
      <c r="BH51" s="2167">
        <v>0</v>
      </c>
      <c r="BI51" s="2167">
        <f t="shared" si="75"/>
        <v>0</v>
      </c>
      <c r="BJ51" s="2167">
        <v>0</v>
      </c>
      <c r="BK51" s="2167">
        <v>0</v>
      </c>
      <c r="BL51" s="2167">
        <v>0</v>
      </c>
      <c r="BM51" s="2167">
        <f>-VLOOKUP($B51,RawData,BM$4,FALSE)*3.6</f>
        <v>0</v>
      </c>
      <c r="BN51" s="2167">
        <f t="shared" si="77"/>
        <v>0</v>
      </c>
      <c r="BO51" s="2170">
        <v>0</v>
      </c>
      <c r="BP51" s="2168">
        <f t="shared" ca="1" si="78"/>
        <v>0</v>
      </c>
      <c r="BQ51" s="648"/>
      <c r="CA51" s="555" t="s">
        <v>1169</v>
      </c>
      <c r="CB51" s="20" t="s">
        <v>4255</v>
      </c>
      <c r="CC51" s="20" t="s">
        <v>4256</v>
      </c>
      <c r="CD51" s="20" t="s">
        <v>4257</v>
      </c>
      <c r="CE51" s="20" t="s">
        <v>4258</v>
      </c>
      <c r="CF51" s="20" t="s">
        <v>4259</v>
      </c>
      <c r="CG51" s="20" t="s">
        <v>4260</v>
      </c>
      <c r="CH51" s="20" t="s">
        <v>4261</v>
      </c>
      <c r="CI51" s="20" t="s">
        <v>4262</v>
      </c>
      <c r="CJ51" s="20" t="s">
        <v>4263</v>
      </c>
      <c r="CK51" s="20" t="s">
        <v>4264</v>
      </c>
      <c r="CL51" s="20" t="s">
        <v>4265</v>
      </c>
      <c r="CM51" s="20" t="s">
        <v>4266</v>
      </c>
      <c r="CN51" s="20" t="s">
        <v>4267</v>
      </c>
      <c r="CO51" s="20" t="s">
        <v>4268</v>
      </c>
      <c r="CP51" s="20">
        <v>0</v>
      </c>
      <c r="CQ51" s="20" t="s">
        <v>4269</v>
      </c>
      <c r="CR51" s="20" t="s">
        <v>4270</v>
      </c>
      <c r="CS51" s="20" t="s">
        <v>4271</v>
      </c>
      <c r="CT51" s="20" t="s">
        <v>4272</v>
      </c>
      <c r="CU51" s="20" t="s">
        <v>4273</v>
      </c>
      <c r="CV51" s="20" t="s">
        <v>4274</v>
      </c>
      <c r="CW51" s="20" t="s">
        <v>4275</v>
      </c>
      <c r="CX51" s="20" t="s">
        <v>4276</v>
      </c>
      <c r="CY51" s="20" t="s">
        <v>4277</v>
      </c>
      <c r="CZ51" s="20" t="s">
        <v>4278</v>
      </c>
      <c r="DA51" s="20" t="s">
        <v>4279</v>
      </c>
      <c r="DB51" s="20" t="s">
        <v>4280</v>
      </c>
      <c r="DC51" s="20" t="s">
        <v>4281</v>
      </c>
      <c r="DD51" s="20" t="s">
        <v>4282</v>
      </c>
      <c r="DE51" s="20" t="s">
        <v>4283</v>
      </c>
      <c r="DF51" s="20" t="s">
        <v>4284</v>
      </c>
      <c r="DG51" s="20" t="s">
        <v>4285</v>
      </c>
      <c r="DH51" s="20" t="s">
        <v>4286</v>
      </c>
      <c r="DI51" s="20" t="s">
        <v>4287</v>
      </c>
      <c r="DJ51" s="20" t="s">
        <v>4288</v>
      </c>
      <c r="DK51" s="20" t="s">
        <v>4289</v>
      </c>
      <c r="DL51" s="20" t="s">
        <v>4290</v>
      </c>
      <c r="DM51" s="20" t="s">
        <v>4291</v>
      </c>
      <c r="DN51" s="20" t="s">
        <v>4292</v>
      </c>
      <c r="DO51" s="20" t="s">
        <v>4293</v>
      </c>
      <c r="DP51" s="20" t="s">
        <v>4294</v>
      </c>
      <c r="DQ51" s="20" t="s">
        <v>4295</v>
      </c>
      <c r="DR51" s="20" t="s">
        <v>4296</v>
      </c>
      <c r="DS51" s="20" t="s">
        <v>4297</v>
      </c>
      <c r="DT51" s="20" t="s">
        <v>4298</v>
      </c>
      <c r="DU51" s="20" t="s">
        <v>4299</v>
      </c>
      <c r="DV51" s="20" t="s">
        <v>4300</v>
      </c>
      <c r="DW51" s="20" t="s">
        <v>4301</v>
      </c>
      <c r="DX51" s="20" t="s">
        <v>4302</v>
      </c>
      <c r="DY51" s="20" t="s">
        <v>4303</v>
      </c>
      <c r="DZ51" s="20" t="s">
        <v>4304</v>
      </c>
      <c r="EA51" s="20" t="s">
        <v>4305</v>
      </c>
      <c r="EB51" s="20">
        <v>0</v>
      </c>
      <c r="EC51" s="20">
        <v>0</v>
      </c>
      <c r="ED51" s="20" t="s">
        <v>4306</v>
      </c>
      <c r="EE51" s="20">
        <v>0</v>
      </c>
      <c r="EF51" s="20" t="s">
        <v>4307</v>
      </c>
      <c r="EG51" s="20">
        <v>0</v>
      </c>
      <c r="EH51" s="20">
        <v>0</v>
      </c>
      <c r="EI51" s="20">
        <v>0</v>
      </c>
      <c r="EJ51" s="20" t="s">
        <v>4308</v>
      </c>
      <c r="EK51" s="20" t="s">
        <v>4309</v>
      </c>
      <c r="EL51" s="20">
        <v>0</v>
      </c>
    </row>
    <row r="52" spans="1:142" s="20" customFormat="1" ht="11.25" x14ac:dyDescent="0.2">
      <c r="A52" s="557" t="str">
        <f>ECHARCOAL</f>
        <v>Charcoal production plants</v>
      </c>
      <c r="B52" s="230" t="s">
        <v>1176</v>
      </c>
      <c r="C52" s="230" t="s">
        <v>1653</v>
      </c>
      <c r="D52" s="221">
        <f t="shared" si="63"/>
        <v>16</v>
      </c>
      <c r="E52" s="2169">
        <f t="shared" ca="1" si="79"/>
        <v>0</v>
      </c>
      <c r="F52" s="2169">
        <f t="shared" ca="1" si="79"/>
        <v>0</v>
      </c>
      <c r="G52" s="2169">
        <f t="shared" ca="1" si="81"/>
        <v>0</v>
      </c>
      <c r="H52" s="2169">
        <f t="shared" ca="1" si="80"/>
        <v>0</v>
      </c>
      <c r="I52" s="2169">
        <f t="shared" ca="1" si="80"/>
        <v>0</v>
      </c>
      <c r="J52" s="2169">
        <f t="shared" ca="1" si="80"/>
        <v>0</v>
      </c>
      <c r="K52" s="2169">
        <f t="shared" ca="1" si="80"/>
        <v>0</v>
      </c>
      <c r="L52" s="2169">
        <f t="shared" ca="1" si="80"/>
        <v>0</v>
      </c>
      <c r="M52" s="2169">
        <f t="shared" ca="1" si="80"/>
        <v>0</v>
      </c>
      <c r="N52" s="2169">
        <f t="shared" ca="1" si="80"/>
        <v>0</v>
      </c>
      <c r="O52" s="2169">
        <f t="shared" ca="1" si="65"/>
        <v>0</v>
      </c>
      <c r="P52" s="2169">
        <f t="shared" ca="1" si="65"/>
        <v>0</v>
      </c>
      <c r="Q52" s="2169">
        <f t="shared" ca="1" si="65"/>
        <v>0</v>
      </c>
      <c r="R52" s="2169">
        <f t="shared" ca="1" si="65"/>
        <v>0</v>
      </c>
      <c r="S52" s="2170">
        <v>0</v>
      </c>
      <c r="T52" s="2169">
        <f t="shared" ca="1" si="66"/>
        <v>0</v>
      </c>
      <c r="U52" s="2169">
        <f t="shared" ca="1" si="66"/>
        <v>0</v>
      </c>
      <c r="V52" s="2169">
        <f t="shared" ca="1" si="66"/>
        <v>0</v>
      </c>
      <c r="W52" s="2161">
        <f t="shared" ca="1" si="82"/>
        <v>0</v>
      </c>
      <c r="X52" s="2161">
        <f t="shared" ca="1" si="82"/>
        <v>0</v>
      </c>
      <c r="Y52" s="2161">
        <f t="shared" ca="1" si="82"/>
        <v>0</v>
      </c>
      <c r="Z52" s="2161">
        <f t="shared" ca="1" si="82"/>
        <v>0</v>
      </c>
      <c r="AA52" s="2161">
        <f t="shared" ca="1" si="82"/>
        <v>0</v>
      </c>
      <c r="AB52" s="2161">
        <f t="shared" ca="1" si="82"/>
        <v>0</v>
      </c>
      <c r="AC52" s="2161">
        <f t="shared" ca="1" si="82"/>
        <v>0</v>
      </c>
      <c r="AD52" s="2161">
        <f t="shared" ca="1" si="82"/>
        <v>0</v>
      </c>
      <c r="AE52" s="2161">
        <f t="shared" ca="1" si="82"/>
        <v>0</v>
      </c>
      <c r="AF52" s="2161">
        <f t="shared" ca="1" si="82"/>
        <v>0</v>
      </c>
      <c r="AG52" s="2161">
        <f t="shared" ca="1" si="83"/>
        <v>0</v>
      </c>
      <c r="AH52" s="2161">
        <f t="shared" ca="1" si="83"/>
        <v>0</v>
      </c>
      <c r="AI52" s="2161">
        <f t="shared" ca="1" si="83"/>
        <v>0</v>
      </c>
      <c r="AJ52" s="2161">
        <f t="shared" ca="1" si="83"/>
        <v>0</v>
      </c>
      <c r="AK52" s="2161">
        <f t="shared" ca="1" si="83"/>
        <v>0</v>
      </c>
      <c r="AL52" s="2161">
        <f t="shared" ca="1" si="83"/>
        <v>0</v>
      </c>
      <c r="AM52" s="2161">
        <f t="shared" ca="1" si="83"/>
        <v>0</v>
      </c>
      <c r="AN52" s="2161">
        <f t="shared" ca="1" si="83"/>
        <v>0</v>
      </c>
      <c r="AO52" s="2161">
        <f t="shared" ca="1" si="83"/>
        <v>0</v>
      </c>
      <c r="AP52" s="2161">
        <f t="shared" ca="1" si="83"/>
        <v>0</v>
      </c>
      <c r="AQ52" s="2161">
        <f t="shared" ca="1" si="83"/>
        <v>0</v>
      </c>
      <c r="AR52" s="2171">
        <f t="shared" ca="1" si="83"/>
        <v>0</v>
      </c>
      <c r="AS52" s="2172">
        <f t="shared" ca="1" si="69"/>
        <v>0</v>
      </c>
      <c r="AT52" s="2173">
        <f t="shared" si="84"/>
        <v>0</v>
      </c>
      <c r="AU52" s="2173">
        <f t="shared" si="84"/>
        <v>0</v>
      </c>
      <c r="AV52" s="2173">
        <f t="shared" si="84"/>
        <v>0</v>
      </c>
      <c r="AW52" s="2173">
        <f t="shared" si="84"/>
        <v>0</v>
      </c>
      <c r="AX52" s="2173">
        <f t="shared" si="84"/>
        <v>0</v>
      </c>
      <c r="AY52" s="2173">
        <f t="shared" ca="1" si="71"/>
        <v>0</v>
      </c>
      <c r="AZ52" s="2173">
        <f t="shared" ca="1" si="71"/>
        <v>0</v>
      </c>
      <c r="BA52" s="2173">
        <f t="shared" ca="1" si="71"/>
        <v>0</v>
      </c>
      <c r="BB52" s="2173">
        <f t="shared" ca="1" si="71"/>
        <v>0</v>
      </c>
      <c r="BC52" s="2173">
        <f t="shared" si="72"/>
        <v>0</v>
      </c>
      <c r="BD52" s="2174">
        <f t="shared" ca="1" si="73"/>
        <v>0</v>
      </c>
      <c r="BE52" s="2167">
        <v>0</v>
      </c>
      <c r="BF52" s="2167">
        <v>0</v>
      </c>
      <c r="BG52" s="2167">
        <f t="shared" si="74"/>
        <v>0</v>
      </c>
      <c r="BH52" s="2167">
        <v>0</v>
      </c>
      <c r="BI52" s="2167">
        <f t="shared" si="75"/>
        <v>0</v>
      </c>
      <c r="BJ52" s="2167">
        <v>0</v>
      </c>
      <c r="BK52" s="2167">
        <v>0</v>
      </c>
      <c r="BL52" s="2167">
        <v>0</v>
      </c>
      <c r="BM52" s="2167">
        <f>-VLOOKUP($B52,RawData,BM$4,FALSE)*3.6</f>
        <v>0</v>
      </c>
      <c r="BN52" s="2167">
        <f t="shared" si="77"/>
        <v>0</v>
      </c>
      <c r="BO52" s="2170">
        <v>0</v>
      </c>
      <c r="BP52" s="2168">
        <f t="shared" ca="1" si="78"/>
        <v>0</v>
      </c>
      <c r="BQ52" s="648"/>
      <c r="CA52" s="555" t="s">
        <v>1176</v>
      </c>
      <c r="CB52" s="20" t="s">
        <v>4310</v>
      </c>
      <c r="CC52" s="20" t="s">
        <v>4311</v>
      </c>
      <c r="CD52" s="20" t="s">
        <v>4312</v>
      </c>
      <c r="CE52" s="20" t="s">
        <v>4313</v>
      </c>
      <c r="CF52" s="20" t="s">
        <v>4314</v>
      </c>
      <c r="CG52" s="20" t="s">
        <v>4315</v>
      </c>
      <c r="CH52" s="20" t="s">
        <v>4316</v>
      </c>
      <c r="CI52" s="20" t="s">
        <v>4317</v>
      </c>
      <c r="CJ52" s="20" t="s">
        <v>4318</v>
      </c>
      <c r="CK52" s="20" t="s">
        <v>4319</v>
      </c>
      <c r="CL52" s="20" t="s">
        <v>4320</v>
      </c>
      <c r="CM52" s="20" t="s">
        <v>4321</v>
      </c>
      <c r="CN52" s="20" t="s">
        <v>4322</v>
      </c>
      <c r="CO52" s="20" t="s">
        <v>4323</v>
      </c>
      <c r="CP52" s="20">
        <v>0</v>
      </c>
      <c r="CQ52" s="20" t="s">
        <v>4324</v>
      </c>
      <c r="CR52" s="20" t="s">
        <v>4325</v>
      </c>
      <c r="CS52" s="20" t="s">
        <v>4326</v>
      </c>
      <c r="CT52" s="20" t="s">
        <v>4327</v>
      </c>
      <c r="CU52" s="20" t="s">
        <v>4328</v>
      </c>
      <c r="CV52" s="20" t="s">
        <v>4329</v>
      </c>
      <c r="CW52" s="20" t="s">
        <v>4330</v>
      </c>
      <c r="CX52" s="20" t="s">
        <v>4331</v>
      </c>
      <c r="CY52" s="20" t="s">
        <v>4332</v>
      </c>
      <c r="CZ52" s="20" t="s">
        <v>4333</v>
      </c>
      <c r="DA52" s="20" t="s">
        <v>4334</v>
      </c>
      <c r="DB52" s="20" t="s">
        <v>4335</v>
      </c>
      <c r="DC52" s="20" t="s">
        <v>4336</v>
      </c>
      <c r="DD52" s="20" t="s">
        <v>4337</v>
      </c>
      <c r="DE52" s="20" t="s">
        <v>4338</v>
      </c>
      <c r="DF52" s="20" t="s">
        <v>4339</v>
      </c>
      <c r="DG52" s="20" t="s">
        <v>4340</v>
      </c>
      <c r="DH52" s="20" t="s">
        <v>4341</v>
      </c>
      <c r="DI52" s="20" t="s">
        <v>4342</v>
      </c>
      <c r="DJ52" s="20" t="s">
        <v>4343</v>
      </c>
      <c r="DK52" s="20" t="s">
        <v>4344</v>
      </c>
      <c r="DL52" s="20" t="s">
        <v>4345</v>
      </c>
      <c r="DM52" s="20" t="s">
        <v>4346</v>
      </c>
      <c r="DN52" s="20" t="s">
        <v>4347</v>
      </c>
      <c r="DO52" s="20" t="s">
        <v>4348</v>
      </c>
      <c r="DP52" s="20" t="s">
        <v>4349</v>
      </c>
      <c r="DQ52" s="20" t="s">
        <v>4350</v>
      </c>
      <c r="DR52" s="20" t="s">
        <v>4351</v>
      </c>
      <c r="DS52" s="20" t="s">
        <v>4352</v>
      </c>
      <c r="DT52" s="20" t="s">
        <v>4353</v>
      </c>
      <c r="DU52" s="20" t="s">
        <v>4354</v>
      </c>
      <c r="DV52" s="20" t="s">
        <v>4355</v>
      </c>
      <c r="DW52" s="20" t="s">
        <v>4356</v>
      </c>
      <c r="DX52" s="20" t="s">
        <v>4357</v>
      </c>
      <c r="DY52" s="20" t="s">
        <v>4358</v>
      </c>
      <c r="DZ52" s="20" t="s">
        <v>4359</v>
      </c>
      <c r="EA52" s="20" t="s">
        <v>4360</v>
      </c>
      <c r="EB52" s="20">
        <v>0</v>
      </c>
      <c r="EC52" s="20">
        <v>0</v>
      </c>
      <c r="ED52" s="20" t="s">
        <v>4361</v>
      </c>
      <c r="EE52" s="20">
        <v>0</v>
      </c>
      <c r="EF52" s="20" t="s">
        <v>4362</v>
      </c>
      <c r="EG52" s="20">
        <v>0</v>
      </c>
      <c r="EH52" s="20">
        <v>0</v>
      </c>
      <c r="EI52" s="20">
        <v>0</v>
      </c>
      <c r="EJ52" s="20" t="s">
        <v>4363</v>
      </c>
      <c r="EK52" s="20" t="s">
        <v>4364</v>
      </c>
      <c r="EL52" s="20">
        <v>0</v>
      </c>
    </row>
    <row r="53" spans="1:142" s="20" customFormat="1" ht="11.25" x14ac:dyDescent="0.2">
      <c r="A53" s="557" t="str">
        <f>ENONSPEC</f>
        <v>Non-specified (Energy)</v>
      </c>
      <c r="B53" s="230" t="s">
        <v>1180</v>
      </c>
      <c r="C53" s="230" t="s">
        <v>1653</v>
      </c>
      <c r="D53" s="221">
        <f t="shared" si="63"/>
        <v>16</v>
      </c>
      <c r="E53" s="2169">
        <f t="shared" ca="1" si="79"/>
        <v>0</v>
      </c>
      <c r="F53" s="2169">
        <f t="shared" ca="1" si="79"/>
        <v>0</v>
      </c>
      <c r="G53" s="2169">
        <f t="shared" ca="1" si="81"/>
        <v>0</v>
      </c>
      <c r="H53" s="2169">
        <f t="shared" ca="1" si="80"/>
        <v>0</v>
      </c>
      <c r="I53" s="2169">
        <f t="shared" ca="1" si="80"/>
        <v>0</v>
      </c>
      <c r="J53" s="2169">
        <f t="shared" ca="1" si="80"/>
        <v>0</v>
      </c>
      <c r="K53" s="2169">
        <f t="shared" ca="1" si="80"/>
        <v>0</v>
      </c>
      <c r="L53" s="2169">
        <f t="shared" ca="1" si="80"/>
        <v>0</v>
      </c>
      <c r="M53" s="2169">
        <f t="shared" ca="1" si="80"/>
        <v>0</v>
      </c>
      <c r="N53" s="2169">
        <f t="shared" ca="1" si="80"/>
        <v>0</v>
      </c>
      <c r="O53" s="2169">
        <f t="shared" ca="1" si="65"/>
        <v>0</v>
      </c>
      <c r="P53" s="2169">
        <f t="shared" ca="1" si="65"/>
        <v>0</v>
      </c>
      <c r="Q53" s="2169">
        <f t="shared" ca="1" si="65"/>
        <v>0</v>
      </c>
      <c r="R53" s="2169">
        <f t="shared" ca="1" si="65"/>
        <v>0</v>
      </c>
      <c r="S53" s="2170">
        <v>0</v>
      </c>
      <c r="T53" s="2169">
        <f t="shared" ca="1" si="66"/>
        <v>0</v>
      </c>
      <c r="U53" s="2169">
        <f t="shared" ca="1" si="66"/>
        <v>0</v>
      </c>
      <c r="V53" s="2169">
        <f t="shared" ca="1" si="66"/>
        <v>0</v>
      </c>
      <c r="W53" s="2161">
        <f t="shared" ca="1" si="82"/>
        <v>0</v>
      </c>
      <c r="X53" s="2161">
        <f t="shared" ca="1" si="82"/>
        <v>0</v>
      </c>
      <c r="Y53" s="2161">
        <f t="shared" ca="1" si="82"/>
        <v>0</v>
      </c>
      <c r="Z53" s="2161">
        <f t="shared" ca="1" si="82"/>
        <v>0</v>
      </c>
      <c r="AA53" s="2161">
        <f t="shared" ca="1" si="82"/>
        <v>0</v>
      </c>
      <c r="AB53" s="2161">
        <f t="shared" ca="1" si="82"/>
        <v>0</v>
      </c>
      <c r="AC53" s="2161">
        <f t="shared" ca="1" si="82"/>
        <v>0</v>
      </c>
      <c r="AD53" s="2161">
        <f t="shared" ca="1" si="82"/>
        <v>0</v>
      </c>
      <c r="AE53" s="2161">
        <f t="shared" ca="1" si="82"/>
        <v>0</v>
      </c>
      <c r="AF53" s="2161">
        <f t="shared" ca="1" si="82"/>
        <v>0</v>
      </c>
      <c r="AG53" s="2161">
        <f t="shared" ca="1" si="83"/>
        <v>0</v>
      </c>
      <c r="AH53" s="2161">
        <f t="shared" ca="1" si="83"/>
        <v>0</v>
      </c>
      <c r="AI53" s="2161">
        <f t="shared" ca="1" si="83"/>
        <v>0</v>
      </c>
      <c r="AJ53" s="2161">
        <f t="shared" ca="1" si="83"/>
        <v>0</v>
      </c>
      <c r="AK53" s="2161">
        <f t="shared" ca="1" si="83"/>
        <v>0</v>
      </c>
      <c r="AL53" s="2161">
        <f t="shared" ca="1" si="83"/>
        <v>0</v>
      </c>
      <c r="AM53" s="2161">
        <f t="shared" ca="1" si="83"/>
        <v>0</v>
      </c>
      <c r="AN53" s="2161">
        <f t="shared" ca="1" si="83"/>
        <v>0</v>
      </c>
      <c r="AO53" s="2161">
        <f t="shared" ca="1" si="83"/>
        <v>0</v>
      </c>
      <c r="AP53" s="2161">
        <f t="shared" ca="1" si="83"/>
        <v>0</v>
      </c>
      <c r="AQ53" s="2161">
        <f t="shared" ca="1" si="83"/>
        <v>0</v>
      </c>
      <c r="AR53" s="2171">
        <f t="shared" ca="1" si="83"/>
        <v>0</v>
      </c>
      <c r="AS53" s="2172">
        <f t="shared" ca="1" si="69"/>
        <v>0</v>
      </c>
      <c r="AT53" s="2173">
        <f t="shared" si="84"/>
        <v>0</v>
      </c>
      <c r="AU53" s="2173">
        <f t="shared" si="84"/>
        <v>0</v>
      </c>
      <c r="AV53" s="2173">
        <f t="shared" si="84"/>
        <v>0</v>
      </c>
      <c r="AW53" s="2173">
        <f t="shared" si="84"/>
        <v>0</v>
      </c>
      <c r="AX53" s="2173">
        <f t="shared" si="84"/>
        <v>0</v>
      </c>
      <c r="AY53" s="2173">
        <f t="shared" ca="1" si="71"/>
        <v>0</v>
      </c>
      <c r="AZ53" s="2173">
        <f t="shared" ca="1" si="71"/>
        <v>0</v>
      </c>
      <c r="BA53" s="2173">
        <f t="shared" ca="1" si="71"/>
        <v>0</v>
      </c>
      <c r="BB53" s="2173">
        <f t="shared" ca="1" si="71"/>
        <v>0</v>
      </c>
      <c r="BC53" s="2173">
        <f t="shared" si="72"/>
        <v>0</v>
      </c>
      <c r="BD53" s="2174">
        <f t="shared" ca="1" si="73"/>
        <v>0</v>
      </c>
      <c r="BE53" s="2167">
        <v>0</v>
      </c>
      <c r="BF53" s="2167">
        <v>0</v>
      </c>
      <c r="BG53" s="2167">
        <f t="shared" si="74"/>
        <v>0</v>
      </c>
      <c r="BH53" s="2167">
        <v>0</v>
      </c>
      <c r="BI53" s="2167">
        <f t="shared" si="75"/>
        <v>0</v>
      </c>
      <c r="BJ53" s="2167">
        <v>0</v>
      </c>
      <c r="BK53" s="2167">
        <v>0</v>
      </c>
      <c r="BL53" s="2167">
        <v>0</v>
      </c>
      <c r="BM53" s="2167">
        <f>-VLOOKUP($B53,RawData,BM$4,FALSE)*3.6</f>
        <v>0</v>
      </c>
      <c r="BN53" s="2167">
        <f t="shared" si="77"/>
        <v>0</v>
      </c>
      <c r="BO53" s="2170">
        <v>0</v>
      </c>
      <c r="BP53" s="2168">
        <f t="shared" ca="1" si="78"/>
        <v>0</v>
      </c>
      <c r="BQ53" s="648"/>
      <c r="CA53" s="555" t="s">
        <v>1180</v>
      </c>
      <c r="CB53" s="20" t="s">
        <v>4365</v>
      </c>
      <c r="CC53" s="20" t="s">
        <v>4366</v>
      </c>
      <c r="CD53" s="20" t="s">
        <v>4367</v>
      </c>
      <c r="CE53" s="20" t="s">
        <v>4368</v>
      </c>
      <c r="CF53" s="20" t="s">
        <v>4369</v>
      </c>
      <c r="CG53" s="20" t="s">
        <v>4370</v>
      </c>
      <c r="CH53" s="20" t="s">
        <v>4371</v>
      </c>
      <c r="CI53" s="20" t="s">
        <v>4372</v>
      </c>
      <c r="CJ53" s="20" t="s">
        <v>4373</v>
      </c>
      <c r="CK53" s="20" t="s">
        <v>4374</v>
      </c>
      <c r="CL53" s="20" t="s">
        <v>4375</v>
      </c>
      <c r="CM53" s="20" t="s">
        <v>4376</v>
      </c>
      <c r="CN53" s="20" t="s">
        <v>4377</v>
      </c>
      <c r="CO53" s="20" t="s">
        <v>4378</v>
      </c>
      <c r="CP53" s="20">
        <v>0</v>
      </c>
      <c r="CQ53" s="20" t="s">
        <v>4379</v>
      </c>
      <c r="CR53" s="20" t="s">
        <v>4380</v>
      </c>
      <c r="CS53" s="20" t="s">
        <v>4381</v>
      </c>
      <c r="CT53" s="20" t="s">
        <v>4382</v>
      </c>
      <c r="CU53" s="20" t="s">
        <v>4383</v>
      </c>
      <c r="CV53" s="20" t="s">
        <v>4384</v>
      </c>
      <c r="CW53" s="20" t="s">
        <v>4385</v>
      </c>
      <c r="CX53" s="20" t="s">
        <v>4386</v>
      </c>
      <c r="CY53" s="20" t="s">
        <v>4387</v>
      </c>
      <c r="CZ53" s="20" t="s">
        <v>4388</v>
      </c>
      <c r="DA53" s="20" t="s">
        <v>4389</v>
      </c>
      <c r="DB53" s="20" t="s">
        <v>4390</v>
      </c>
      <c r="DC53" s="20" t="s">
        <v>4391</v>
      </c>
      <c r="DD53" s="20" t="s">
        <v>4392</v>
      </c>
      <c r="DE53" s="20" t="s">
        <v>4393</v>
      </c>
      <c r="DF53" s="20" t="s">
        <v>4394</v>
      </c>
      <c r="DG53" s="20" t="s">
        <v>4395</v>
      </c>
      <c r="DH53" s="20" t="s">
        <v>4396</v>
      </c>
      <c r="DI53" s="20" t="s">
        <v>4397</v>
      </c>
      <c r="DJ53" s="20" t="s">
        <v>4398</v>
      </c>
      <c r="DK53" s="20" t="s">
        <v>4399</v>
      </c>
      <c r="DL53" s="20" t="s">
        <v>4400</v>
      </c>
      <c r="DM53" s="20" t="s">
        <v>4401</v>
      </c>
      <c r="DN53" s="20" t="s">
        <v>4402</v>
      </c>
      <c r="DO53" s="20" t="s">
        <v>4403</v>
      </c>
      <c r="DP53" s="20" t="s">
        <v>4404</v>
      </c>
      <c r="DQ53" s="20" t="s">
        <v>4405</v>
      </c>
      <c r="DR53" s="20" t="s">
        <v>4406</v>
      </c>
      <c r="DS53" s="20" t="s">
        <v>4407</v>
      </c>
      <c r="DT53" s="20" t="s">
        <v>4408</v>
      </c>
      <c r="DU53" s="20" t="s">
        <v>4409</v>
      </c>
      <c r="DV53" s="20" t="s">
        <v>4410</v>
      </c>
      <c r="DW53" s="20" t="s">
        <v>4411</v>
      </c>
      <c r="DX53" s="20" t="s">
        <v>4412</v>
      </c>
      <c r="DY53" s="20" t="s">
        <v>4413</v>
      </c>
      <c r="DZ53" s="20" t="s">
        <v>4414</v>
      </c>
      <c r="EA53" s="20" t="s">
        <v>4415</v>
      </c>
      <c r="EB53" s="20">
        <v>0</v>
      </c>
      <c r="EC53" s="20">
        <v>0</v>
      </c>
      <c r="ED53" s="20" t="s">
        <v>4416</v>
      </c>
      <c r="EE53" s="20">
        <v>0</v>
      </c>
      <c r="EF53" s="20" t="s">
        <v>4417</v>
      </c>
      <c r="EG53" s="20">
        <v>0</v>
      </c>
      <c r="EH53" s="20">
        <v>0</v>
      </c>
      <c r="EI53" s="20">
        <v>0</v>
      </c>
      <c r="EJ53" s="20" t="s">
        <v>4418</v>
      </c>
      <c r="EK53" s="20" t="s">
        <v>4419</v>
      </c>
      <c r="EL53" s="20">
        <v>0</v>
      </c>
    </row>
    <row r="54" spans="1:142" s="20" customFormat="1" ht="11.25" x14ac:dyDescent="0.2">
      <c r="A54" s="906" t="str">
        <f>DISTLOSS</f>
        <v>Losses</v>
      </c>
      <c r="B54" s="307" t="s">
        <v>1187</v>
      </c>
      <c r="C54" s="307" t="s">
        <v>1653</v>
      </c>
      <c r="D54" s="868">
        <f t="shared" si="63"/>
        <v>16</v>
      </c>
      <c r="E54" s="2179">
        <f t="shared" ca="1" si="79"/>
        <v>0</v>
      </c>
      <c r="F54" s="2179">
        <f t="shared" ca="1" si="79"/>
        <v>0</v>
      </c>
      <c r="G54" s="2179">
        <f t="shared" ca="1" si="81"/>
        <v>0</v>
      </c>
      <c r="H54" s="2179">
        <f t="shared" ca="1" si="80"/>
        <v>0</v>
      </c>
      <c r="I54" s="2179">
        <f t="shared" ca="1" si="80"/>
        <v>0</v>
      </c>
      <c r="J54" s="2179">
        <f t="shared" ca="1" si="80"/>
        <v>0</v>
      </c>
      <c r="K54" s="2179">
        <f t="shared" ca="1" si="80"/>
        <v>0</v>
      </c>
      <c r="L54" s="2179">
        <f t="shared" ca="1" si="80"/>
        <v>0</v>
      </c>
      <c r="M54" s="2179">
        <f t="shared" ca="1" si="80"/>
        <v>0</v>
      </c>
      <c r="N54" s="2179">
        <f t="shared" ca="1" si="80"/>
        <v>0</v>
      </c>
      <c r="O54" s="2179">
        <f ca="1">(-VLOOKUP($B54,RawData,O$4,FALSE)*VLOOKUP(O$3,ConversionFactors,2,FALSE))*1</f>
        <v>0</v>
      </c>
      <c r="P54" s="2179">
        <f ca="1">(-VLOOKUP($B54,RawData,P$4,FALSE)*VLOOKUP(P$3,ConversionFactors,2,FALSE))*1</f>
        <v>0</v>
      </c>
      <c r="Q54" s="2179">
        <f ca="1">(-VLOOKUP($B54,RawData,Q$4,FALSE)*VLOOKUP(Q$3,ConversionFactors,2,FALSE))*1</f>
        <v>0</v>
      </c>
      <c r="R54" s="2179">
        <f ca="1">(-VLOOKUP($B54,RawData,R$4,FALSE)*VLOOKUP(R$3,ConversionFactors,2,FALSE))*1</f>
        <v>0</v>
      </c>
      <c r="S54" s="2180">
        <v>0</v>
      </c>
      <c r="T54" s="2179">
        <f t="shared" ca="1" si="66"/>
        <v>0</v>
      </c>
      <c r="U54" s="2179">
        <f t="shared" ca="1" si="66"/>
        <v>0</v>
      </c>
      <c r="V54" s="2179">
        <f t="shared" ca="1" si="66"/>
        <v>0</v>
      </c>
      <c r="W54" s="2181">
        <f t="shared" ca="1" si="82"/>
        <v>0</v>
      </c>
      <c r="X54" s="2181">
        <f t="shared" ca="1" si="82"/>
        <v>0</v>
      </c>
      <c r="Y54" s="2181">
        <f t="shared" ca="1" si="82"/>
        <v>0</v>
      </c>
      <c r="Z54" s="2181">
        <f t="shared" ca="1" si="82"/>
        <v>0</v>
      </c>
      <c r="AA54" s="2181">
        <f t="shared" ca="1" si="82"/>
        <v>0</v>
      </c>
      <c r="AB54" s="2181">
        <f t="shared" ca="1" si="82"/>
        <v>0</v>
      </c>
      <c r="AC54" s="2181">
        <f t="shared" ca="1" si="82"/>
        <v>0</v>
      </c>
      <c r="AD54" s="2181">
        <f t="shared" ca="1" si="82"/>
        <v>0</v>
      </c>
      <c r="AE54" s="2181">
        <f t="shared" ca="1" si="82"/>
        <v>0</v>
      </c>
      <c r="AF54" s="2181">
        <f t="shared" ca="1" si="82"/>
        <v>0</v>
      </c>
      <c r="AG54" s="2181">
        <f t="shared" ca="1" si="83"/>
        <v>0</v>
      </c>
      <c r="AH54" s="2181">
        <f t="shared" ca="1" si="83"/>
        <v>0</v>
      </c>
      <c r="AI54" s="2181">
        <f t="shared" ca="1" si="83"/>
        <v>0</v>
      </c>
      <c r="AJ54" s="2181">
        <f t="shared" ca="1" si="83"/>
        <v>0</v>
      </c>
      <c r="AK54" s="2181">
        <f t="shared" ca="1" si="83"/>
        <v>0</v>
      </c>
      <c r="AL54" s="2181">
        <f t="shared" ca="1" si="83"/>
        <v>0</v>
      </c>
      <c r="AM54" s="2181">
        <f t="shared" ca="1" si="83"/>
        <v>0</v>
      </c>
      <c r="AN54" s="2181">
        <f t="shared" ca="1" si="83"/>
        <v>0</v>
      </c>
      <c r="AO54" s="2181">
        <f t="shared" ca="1" si="83"/>
        <v>0</v>
      </c>
      <c r="AP54" s="2181">
        <f t="shared" ca="1" si="83"/>
        <v>0</v>
      </c>
      <c r="AQ54" s="2181">
        <f t="shared" ca="1" si="83"/>
        <v>0</v>
      </c>
      <c r="AR54" s="2182">
        <f t="shared" ca="1" si="83"/>
        <v>0</v>
      </c>
      <c r="AS54" s="2183">
        <f t="shared" ca="1" si="69"/>
        <v>0</v>
      </c>
      <c r="AT54" s="2173">
        <f t="shared" si="84"/>
        <v>0</v>
      </c>
      <c r="AU54" s="2173">
        <f t="shared" si="84"/>
        <v>0</v>
      </c>
      <c r="AV54" s="2173">
        <f t="shared" si="84"/>
        <v>0</v>
      </c>
      <c r="AW54" s="2173">
        <f t="shared" si="84"/>
        <v>0</v>
      </c>
      <c r="AX54" s="2184">
        <f t="shared" si="84"/>
        <v>0</v>
      </c>
      <c r="AY54" s="2184">
        <f t="shared" ca="1" si="71"/>
        <v>0</v>
      </c>
      <c r="AZ54" s="2184">
        <f t="shared" ca="1" si="71"/>
        <v>0</v>
      </c>
      <c r="BA54" s="2184">
        <f t="shared" ca="1" si="71"/>
        <v>0</v>
      </c>
      <c r="BB54" s="2184">
        <f t="shared" ca="1" si="71"/>
        <v>0</v>
      </c>
      <c r="BC54" s="2184">
        <f t="shared" si="72"/>
        <v>0</v>
      </c>
      <c r="BD54" s="2185">
        <f t="shared" ca="1" si="73"/>
        <v>0</v>
      </c>
      <c r="BE54" s="2186">
        <v>0</v>
      </c>
      <c r="BF54" s="2186">
        <v>0</v>
      </c>
      <c r="BG54" s="2167">
        <f t="shared" si="74"/>
        <v>0</v>
      </c>
      <c r="BH54" s="2186">
        <v>0</v>
      </c>
      <c r="BI54" s="2167">
        <f t="shared" si="75"/>
        <v>0</v>
      </c>
      <c r="BJ54" s="2186">
        <v>0</v>
      </c>
      <c r="BK54" s="2186">
        <v>0</v>
      </c>
      <c r="BL54" s="2186">
        <v>0</v>
      </c>
      <c r="BM54" s="2167">
        <f>-VLOOKUP($B54,RawData,BM$4,FALSE)*3.6</f>
        <v>-27669.600000000002</v>
      </c>
      <c r="BN54" s="2167">
        <f t="shared" si="77"/>
        <v>0</v>
      </c>
      <c r="BO54" s="2180">
        <v>0</v>
      </c>
      <c r="BP54" s="2187">
        <f t="shared" ca="1" si="78"/>
        <v>-27669.600000000002</v>
      </c>
      <c r="BQ54" s="648"/>
      <c r="CA54" s="555" t="s">
        <v>1187</v>
      </c>
      <c r="CB54" s="20" t="s">
        <v>4420</v>
      </c>
      <c r="CC54" s="20" t="s">
        <v>4421</v>
      </c>
      <c r="CD54" s="20" t="s">
        <v>4422</v>
      </c>
      <c r="CE54" s="20" t="s">
        <v>4423</v>
      </c>
      <c r="CF54" s="20" t="s">
        <v>4424</v>
      </c>
      <c r="CG54" s="20" t="s">
        <v>4425</v>
      </c>
      <c r="CH54" s="20" t="s">
        <v>4426</v>
      </c>
      <c r="CI54" s="20" t="s">
        <v>4427</v>
      </c>
      <c r="CJ54" s="20" t="s">
        <v>4428</v>
      </c>
      <c r="CK54" s="20" t="s">
        <v>4429</v>
      </c>
      <c r="CL54" s="20" t="s">
        <v>4430</v>
      </c>
      <c r="CM54" s="20" t="s">
        <v>4431</v>
      </c>
      <c r="CN54" s="20" t="s">
        <v>4432</v>
      </c>
      <c r="CO54" s="20" t="s">
        <v>4433</v>
      </c>
      <c r="CP54" s="20">
        <v>0</v>
      </c>
      <c r="CQ54" s="20" t="s">
        <v>4434</v>
      </c>
      <c r="CR54" s="20" t="s">
        <v>4435</v>
      </c>
      <c r="CS54" s="20" t="s">
        <v>4436</v>
      </c>
      <c r="CT54" s="20" t="s">
        <v>4437</v>
      </c>
      <c r="CU54" s="20" t="s">
        <v>4438</v>
      </c>
      <c r="CV54" s="20" t="s">
        <v>4439</v>
      </c>
      <c r="CW54" s="20" t="s">
        <v>4440</v>
      </c>
      <c r="CX54" s="20" t="s">
        <v>4441</v>
      </c>
      <c r="CY54" s="20" t="s">
        <v>4442</v>
      </c>
      <c r="CZ54" s="20" t="s">
        <v>4443</v>
      </c>
      <c r="DA54" s="20" t="s">
        <v>4444</v>
      </c>
      <c r="DB54" s="20" t="s">
        <v>4445</v>
      </c>
      <c r="DC54" s="20" t="s">
        <v>4446</v>
      </c>
      <c r="DD54" s="20" t="s">
        <v>4447</v>
      </c>
      <c r="DE54" s="20" t="s">
        <v>4448</v>
      </c>
      <c r="DF54" s="20" t="s">
        <v>4449</v>
      </c>
      <c r="DG54" s="20" t="s">
        <v>4450</v>
      </c>
      <c r="DH54" s="20" t="s">
        <v>4451</v>
      </c>
      <c r="DI54" s="20" t="s">
        <v>4452</v>
      </c>
      <c r="DJ54" s="20" t="s">
        <v>4453</v>
      </c>
      <c r="DK54" s="20" t="s">
        <v>4454</v>
      </c>
      <c r="DL54" s="20" t="s">
        <v>4455</v>
      </c>
      <c r="DM54" s="20" t="s">
        <v>4456</v>
      </c>
      <c r="DN54" s="20" t="s">
        <v>4457</v>
      </c>
      <c r="DO54" s="20" t="s">
        <v>4458</v>
      </c>
      <c r="DP54" s="20" t="s">
        <v>4459</v>
      </c>
      <c r="DQ54" s="20" t="s">
        <v>4460</v>
      </c>
      <c r="DR54" s="20" t="s">
        <v>4461</v>
      </c>
      <c r="DS54" s="20" t="s">
        <v>4462</v>
      </c>
      <c r="DT54" s="20" t="s">
        <v>4463</v>
      </c>
      <c r="DU54" s="20" t="s">
        <v>4464</v>
      </c>
      <c r="DV54" s="20" t="s">
        <v>4465</v>
      </c>
      <c r="DW54" s="20" t="s">
        <v>4466</v>
      </c>
      <c r="DX54" s="20" t="s">
        <v>4467</v>
      </c>
      <c r="DY54" s="20" t="s">
        <v>4468</v>
      </c>
      <c r="DZ54" s="20" t="s">
        <v>4469</v>
      </c>
      <c r="EA54" s="20" t="s">
        <v>4470</v>
      </c>
      <c r="EB54" s="20">
        <v>0</v>
      </c>
      <c r="EC54" s="20">
        <v>0</v>
      </c>
      <c r="ED54" s="20" t="s">
        <v>4471</v>
      </c>
      <c r="EE54" s="20">
        <v>0</v>
      </c>
      <c r="EF54" s="20" t="s">
        <v>4472</v>
      </c>
      <c r="EG54" s="20">
        <v>0</v>
      </c>
      <c r="EH54" s="20">
        <v>0</v>
      </c>
      <c r="EI54" s="20">
        <v>0</v>
      </c>
      <c r="EJ54" s="20" t="s">
        <v>4473</v>
      </c>
      <c r="EK54" s="20" t="s">
        <v>4474</v>
      </c>
      <c r="EL54" s="20">
        <v>0</v>
      </c>
    </row>
    <row r="55" spans="1:142" s="259" customFormat="1" ht="11.25" x14ac:dyDescent="0.2">
      <c r="A55" s="553" t="str">
        <f>FINCONS</f>
        <v>Final consumption</v>
      </c>
      <c r="B55" s="554" t="s">
        <v>1196</v>
      </c>
      <c r="C55" s="877"/>
      <c r="D55" s="878"/>
      <c r="E55" s="2175">
        <f t="shared" ref="E55:R55" ca="1" si="85">SUM(E56,E70,E77,E83)</f>
        <v>64678.177628000005</v>
      </c>
      <c r="F55" s="2175">
        <f t="shared" ca="1" si="85"/>
        <v>0</v>
      </c>
      <c r="G55" s="2175">
        <f t="shared" ca="1" si="85"/>
        <v>464458.45914400008</v>
      </c>
      <c r="H55" s="2175">
        <f t="shared" ca="1" si="85"/>
        <v>0</v>
      </c>
      <c r="I55" s="2175">
        <f t="shared" ca="1" si="85"/>
        <v>0</v>
      </c>
      <c r="J55" s="2175">
        <f t="shared" ca="1" si="85"/>
        <v>0</v>
      </c>
      <c r="K55" s="2175">
        <f t="shared" ca="1" si="85"/>
        <v>4636.0105860000003</v>
      </c>
      <c r="L55" s="2175">
        <f t="shared" ca="1" si="85"/>
        <v>0</v>
      </c>
      <c r="M55" s="2175">
        <f t="shared" ca="1" si="85"/>
        <v>0</v>
      </c>
      <c r="N55" s="2175">
        <f t="shared" ca="1" si="85"/>
        <v>0</v>
      </c>
      <c r="O55" s="2175">
        <f t="shared" ca="1" si="85"/>
        <v>18506.7</v>
      </c>
      <c r="P55" s="2175">
        <f t="shared" ca="1" si="85"/>
        <v>4895.1000000000004</v>
      </c>
      <c r="Q55" s="2175">
        <f t="shared" ca="1" si="85"/>
        <v>11129</v>
      </c>
      <c r="R55" s="2175">
        <f t="shared" ca="1" si="85"/>
        <v>0</v>
      </c>
      <c r="S55" s="2175">
        <v>0</v>
      </c>
      <c r="T55" s="2175">
        <f t="shared" ref="T55:BD55" ca="1" si="86">SUM(T56,T70,T77,T83)</f>
        <v>0</v>
      </c>
      <c r="U55" s="2175">
        <f t="shared" ca="1" si="86"/>
        <v>0</v>
      </c>
      <c r="V55" s="2175">
        <f t="shared" ca="1" si="86"/>
        <v>0</v>
      </c>
      <c r="W55" s="2175">
        <f t="shared" ca="1" si="86"/>
        <v>0</v>
      </c>
      <c r="X55" s="2175">
        <f t="shared" ca="1" si="86"/>
        <v>0</v>
      </c>
      <c r="Y55" s="2175">
        <f t="shared" ca="1" si="86"/>
        <v>0</v>
      </c>
      <c r="Z55" s="2175">
        <f t="shared" ca="1" si="86"/>
        <v>0</v>
      </c>
      <c r="AA55" s="2175">
        <f t="shared" ca="1" si="86"/>
        <v>0</v>
      </c>
      <c r="AB55" s="2175">
        <f t="shared" ca="1" si="86"/>
        <v>0</v>
      </c>
      <c r="AC55" s="2175">
        <f t="shared" ca="1" si="86"/>
        <v>0</v>
      </c>
      <c r="AD55" s="2175">
        <f t="shared" ca="1" si="86"/>
        <v>4709.705261670696</v>
      </c>
      <c r="AE55" s="2175">
        <f t="shared" ca="1" si="86"/>
        <v>275046.09346030303</v>
      </c>
      <c r="AF55" s="2175">
        <f t="shared" ca="1" si="86"/>
        <v>15783.215758750001</v>
      </c>
      <c r="AG55" s="2175">
        <f t="shared" ca="1" si="86"/>
        <v>48658.680303094705</v>
      </c>
      <c r="AH55" s="2175">
        <f t="shared" ca="1" si="86"/>
        <v>0</v>
      </c>
      <c r="AI55" s="2175">
        <f t="shared" ca="1" si="86"/>
        <v>18457.156954012473</v>
      </c>
      <c r="AJ55" s="2175">
        <f t="shared" ca="1" si="86"/>
        <v>457621.83613519982</v>
      </c>
      <c r="AK55" s="2175">
        <f t="shared" ca="1" si="86"/>
        <v>23732.696245507592</v>
      </c>
      <c r="AL55" s="2175">
        <f t="shared" ca="1" si="86"/>
        <v>24.197912669999997</v>
      </c>
      <c r="AM55" s="2175">
        <f t="shared" ca="1" si="86"/>
        <v>2.3861893061914063</v>
      </c>
      <c r="AN55" s="2175">
        <f t="shared" ca="1" si="86"/>
        <v>13406.351601562501</v>
      </c>
      <c r="AO55" s="2175">
        <f t="shared" ca="1" si="86"/>
        <v>24290.111053710934</v>
      </c>
      <c r="AP55" s="2175">
        <f t="shared" ca="1" si="86"/>
        <v>13482.105611572266</v>
      </c>
      <c r="AQ55" s="2175">
        <f t="shared" ca="1" si="86"/>
        <v>0</v>
      </c>
      <c r="AR55" s="2176">
        <f t="shared" ca="1" si="86"/>
        <v>1076.3268873596191</v>
      </c>
      <c r="AS55" s="2177">
        <f t="shared" ca="1" si="86"/>
        <v>70891.136114501962</v>
      </c>
      <c r="AT55" s="2175">
        <f t="shared" si="86"/>
        <v>0</v>
      </c>
      <c r="AU55" s="2175">
        <f t="shared" si="86"/>
        <v>0</v>
      </c>
      <c r="AV55" s="2175">
        <f t="shared" si="86"/>
        <v>0</v>
      </c>
      <c r="AW55" s="2175">
        <f t="shared" si="86"/>
        <v>425422.29000000004</v>
      </c>
      <c r="AX55" s="2175">
        <f t="shared" si="86"/>
        <v>0</v>
      </c>
      <c r="AY55" s="2175">
        <f t="shared" ca="1" si="86"/>
        <v>0</v>
      </c>
      <c r="AZ55" s="2175">
        <f t="shared" ca="1" si="86"/>
        <v>0</v>
      </c>
      <c r="BA55" s="2175">
        <f t="shared" ca="1" si="86"/>
        <v>0</v>
      </c>
      <c r="BB55" s="2175">
        <f t="shared" ca="1" si="86"/>
        <v>0</v>
      </c>
      <c r="BC55" s="2175">
        <f t="shared" si="86"/>
        <v>0</v>
      </c>
      <c r="BD55" s="2176">
        <f t="shared" ca="1" si="86"/>
        <v>0</v>
      </c>
      <c r="BE55" s="2175">
        <v>0</v>
      </c>
      <c r="BF55" s="2175">
        <v>0</v>
      </c>
      <c r="BG55" s="2175">
        <f>SUM(BG56,BG70,BG77,BG83)</f>
        <v>0</v>
      </c>
      <c r="BH55" s="2175">
        <v>0</v>
      </c>
      <c r="BI55" s="2175">
        <f>SUM(BI56,BI70,BI77,BI83)</f>
        <v>0</v>
      </c>
      <c r="BJ55" s="2175">
        <v>0</v>
      </c>
      <c r="BK55" s="2175">
        <v>0</v>
      </c>
      <c r="BL55" s="2175">
        <f>SUM(BL56,BL70,BL77,BL83)</f>
        <v>0</v>
      </c>
      <c r="BM55" s="2175">
        <f>SUM(BM56,BM70,BM77,BM83)</f>
        <v>716484.8844000001</v>
      </c>
      <c r="BN55" s="2175">
        <f>SUM(BN56,BN70,BN77,BN83)</f>
        <v>0</v>
      </c>
      <c r="BO55" s="2175">
        <v>0</v>
      </c>
      <c r="BP55" s="2178">
        <f t="shared" ca="1" si="78"/>
        <v>2677392.6212472217</v>
      </c>
      <c r="BQ55" s="666"/>
      <c r="CA55" s="561" t="s">
        <v>1196</v>
      </c>
      <c r="CB55" s="20" t="s">
        <v>4475</v>
      </c>
      <c r="CC55" s="20" t="s">
        <v>4476</v>
      </c>
      <c r="CD55" s="20" t="s">
        <v>4477</v>
      </c>
      <c r="CE55" s="20" t="s">
        <v>4478</v>
      </c>
      <c r="CF55" s="20" t="s">
        <v>4479</v>
      </c>
      <c r="CG55" s="20" t="s">
        <v>4480</v>
      </c>
      <c r="CH55" s="20" t="s">
        <v>4481</v>
      </c>
      <c r="CI55" s="20" t="s">
        <v>4482</v>
      </c>
      <c r="CJ55" s="20" t="s">
        <v>4483</v>
      </c>
      <c r="CK55" s="20" t="s">
        <v>4484</v>
      </c>
      <c r="CL55" s="20" t="s">
        <v>4485</v>
      </c>
      <c r="CM55" s="20" t="s">
        <v>4486</v>
      </c>
      <c r="CN55" s="20" t="s">
        <v>4487</v>
      </c>
      <c r="CO55" s="20" t="s">
        <v>4488</v>
      </c>
      <c r="CP55" s="20">
        <v>0</v>
      </c>
      <c r="CQ55" s="20" t="s">
        <v>4489</v>
      </c>
      <c r="CR55" s="20" t="s">
        <v>4490</v>
      </c>
      <c r="CS55" s="20" t="s">
        <v>4491</v>
      </c>
      <c r="CT55" s="20" t="s">
        <v>4492</v>
      </c>
      <c r="CU55" s="20" t="s">
        <v>4493</v>
      </c>
      <c r="CV55" s="20" t="s">
        <v>4494</v>
      </c>
      <c r="CW55" s="20" t="s">
        <v>4495</v>
      </c>
      <c r="CX55" s="20" t="s">
        <v>4496</v>
      </c>
      <c r="CY55" s="20" t="s">
        <v>4497</v>
      </c>
      <c r="CZ55" s="20" t="s">
        <v>4498</v>
      </c>
      <c r="DA55" s="20" t="s">
        <v>4499</v>
      </c>
      <c r="DB55" s="20" t="s">
        <v>4500</v>
      </c>
      <c r="DC55" s="20" t="s">
        <v>4501</v>
      </c>
      <c r="DD55" s="20" t="s">
        <v>4502</v>
      </c>
      <c r="DE55" s="20" t="s">
        <v>4503</v>
      </c>
      <c r="DF55" s="20" t="s">
        <v>4504</v>
      </c>
      <c r="DG55" s="20" t="s">
        <v>4505</v>
      </c>
      <c r="DH55" s="20" t="s">
        <v>4506</v>
      </c>
      <c r="DI55" s="20" t="s">
        <v>4507</v>
      </c>
      <c r="DJ55" s="20" t="s">
        <v>4508</v>
      </c>
      <c r="DK55" s="20" t="s">
        <v>4509</v>
      </c>
      <c r="DL55" s="20" t="s">
        <v>4510</v>
      </c>
      <c r="DM55" s="20" t="s">
        <v>4511</v>
      </c>
      <c r="DN55" s="20" t="s">
        <v>4512</v>
      </c>
      <c r="DO55" s="20" t="s">
        <v>4513</v>
      </c>
      <c r="DP55" s="20" t="s">
        <v>4514</v>
      </c>
      <c r="DQ55" s="20" t="s">
        <v>4515</v>
      </c>
      <c r="DR55" s="20" t="s">
        <v>4516</v>
      </c>
      <c r="DS55" s="20" t="s">
        <v>4517</v>
      </c>
      <c r="DT55" s="20" t="s">
        <v>4518</v>
      </c>
      <c r="DU55" s="20" t="s">
        <v>4519</v>
      </c>
      <c r="DV55" s="20" t="s">
        <v>4520</v>
      </c>
      <c r="DW55" s="20" t="s">
        <v>4521</v>
      </c>
      <c r="DX55" s="20" t="s">
        <v>4522</v>
      </c>
      <c r="DY55" s="20" t="s">
        <v>4523</v>
      </c>
      <c r="DZ55" s="20" t="s">
        <v>4524</v>
      </c>
      <c r="EA55" s="20" t="s">
        <v>4525</v>
      </c>
      <c r="EB55" s="20">
        <v>0</v>
      </c>
      <c r="EC55" s="20">
        <v>0</v>
      </c>
      <c r="ED55" s="20" t="s">
        <v>4526</v>
      </c>
      <c r="EE55" s="20">
        <v>0</v>
      </c>
      <c r="EF55" s="20" t="s">
        <v>4527</v>
      </c>
      <c r="EG55" s="20">
        <v>0</v>
      </c>
      <c r="EH55" s="20">
        <v>0</v>
      </c>
      <c r="EI55" s="20" t="s">
        <v>4528</v>
      </c>
      <c r="EJ55" s="20" t="s">
        <v>4529</v>
      </c>
      <c r="EK55" s="20" t="s">
        <v>4530</v>
      </c>
      <c r="EL55" s="20">
        <v>0</v>
      </c>
    </row>
    <row r="56" spans="1:142" s="259" customFormat="1" ht="11.25" x14ac:dyDescent="0.2">
      <c r="A56" s="876" t="str">
        <f>TOTIND</f>
        <v>Industry</v>
      </c>
      <c r="B56" s="554" t="s">
        <v>1199</v>
      </c>
      <c r="C56" s="877"/>
      <c r="D56" s="878"/>
      <c r="E56" s="2175">
        <f t="shared" ref="E56:R56" ca="1" si="87">SUM(E57:E69)</f>
        <v>61737.800304000004</v>
      </c>
      <c r="F56" s="2175">
        <f t="shared" ca="1" si="87"/>
        <v>0</v>
      </c>
      <c r="G56" s="2175">
        <f t="shared" ca="1" si="87"/>
        <v>429444.97109600005</v>
      </c>
      <c r="H56" s="2175">
        <f t="shared" ca="1" si="87"/>
        <v>0</v>
      </c>
      <c r="I56" s="2175">
        <f t="shared" ca="1" si="87"/>
        <v>0</v>
      </c>
      <c r="J56" s="2175">
        <f t="shared" ca="1" si="87"/>
        <v>0</v>
      </c>
      <c r="K56" s="2175">
        <f t="shared" ca="1" si="87"/>
        <v>4636.0105860000003</v>
      </c>
      <c r="L56" s="2175">
        <f t="shared" ca="1" si="87"/>
        <v>0</v>
      </c>
      <c r="M56" s="2175">
        <f t="shared" ca="1" si="87"/>
        <v>0</v>
      </c>
      <c r="N56" s="2175">
        <f t="shared" ca="1" si="87"/>
        <v>0</v>
      </c>
      <c r="O56" s="2175">
        <f t="shared" ca="1" si="87"/>
        <v>18506.7</v>
      </c>
      <c r="P56" s="2175">
        <f t="shared" ca="1" si="87"/>
        <v>4895.1000000000004</v>
      </c>
      <c r="Q56" s="2175">
        <f t="shared" ca="1" si="87"/>
        <v>11129</v>
      </c>
      <c r="R56" s="2175">
        <f t="shared" ca="1" si="87"/>
        <v>0</v>
      </c>
      <c r="S56" s="2175">
        <v>0</v>
      </c>
      <c r="T56" s="2175">
        <f t="shared" ref="T56:BD56" ca="1" si="88">SUM(T57:T69)</f>
        <v>0</v>
      </c>
      <c r="U56" s="2175">
        <f t="shared" ca="1" si="88"/>
        <v>0</v>
      </c>
      <c r="V56" s="2175">
        <f t="shared" ca="1" si="88"/>
        <v>0</v>
      </c>
      <c r="W56" s="2175">
        <f t="shared" ca="1" si="88"/>
        <v>0</v>
      </c>
      <c r="X56" s="2175">
        <f t="shared" ca="1" si="88"/>
        <v>0</v>
      </c>
      <c r="Y56" s="2175">
        <f t="shared" ca="1" si="88"/>
        <v>0</v>
      </c>
      <c r="Z56" s="2175">
        <f t="shared" ca="1" si="88"/>
        <v>0</v>
      </c>
      <c r="AA56" s="2175">
        <f t="shared" ca="1" si="88"/>
        <v>0</v>
      </c>
      <c r="AB56" s="2175">
        <f t="shared" ca="1" si="88"/>
        <v>0</v>
      </c>
      <c r="AC56" s="2175">
        <f t="shared" ca="1" si="88"/>
        <v>0</v>
      </c>
      <c r="AD56" s="2175">
        <f t="shared" ca="1" si="88"/>
        <v>218.31471609375001</v>
      </c>
      <c r="AE56" s="2175">
        <f t="shared" ca="1" si="88"/>
        <v>4412.7062065635346</v>
      </c>
      <c r="AF56" s="2175">
        <f t="shared" ca="1" si="88"/>
        <v>0</v>
      </c>
      <c r="AG56" s="2175">
        <f t="shared" ca="1" si="88"/>
        <v>2.9561854332733151</v>
      </c>
      <c r="AH56" s="2175">
        <f t="shared" ca="1" si="88"/>
        <v>0</v>
      </c>
      <c r="AI56" s="2175">
        <f t="shared" ca="1" si="88"/>
        <v>565.38296442128421</v>
      </c>
      <c r="AJ56" s="2175">
        <f t="shared" ca="1" si="88"/>
        <v>61644.844764815665</v>
      </c>
      <c r="AK56" s="2175">
        <f t="shared" ca="1" si="88"/>
        <v>7836.9020118290391</v>
      </c>
      <c r="AL56" s="2175">
        <f t="shared" ca="1" si="88"/>
        <v>0</v>
      </c>
      <c r="AM56" s="2175">
        <f t="shared" ca="1" si="88"/>
        <v>0</v>
      </c>
      <c r="AN56" s="2175">
        <f t="shared" ca="1" si="88"/>
        <v>0</v>
      </c>
      <c r="AO56" s="2175">
        <f t="shared" ca="1" si="88"/>
        <v>0</v>
      </c>
      <c r="AP56" s="2175">
        <f t="shared" ca="1" si="88"/>
        <v>0</v>
      </c>
      <c r="AQ56" s="2175">
        <f t="shared" ca="1" si="88"/>
        <v>0</v>
      </c>
      <c r="AR56" s="2176">
        <f t="shared" ca="1" si="88"/>
        <v>0</v>
      </c>
      <c r="AS56" s="2177">
        <f t="shared" ca="1" si="88"/>
        <v>69571.799121093762</v>
      </c>
      <c r="AT56" s="2175">
        <f t="shared" si="88"/>
        <v>0</v>
      </c>
      <c r="AU56" s="2175">
        <f t="shared" si="88"/>
        <v>0</v>
      </c>
      <c r="AV56" s="2175">
        <f t="shared" si="88"/>
        <v>0</v>
      </c>
      <c r="AW56" s="2175">
        <f t="shared" si="88"/>
        <v>81176.2</v>
      </c>
      <c r="AX56" s="2175">
        <f t="shared" si="88"/>
        <v>0</v>
      </c>
      <c r="AY56" s="2175">
        <f t="shared" ca="1" si="88"/>
        <v>0</v>
      </c>
      <c r="AZ56" s="2175">
        <f t="shared" ca="1" si="88"/>
        <v>0</v>
      </c>
      <c r="BA56" s="2175">
        <f t="shared" ca="1" si="88"/>
        <v>0</v>
      </c>
      <c r="BB56" s="2175">
        <f t="shared" ca="1" si="88"/>
        <v>0</v>
      </c>
      <c r="BC56" s="2175">
        <f t="shared" si="88"/>
        <v>0</v>
      </c>
      <c r="BD56" s="2176">
        <f t="shared" ca="1" si="88"/>
        <v>0</v>
      </c>
      <c r="BE56" s="2175">
        <v>0</v>
      </c>
      <c r="BF56" s="2175">
        <v>0</v>
      </c>
      <c r="BG56" s="2175">
        <f>SUM(BG57:BG69)</f>
        <v>0</v>
      </c>
      <c r="BH56" s="2175">
        <v>0</v>
      </c>
      <c r="BI56" s="2175">
        <f>SUM(BI57:BI69)</f>
        <v>0</v>
      </c>
      <c r="BJ56" s="2175">
        <v>0</v>
      </c>
      <c r="BK56" s="2175">
        <v>0</v>
      </c>
      <c r="BL56" s="2175">
        <f>SUM(BL57:BL69)</f>
        <v>0</v>
      </c>
      <c r="BM56" s="2175">
        <f>SUM(BM57:BM69)</f>
        <v>372905.17920000001</v>
      </c>
      <c r="BN56" s="2175">
        <f>SUM(BN57:BN69)</f>
        <v>0</v>
      </c>
      <c r="BO56" s="2175">
        <v>0</v>
      </c>
      <c r="BP56" s="2178">
        <f t="shared" ca="1" si="78"/>
        <v>1128683.8671562504</v>
      </c>
      <c r="BQ56" s="666"/>
      <c r="CA56" s="561" t="s">
        <v>1199</v>
      </c>
      <c r="CB56" s="20" t="s">
        <v>4531</v>
      </c>
      <c r="CC56" s="20" t="s">
        <v>4532</v>
      </c>
      <c r="CD56" s="20" t="s">
        <v>4533</v>
      </c>
      <c r="CE56" s="20" t="s">
        <v>4534</v>
      </c>
      <c r="CF56" s="20" t="s">
        <v>4535</v>
      </c>
      <c r="CG56" s="20" t="s">
        <v>4536</v>
      </c>
      <c r="CH56" s="20" t="s">
        <v>4537</v>
      </c>
      <c r="CI56" s="20" t="s">
        <v>4538</v>
      </c>
      <c r="CJ56" s="20" t="s">
        <v>4539</v>
      </c>
      <c r="CK56" s="20" t="s">
        <v>4540</v>
      </c>
      <c r="CL56" s="20" t="s">
        <v>4541</v>
      </c>
      <c r="CM56" s="20" t="s">
        <v>4542</v>
      </c>
      <c r="CN56" s="20" t="s">
        <v>4543</v>
      </c>
      <c r="CO56" s="20" t="s">
        <v>4544</v>
      </c>
      <c r="CP56" s="20">
        <v>0</v>
      </c>
      <c r="CQ56" s="20" t="s">
        <v>4545</v>
      </c>
      <c r="CR56" s="20" t="s">
        <v>4546</v>
      </c>
      <c r="CS56" s="20" t="s">
        <v>4547</v>
      </c>
      <c r="CT56" s="20" t="s">
        <v>4548</v>
      </c>
      <c r="CU56" s="20" t="s">
        <v>4549</v>
      </c>
      <c r="CV56" s="20" t="s">
        <v>4550</v>
      </c>
      <c r="CW56" s="20" t="s">
        <v>4551</v>
      </c>
      <c r="CX56" s="20" t="s">
        <v>4552</v>
      </c>
      <c r="CY56" s="20" t="s">
        <v>4553</v>
      </c>
      <c r="CZ56" s="20" t="s">
        <v>4554</v>
      </c>
      <c r="DA56" s="20" t="s">
        <v>4555</v>
      </c>
      <c r="DB56" s="20" t="s">
        <v>4556</v>
      </c>
      <c r="DC56" s="20" t="s">
        <v>4557</v>
      </c>
      <c r="DD56" s="20" t="s">
        <v>4558</v>
      </c>
      <c r="DE56" s="20" t="s">
        <v>4559</v>
      </c>
      <c r="DF56" s="20" t="s">
        <v>4560</v>
      </c>
      <c r="DG56" s="20" t="s">
        <v>4561</v>
      </c>
      <c r="DH56" s="20" t="s">
        <v>4562</v>
      </c>
      <c r="DI56" s="20" t="s">
        <v>4563</v>
      </c>
      <c r="DJ56" s="20" t="s">
        <v>4564</v>
      </c>
      <c r="DK56" s="20" t="s">
        <v>4565</v>
      </c>
      <c r="DL56" s="20" t="s">
        <v>4566</v>
      </c>
      <c r="DM56" s="20" t="s">
        <v>4567</v>
      </c>
      <c r="DN56" s="20" t="s">
        <v>4568</v>
      </c>
      <c r="DO56" s="20" t="s">
        <v>4569</v>
      </c>
      <c r="DP56" s="20" t="s">
        <v>4570</v>
      </c>
      <c r="DQ56" s="20" t="s">
        <v>4571</v>
      </c>
      <c r="DR56" s="20" t="s">
        <v>4572</v>
      </c>
      <c r="DS56" s="20" t="s">
        <v>4573</v>
      </c>
      <c r="DT56" s="20" t="s">
        <v>4574</v>
      </c>
      <c r="DU56" s="20" t="s">
        <v>4575</v>
      </c>
      <c r="DV56" s="20" t="s">
        <v>4576</v>
      </c>
      <c r="DW56" s="20" t="s">
        <v>4577</v>
      </c>
      <c r="DX56" s="20" t="s">
        <v>4578</v>
      </c>
      <c r="DY56" s="20" t="s">
        <v>4579</v>
      </c>
      <c r="DZ56" s="20" t="s">
        <v>4580</v>
      </c>
      <c r="EA56" s="20" t="s">
        <v>4581</v>
      </c>
      <c r="EB56" s="20">
        <v>0</v>
      </c>
      <c r="EC56" s="20">
        <v>0</v>
      </c>
      <c r="ED56" s="20" t="s">
        <v>4582</v>
      </c>
      <c r="EE56" s="20">
        <v>0</v>
      </c>
      <c r="EF56" s="20" t="s">
        <v>4583</v>
      </c>
      <c r="EG56" s="20">
        <v>0</v>
      </c>
      <c r="EH56" s="20">
        <v>0</v>
      </c>
      <c r="EI56" s="20" t="s">
        <v>4584</v>
      </c>
      <c r="EJ56" s="20" t="s">
        <v>4585</v>
      </c>
      <c r="EK56" s="20" t="s">
        <v>4586</v>
      </c>
      <c r="EL56" s="20">
        <v>0</v>
      </c>
    </row>
    <row r="57" spans="1:142" s="20" customFormat="1" ht="11.25" x14ac:dyDescent="0.2">
      <c r="A57" s="904" t="str">
        <f>IRONSTL</f>
        <v>Iron and steel</v>
      </c>
      <c r="B57" s="230" t="s">
        <v>1206</v>
      </c>
      <c r="C57" s="230" t="s">
        <v>1652</v>
      </c>
      <c r="D57" s="221">
        <f t="shared" ref="D57:D69" si="89">MATCH(C57,CFHeadings,0)</f>
        <v>15</v>
      </c>
      <c r="E57" s="2169">
        <f t="shared" ref="E57:N69" ca="1" si="90">VLOOKUP($B57,RawData,E$4,FALSE)*VLOOKUP(E$3,ConversionFactors,$D57,FALSE)/1000</f>
        <v>85.847279999999998</v>
      </c>
      <c r="F57" s="2169">
        <f t="shared" ca="1" si="90"/>
        <v>0</v>
      </c>
      <c r="G57" s="2169">
        <f t="shared" ca="1" si="90"/>
        <v>83060.131972000003</v>
      </c>
      <c r="H57" s="2169">
        <f t="shared" ca="1" si="90"/>
        <v>0</v>
      </c>
      <c r="I57" s="2169">
        <f t="shared" ca="1" si="90"/>
        <v>0</v>
      </c>
      <c r="J57" s="2169">
        <f t="shared" ca="1" si="90"/>
        <v>0</v>
      </c>
      <c r="K57" s="2169">
        <f t="shared" ca="1" si="90"/>
        <v>4636.0105860000003</v>
      </c>
      <c r="L57" s="2169">
        <f t="shared" ca="1" si="90"/>
        <v>0</v>
      </c>
      <c r="M57" s="2169">
        <f t="shared" ca="1" si="90"/>
        <v>0</v>
      </c>
      <c r="N57" s="2169">
        <f t="shared" ca="1" si="90"/>
        <v>0</v>
      </c>
      <c r="O57" s="2169">
        <f t="shared" ref="O57:R69" ca="1" si="91">(VLOOKUP($B57,RawData,O$4,FALSE)*VLOOKUP(O$3,ConversionFactors,2,FALSE))*1</f>
        <v>5294.7</v>
      </c>
      <c r="P57" s="2169">
        <f t="shared" ca="1" si="91"/>
        <v>4895.1000000000004</v>
      </c>
      <c r="Q57" s="2169">
        <f t="shared" ca="1" si="91"/>
        <v>11129</v>
      </c>
      <c r="R57" s="2169">
        <f t="shared" ca="1" si="91"/>
        <v>0</v>
      </c>
      <c r="S57" s="2170">
        <v>0</v>
      </c>
      <c r="T57" s="2169">
        <f t="shared" ref="T57:V69" ca="1" si="92">VLOOKUP($B57,RawData,T$4,FALSE)*VLOOKUP(T$3,ConversionFactors,$D57,FALSE)/1000</f>
        <v>0</v>
      </c>
      <c r="U57" s="2169">
        <f t="shared" ca="1" si="92"/>
        <v>0</v>
      </c>
      <c r="V57" s="2169">
        <f t="shared" ca="1" si="92"/>
        <v>0</v>
      </c>
      <c r="W57" s="2161">
        <f t="shared" ref="W57:AB69" ca="1" si="93">VLOOKUP($B57,RawData,W$4,FALSE)*VLOOKUP(W$3,ConversionFactors,2,FALSE)/1000</f>
        <v>0</v>
      </c>
      <c r="X57" s="2161">
        <f t="shared" ca="1" si="93"/>
        <v>0</v>
      </c>
      <c r="Y57" s="2161">
        <f t="shared" ca="1" si="93"/>
        <v>0</v>
      </c>
      <c r="Z57" s="2161">
        <f t="shared" ca="1" si="93"/>
        <v>0</v>
      </c>
      <c r="AA57" s="2161">
        <f t="shared" ca="1" si="93"/>
        <v>0</v>
      </c>
      <c r="AB57" s="2161">
        <f t="shared" ref="AB57:AM57" ca="1" si="94">VLOOKUP($B57,RawData,AB$4,FALSE)*VLOOKUP(AB$3,ConversionFactors,2,FALSE)/1000000</f>
        <v>0</v>
      </c>
      <c r="AC57" s="2161">
        <f t="shared" ca="1" si="94"/>
        <v>0</v>
      </c>
      <c r="AD57" s="2161">
        <f t="shared" ca="1" si="94"/>
        <v>0</v>
      </c>
      <c r="AE57" s="2161">
        <f t="shared" ca="1" si="94"/>
        <v>0</v>
      </c>
      <c r="AF57" s="2161">
        <f t="shared" ca="1" si="94"/>
        <v>0</v>
      </c>
      <c r="AG57" s="2161">
        <f t="shared" ca="1" si="94"/>
        <v>2.0505218518981931</v>
      </c>
      <c r="AH57" s="2161">
        <f t="shared" ca="1" si="94"/>
        <v>0</v>
      </c>
      <c r="AI57" s="2161">
        <f t="shared" ca="1" si="94"/>
        <v>0</v>
      </c>
      <c r="AJ57" s="2161">
        <f t="shared" ca="1" si="94"/>
        <v>411.67040518457031</v>
      </c>
      <c r="AK57" s="2161">
        <f t="shared" ca="1" si="94"/>
        <v>159.8512953515625</v>
      </c>
      <c r="AL57" s="2161">
        <f t="shared" ca="1" si="94"/>
        <v>0</v>
      </c>
      <c r="AM57" s="2161">
        <f t="shared" ca="1" si="94"/>
        <v>0</v>
      </c>
      <c r="AN57" s="2161">
        <f t="shared" ref="AN57:AR69" ca="1" si="95">VLOOKUP($B57,RawData,AN$4,FALSE)*VLOOKUP(AN$3,ConversionFactors,2,FALSE)/1000</f>
        <v>0</v>
      </c>
      <c r="AO57" s="2161">
        <f t="shared" ca="1" si="95"/>
        <v>0</v>
      </c>
      <c r="AP57" s="2161">
        <f t="shared" ca="1" si="95"/>
        <v>0</v>
      </c>
      <c r="AQ57" s="2161">
        <f t="shared" ca="1" si="95"/>
        <v>0</v>
      </c>
      <c r="AR57" s="2171">
        <f t="shared" ca="1" si="95"/>
        <v>0</v>
      </c>
      <c r="AS57" s="2172">
        <f t="shared" ref="AS57:AS69" ca="1" si="96">VLOOKUP($B57,RawData,AS$4,FALSE)*VLOOKUP(AS$3,ConversionFactors,2,FALSE)*1</f>
        <v>9000.9</v>
      </c>
      <c r="AT57" s="2173">
        <f t="shared" ref="AT57:AX69" si="97">VLOOKUP($B57,RawData,AT$4,FALSE)*1</f>
        <v>0</v>
      </c>
      <c r="AU57" s="2173">
        <f t="shared" si="97"/>
        <v>0</v>
      </c>
      <c r="AV57" s="2173">
        <f t="shared" si="97"/>
        <v>0</v>
      </c>
      <c r="AW57" s="2173">
        <f t="shared" si="97"/>
        <v>0</v>
      </c>
      <c r="AX57" s="2173">
        <f t="shared" si="97"/>
        <v>0</v>
      </c>
      <c r="AY57" s="2173">
        <f t="shared" ref="AY57:BB69" ca="1" si="98">VLOOKUP($B57,RawData,AY$4,FALSE)*VLOOKUP(AY$3,ConversionFactors,2,FALSE)/1000</f>
        <v>0</v>
      </c>
      <c r="AZ57" s="2173">
        <f t="shared" ca="1" si="98"/>
        <v>0</v>
      </c>
      <c r="BA57" s="2173">
        <f t="shared" ca="1" si="98"/>
        <v>0</v>
      </c>
      <c r="BB57" s="2173">
        <f t="shared" ca="1" si="98"/>
        <v>0</v>
      </c>
      <c r="BC57" s="2173">
        <f t="shared" ref="BC57:BC69" si="99">VLOOKUP($B57,RawData,BC$4,FALSE)*1</f>
        <v>0</v>
      </c>
      <c r="BD57" s="2174">
        <f t="shared" ref="BD57:BD69" ca="1" si="100">VLOOKUP($B57,RawData,BD$4,FALSE)*VLOOKUP(BD$3,ConversionFactors,2,FALSE)/1000</f>
        <v>0</v>
      </c>
      <c r="BE57" s="2170">
        <v>0</v>
      </c>
      <c r="BF57" s="2170">
        <v>0</v>
      </c>
      <c r="BG57" s="2167">
        <f t="shared" ref="BG57:BG69" si="101">VLOOKUP($B57,RawData,BG$4,FALSE)*1</f>
        <v>0</v>
      </c>
      <c r="BH57" s="2170">
        <v>0</v>
      </c>
      <c r="BI57" s="2167">
        <f t="shared" ref="BI57:BI69" si="102">VLOOKUP($B57,RawData,BI$4,FALSE)*1</f>
        <v>0</v>
      </c>
      <c r="BJ57" s="2170">
        <v>0</v>
      </c>
      <c r="BK57" s="2170">
        <v>0</v>
      </c>
      <c r="BL57" s="2167">
        <v>0</v>
      </c>
      <c r="BM57" s="2167">
        <f t="shared" ref="BM57:BM69" si="103">VLOOKUP($B57,RawData,BM$4,FALSE)*3.6</f>
        <v>67765.535999999993</v>
      </c>
      <c r="BN57" s="2167">
        <f t="shared" ref="BN57:BN69" si="104">VLOOKUP($B57,RawData,BN$4,FALSE)*1</f>
        <v>0</v>
      </c>
      <c r="BO57" s="2170">
        <v>0</v>
      </c>
      <c r="BP57" s="2168">
        <f t="shared" ca="1" si="78"/>
        <v>186440.79806038801</v>
      </c>
      <c r="BQ57" s="648"/>
      <c r="CA57" s="555" t="s">
        <v>1206</v>
      </c>
      <c r="CB57" s="20" t="s">
        <v>4587</v>
      </c>
      <c r="CC57" s="20" t="s">
        <v>4588</v>
      </c>
      <c r="CD57" s="20" t="s">
        <v>4589</v>
      </c>
      <c r="CE57" s="20" t="s">
        <v>4590</v>
      </c>
      <c r="CF57" s="20" t="s">
        <v>4591</v>
      </c>
      <c r="CG57" s="20" t="s">
        <v>4592</v>
      </c>
      <c r="CH57" s="20" t="s">
        <v>4593</v>
      </c>
      <c r="CI57" s="20" t="s">
        <v>4594</v>
      </c>
      <c r="CJ57" s="20" t="s">
        <v>4595</v>
      </c>
      <c r="CK57" s="20" t="s">
        <v>4596</v>
      </c>
      <c r="CL57" s="20" t="s">
        <v>4597</v>
      </c>
      <c r="CM57" s="20" t="s">
        <v>4598</v>
      </c>
      <c r="CN57" s="20" t="s">
        <v>4599</v>
      </c>
      <c r="CO57" s="20" t="s">
        <v>4600</v>
      </c>
      <c r="CP57" s="20">
        <v>0</v>
      </c>
      <c r="CQ57" s="20" t="s">
        <v>4601</v>
      </c>
      <c r="CR57" s="20" t="s">
        <v>4602</v>
      </c>
      <c r="CS57" s="20" t="s">
        <v>4603</v>
      </c>
      <c r="CT57" s="20" t="s">
        <v>4604</v>
      </c>
      <c r="CU57" s="20" t="s">
        <v>4605</v>
      </c>
      <c r="CV57" s="20" t="s">
        <v>4606</v>
      </c>
      <c r="CW57" s="20" t="s">
        <v>4607</v>
      </c>
      <c r="CX57" s="20" t="s">
        <v>4608</v>
      </c>
      <c r="CY57" s="20" t="s">
        <v>4609</v>
      </c>
      <c r="CZ57" s="20" t="s">
        <v>4610</v>
      </c>
      <c r="DA57" s="20" t="s">
        <v>4611</v>
      </c>
      <c r="DB57" s="20" t="s">
        <v>4612</v>
      </c>
      <c r="DC57" s="20" t="s">
        <v>4613</v>
      </c>
      <c r="DD57" s="20" t="s">
        <v>4614</v>
      </c>
      <c r="DE57" s="20" t="s">
        <v>4615</v>
      </c>
      <c r="DF57" s="20" t="s">
        <v>4616</v>
      </c>
      <c r="DG57" s="20" t="s">
        <v>4617</v>
      </c>
      <c r="DH57" s="20" t="s">
        <v>4618</v>
      </c>
      <c r="DI57" s="20" t="s">
        <v>4619</v>
      </c>
      <c r="DJ57" s="20" t="s">
        <v>4620</v>
      </c>
      <c r="DK57" s="20" t="s">
        <v>4621</v>
      </c>
      <c r="DL57" s="20" t="s">
        <v>4622</v>
      </c>
      <c r="DM57" s="20" t="s">
        <v>4623</v>
      </c>
      <c r="DN57" s="20" t="s">
        <v>4624</v>
      </c>
      <c r="DO57" s="20" t="s">
        <v>4625</v>
      </c>
      <c r="DP57" s="20" t="s">
        <v>4626</v>
      </c>
      <c r="DQ57" s="20" t="s">
        <v>4627</v>
      </c>
      <c r="DR57" s="20" t="s">
        <v>4628</v>
      </c>
      <c r="DS57" s="20" t="s">
        <v>4629</v>
      </c>
      <c r="DT57" s="20" t="s">
        <v>4630</v>
      </c>
      <c r="DU57" s="20" t="s">
        <v>4631</v>
      </c>
      <c r="DV57" s="20" t="s">
        <v>4632</v>
      </c>
      <c r="DW57" s="20" t="s">
        <v>4633</v>
      </c>
      <c r="DX57" s="20" t="s">
        <v>4634</v>
      </c>
      <c r="DY57" s="20" t="s">
        <v>4635</v>
      </c>
      <c r="DZ57" s="20" t="s">
        <v>4636</v>
      </c>
      <c r="EA57" s="20" t="s">
        <v>4637</v>
      </c>
      <c r="EB57" s="20">
        <v>0</v>
      </c>
      <c r="EC57" s="20">
        <v>0</v>
      </c>
      <c r="ED57" s="20" t="s">
        <v>4638</v>
      </c>
      <c r="EE57" s="20">
        <v>0</v>
      </c>
      <c r="EF57" s="20" t="s">
        <v>4639</v>
      </c>
      <c r="EG57" s="20">
        <v>0</v>
      </c>
      <c r="EH57" s="20">
        <v>0</v>
      </c>
      <c r="EI57" s="20">
        <v>0</v>
      </c>
      <c r="EJ57" s="20" t="s">
        <v>4640</v>
      </c>
      <c r="EK57" s="20" t="s">
        <v>4641</v>
      </c>
      <c r="EL57" s="20">
        <v>0</v>
      </c>
    </row>
    <row r="58" spans="1:142" s="20" customFormat="1" ht="11.25" x14ac:dyDescent="0.2">
      <c r="A58" s="904" t="str">
        <f>CHEMICAL</f>
        <v>Chemical and petrochemical</v>
      </c>
      <c r="B58" s="230" t="s">
        <v>1213</v>
      </c>
      <c r="C58" s="230" t="s">
        <v>1652</v>
      </c>
      <c r="D58" s="221">
        <f t="shared" si="89"/>
        <v>15</v>
      </c>
      <c r="E58" s="2169">
        <f t="shared" ca="1" si="90"/>
        <v>0</v>
      </c>
      <c r="F58" s="2169">
        <f t="shared" ca="1" si="90"/>
        <v>0</v>
      </c>
      <c r="G58" s="2169">
        <f t="shared" ca="1" si="90"/>
        <v>43889.151940000003</v>
      </c>
      <c r="H58" s="2169">
        <f t="shared" ca="1" si="90"/>
        <v>0</v>
      </c>
      <c r="I58" s="2169">
        <f t="shared" ca="1" si="90"/>
        <v>0</v>
      </c>
      <c r="J58" s="2169">
        <f t="shared" ca="1" si="90"/>
        <v>0</v>
      </c>
      <c r="K58" s="2169">
        <f t="shared" ca="1" si="90"/>
        <v>0</v>
      </c>
      <c r="L58" s="2169">
        <f t="shared" ca="1" si="90"/>
        <v>0</v>
      </c>
      <c r="M58" s="2169">
        <f t="shared" ca="1" si="90"/>
        <v>0</v>
      </c>
      <c r="N58" s="2169">
        <f t="shared" ca="1" si="90"/>
        <v>0</v>
      </c>
      <c r="O58" s="2169">
        <f t="shared" ca="1" si="91"/>
        <v>4760.1000000000004</v>
      </c>
      <c r="P58" s="2169">
        <f t="shared" ca="1" si="91"/>
        <v>0</v>
      </c>
      <c r="Q58" s="2169">
        <f t="shared" ca="1" si="91"/>
        <v>0</v>
      </c>
      <c r="R58" s="2169">
        <f t="shared" ca="1" si="91"/>
        <v>0</v>
      </c>
      <c r="S58" s="2170">
        <v>0</v>
      </c>
      <c r="T58" s="2169">
        <f t="shared" ca="1" si="92"/>
        <v>0</v>
      </c>
      <c r="U58" s="2169">
        <f t="shared" ca="1" si="92"/>
        <v>0</v>
      </c>
      <c r="V58" s="2169">
        <f t="shared" ca="1" si="92"/>
        <v>0</v>
      </c>
      <c r="W58" s="2161">
        <f t="shared" ca="1" si="93"/>
        <v>0</v>
      </c>
      <c r="X58" s="2161">
        <f t="shared" ca="1" si="93"/>
        <v>0</v>
      </c>
      <c r="Y58" s="2161">
        <f t="shared" ca="1" si="93"/>
        <v>0</v>
      </c>
      <c r="Z58" s="2161">
        <f t="shared" ca="1" si="93"/>
        <v>0</v>
      </c>
      <c r="AA58" s="2161">
        <f t="shared" ca="1" si="93"/>
        <v>0</v>
      </c>
      <c r="AB58" s="2161">
        <f t="shared" ca="1" si="93"/>
        <v>0</v>
      </c>
      <c r="AC58" s="2161">
        <f t="shared" ref="AC58:AM69" ca="1" si="105">VLOOKUP($B58,RawData,AC$4,FALSE)*VLOOKUP(AC$3,ConversionFactors,2,FALSE)/1000000</f>
        <v>0</v>
      </c>
      <c r="AD58" s="2161">
        <f t="shared" ca="1" si="105"/>
        <v>0</v>
      </c>
      <c r="AE58" s="2161">
        <f t="shared" ca="1" si="105"/>
        <v>2.3190665205688479</v>
      </c>
      <c r="AF58" s="2161">
        <f t="shared" ca="1" si="105"/>
        <v>0</v>
      </c>
      <c r="AG58" s="2161">
        <f t="shared" ca="1" si="105"/>
        <v>0</v>
      </c>
      <c r="AH58" s="2161">
        <f t="shared" ca="1" si="105"/>
        <v>0</v>
      </c>
      <c r="AI58" s="2161">
        <f t="shared" ca="1" si="105"/>
        <v>1.9240421472702027</v>
      </c>
      <c r="AJ58" s="2161">
        <f t="shared" ca="1" si="105"/>
        <v>40.107211735595705</v>
      </c>
      <c r="AK58" s="2161">
        <f t="shared" ca="1" si="105"/>
        <v>41.937808756347657</v>
      </c>
      <c r="AL58" s="2161">
        <f t="shared" ca="1" si="105"/>
        <v>0</v>
      </c>
      <c r="AM58" s="2161">
        <f t="shared" ca="1" si="105"/>
        <v>0</v>
      </c>
      <c r="AN58" s="2161">
        <f t="shared" ca="1" si="95"/>
        <v>0</v>
      </c>
      <c r="AO58" s="2161">
        <f t="shared" ca="1" si="95"/>
        <v>0</v>
      </c>
      <c r="AP58" s="2161">
        <f t="shared" ca="1" si="95"/>
        <v>0</v>
      </c>
      <c r="AQ58" s="2161">
        <f t="shared" ca="1" si="95"/>
        <v>0</v>
      </c>
      <c r="AR58" s="2171">
        <f t="shared" ca="1" si="95"/>
        <v>0</v>
      </c>
      <c r="AS58" s="2172">
        <f t="shared" ca="1" si="96"/>
        <v>41859</v>
      </c>
      <c r="AT58" s="2173">
        <f t="shared" si="97"/>
        <v>0</v>
      </c>
      <c r="AU58" s="2173">
        <f t="shared" si="97"/>
        <v>0</v>
      </c>
      <c r="AV58" s="2173">
        <f t="shared" si="97"/>
        <v>0</v>
      </c>
      <c r="AW58" s="2173">
        <f t="shared" si="97"/>
        <v>0</v>
      </c>
      <c r="AX58" s="2173">
        <f t="shared" si="97"/>
        <v>0</v>
      </c>
      <c r="AY58" s="2173">
        <f t="shared" ca="1" si="98"/>
        <v>0</v>
      </c>
      <c r="AZ58" s="2173">
        <f t="shared" ca="1" si="98"/>
        <v>0</v>
      </c>
      <c r="BA58" s="2173">
        <f t="shared" ca="1" si="98"/>
        <v>0</v>
      </c>
      <c r="BB58" s="2173">
        <f t="shared" ca="1" si="98"/>
        <v>0</v>
      </c>
      <c r="BC58" s="2173">
        <f t="shared" si="99"/>
        <v>0</v>
      </c>
      <c r="BD58" s="2174">
        <f t="shared" ca="1" si="100"/>
        <v>0</v>
      </c>
      <c r="BE58" s="2170">
        <v>0</v>
      </c>
      <c r="BF58" s="2170">
        <v>0</v>
      </c>
      <c r="BG58" s="2167">
        <f t="shared" si="101"/>
        <v>0</v>
      </c>
      <c r="BH58" s="2170">
        <v>0</v>
      </c>
      <c r="BI58" s="2167">
        <f t="shared" si="102"/>
        <v>0</v>
      </c>
      <c r="BJ58" s="2170">
        <v>0</v>
      </c>
      <c r="BK58" s="2170">
        <v>0</v>
      </c>
      <c r="BL58" s="2167">
        <v>0</v>
      </c>
      <c r="BM58" s="2167">
        <f t="shared" si="103"/>
        <v>28702.126800000002</v>
      </c>
      <c r="BN58" s="2167">
        <f t="shared" si="104"/>
        <v>0</v>
      </c>
      <c r="BO58" s="2170">
        <v>0</v>
      </c>
      <c r="BP58" s="2168">
        <f t="shared" ca="1" si="78"/>
        <v>119296.66686915979</v>
      </c>
      <c r="BQ58" s="648"/>
      <c r="CA58" s="555" t="s">
        <v>1213</v>
      </c>
      <c r="CB58" s="20" t="s">
        <v>4642</v>
      </c>
      <c r="CC58" s="20" t="s">
        <v>4643</v>
      </c>
      <c r="CD58" s="20" t="s">
        <v>4644</v>
      </c>
      <c r="CE58" s="20" t="s">
        <v>4645</v>
      </c>
      <c r="CF58" s="20" t="s">
        <v>4646</v>
      </c>
      <c r="CG58" s="20" t="s">
        <v>4647</v>
      </c>
      <c r="CH58" s="20" t="s">
        <v>4648</v>
      </c>
      <c r="CI58" s="20" t="s">
        <v>4649</v>
      </c>
      <c r="CJ58" s="20" t="s">
        <v>4650</v>
      </c>
      <c r="CK58" s="20" t="s">
        <v>4651</v>
      </c>
      <c r="CL58" s="20" t="s">
        <v>4652</v>
      </c>
      <c r="CM58" s="20" t="s">
        <v>4653</v>
      </c>
      <c r="CN58" s="20" t="s">
        <v>4654</v>
      </c>
      <c r="CO58" s="20" t="s">
        <v>4655</v>
      </c>
      <c r="CP58" s="20">
        <v>0</v>
      </c>
      <c r="CQ58" s="20" t="s">
        <v>4656</v>
      </c>
      <c r="CR58" s="20" t="s">
        <v>4657</v>
      </c>
      <c r="CS58" s="20" t="s">
        <v>4658</v>
      </c>
      <c r="CT58" s="20" t="s">
        <v>4659</v>
      </c>
      <c r="CU58" s="20" t="s">
        <v>4660</v>
      </c>
      <c r="CV58" s="20" t="s">
        <v>4661</v>
      </c>
      <c r="CW58" s="20" t="s">
        <v>4662</v>
      </c>
      <c r="CX58" s="20" t="s">
        <v>4663</v>
      </c>
      <c r="CY58" s="20" t="s">
        <v>4664</v>
      </c>
      <c r="CZ58" s="20" t="s">
        <v>4665</v>
      </c>
      <c r="DA58" s="20" t="s">
        <v>4666</v>
      </c>
      <c r="DB58" s="20" t="s">
        <v>4667</v>
      </c>
      <c r="DC58" s="20" t="s">
        <v>4668</v>
      </c>
      <c r="DD58" s="20" t="s">
        <v>4669</v>
      </c>
      <c r="DE58" s="20" t="s">
        <v>4670</v>
      </c>
      <c r="DF58" s="20" t="s">
        <v>4671</v>
      </c>
      <c r="DG58" s="20" t="s">
        <v>4672</v>
      </c>
      <c r="DH58" s="20" t="s">
        <v>4673</v>
      </c>
      <c r="DI58" s="20" t="s">
        <v>4674</v>
      </c>
      <c r="DJ58" s="20" t="s">
        <v>4675</v>
      </c>
      <c r="DK58" s="20" t="s">
        <v>4676</v>
      </c>
      <c r="DL58" s="20" t="s">
        <v>4677</v>
      </c>
      <c r="DM58" s="20" t="s">
        <v>4678</v>
      </c>
      <c r="DN58" s="20" t="s">
        <v>4679</v>
      </c>
      <c r="DO58" s="20" t="s">
        <v>4680</v>
      </c>
      <c r="DP58" s="20" t="s">
        <v>4681</v>
      </c>
      <c r="DQ58" s="20" t="s">
        <v>4682</v>
      </c>
      <c r="DR58" s="20" t="s">
        <v>4683</v>
      </c>
      <c r="DS58" s="20" t="s">
        <v>4684</v>
      </c>
      <c r="DT58" s="20" t="s">
        <v>4685</v>
      </c>
      <c r="DU58" s="20" t="s">
        <v>4686</v>
      </c>
      <c r="DV58" s="20" t="s">
        <v>4687</v>
      </c>
      <c r="DW58" s="20" t="s">
        <v>4688</v>
      </c>
      <c r="DX58" s="20" t="s">
        <v>4689</v>
      </c>
      <c r="DY58" s="20" t="s">
        <v>4690</v>
      </c>
      <c r="DZ58" s="20" t="s">
        <v>4691</v>
      </c>
      <c r="EA58" s="20" t="s">
        <v>4692</v>
      </c>
      <c r="EB58" s="20">
        <v>0</v>
      </c>
      <c r="EC58" s="20">
        <v>0</v>
      </c>
      <c r="ED58" s="20" t="s">
        <v>4693</v>
      </c>
      <c r="EE58" s="20">
        <v>0</v>
      </c>
      <c r="EF58" s="20" t="s">
        <v>4694</v>
      </c>
      <c r="EG58" s="20">
        <v>0</v>
      </c>
      <c r="EH58" s="20">
        <v>0</v>
      </c>
      <c r="EI58" s="20">
        <v>0</v>
      </c>
      <c r="EJ58" s="20" t="s">
        <v>4695</v>
      </c>
      <c r="EK58" s="20" t="s">
        <v>4696</v>
      </c>
      <c r="EL58" s="20">
        <v>0</v>
      </c>
    </row>
    <row r="59" spans="1:142" s="20" customFormat="1" ht="11.25" x14ac:dyDescent="0.2">
      <c r="A59" s="904" t="str">
        <f>NONFERR</f>
        <v>Non-ferrous metals</v>
      </c>
      <c r="B59" s="230" t="s">
        <v>1220</v>
      </c>
      <c r="C59" s="230" t="s">
        <v>1652</v>
      </c>
      <c r="D59" s="221">
        <f t="shared" si="89"/>
        <v>15</v>
      </c>
      <c r="E59" s="2169">
        <f t="shared" ca="1" si="90"/>
        <v>61651.953024000002</v>
      </c>
      <c r="F59" s="2169">
        <f t="shared" ca="1" si="90"/>
        <v>0</v>
      </c>
      <c r="G59" s="2169">
        <f t="shared" ca="1" si="90"/>
        <v>586.299128</v>
      </c>
      <c r="H59" s="2169">
        <f t="shared" ca="1" si="90"/>
        <v>0</v>
      </c>
      <c r="I59" s="2169">
        <f t="shared" ca="1" si="90"/>
        <v>0</v>
      </c>
      <c r="J59" s="2169">
        <f t="shared" ca="1" si="90"/>
        <v>0</v>
      </c>
      <c r="K59" s="2169">
        <f t="shared" ca="1" si="90"/>
        <v>0</v>
      </c>
      <c r="L59" s="2169">
        <f t="shared" ca="1" si="90"/>
        <v>0</v>
      </c>
      <c r="M59" s="2169">
        <f t="shared" ca="1" si="90"/>
        <v>0</v>
      </c>
      <c r="N59" s="2169">
        <f t="shared" ca="1" si="90"/>
        <v>0</v>
      </c>
      <c r="O59" s="2169">
        <f t="shared" ca="1" si="91"/>
        <v>1551.6000000000001</v>
      </c>
      <c r="P59" s="2169">
        <f t="shared" ca="1" si="91"/>
        <v>0</v>
      </c>
      <c r="Q59" s="2169">
        <f t="shared" ca="1" si="91"/>
        <v>0</v>
      </c>
      <c r="R59" s="2169">
        <f t="shared" ca="1" si="91"/>
        <v>0</v>
      </c>
      <c r="S59" s="2170">
        <v>0</v>
      </c>
      <c r="T59" s="2169">
        <f t="shared" ca="1" si="92"/>
        <v>0</v>
      </c>
      <c r="U59" s="2169">
        <f t="shared" ca="1" si="92"/>
        <v>0</v>
      </c>
      <c r="V59" s="2169">
        <f t="shared" ca="1" si="92"/>
        <v>0</v>
      </c>
      <c r="W59" s="2161">
        <f t="shared" ca="1" si="93"/>
        <v>0</v>
      </c>
      <c r="X59" s="2161">
        <f t="shared" ca="1" si="93"/>
        <v>0</v>
      </c>
      <c r="Y59" s="2161">
        <f t="shared" ca="1" si="93"/>
        <v>0</v>
      </c>
      <c r="Z59" s="2161">
        <f t="shared" ca="1" si="93"/>
        <v>0</v>
      </c>
      <c r="AA59" s="2161">
        <f t="shared" ca="1" si="93"/>
        <v>0</v>
      </c>
      <c r="AB59" s="2161">
        <f t="shared" ca="1" si="93"/>
        <v>0</v>
      </c>
      <c r="AC59" s="2161">
        <f t="shared" ca="1" si="105"/>
        <v>0</v>
      </c>
      <c r="AD59" s="2161">
        <f t="shared" ca="1" si="105"/>
        <v>0</v>
      </c>
      <c r="AE59" s="2161">
        <f t="shared" ca="1" si="105"/>
        <v>0</v>
      </c>
      <c r="AF59" s="2161">
        <f t="shared" ca="1" si="105"/>
        <v>0</v>
      </c>
      <c r="AG59" s="2161">
        <f t="shared" ca="1" si="105"/>
        <v>0</v>
      </c>
      <c r="AH59" s="2161">
        <f t="shared" ca="1" si="105"/>
        <v>0</v>
      </c>
      <c r="AI59" s="2161">
        <f t="shared" ca="1" si="105"/>
        <v>0</v>
      </c>
      <c r="AJ59" s="2161">
        <f t="shared" ca="1" si="105"/>
        <v>0</v>
      </c>
      <c r="AK59" s="2161">
        <f t="shared" ca="1" si="105"/>
        <v>0</v>
      </c>
      <c r="AL59" s="2161">
        <f t="shared" ca="1" si="105"/>
        <v>0</v>
      </c>
      <c r="AM59" s="2161">
        <f t="shared" ca="1" si="105"/>
        <v>0</v>
      </c>
      <c r="AN59" s="2161">
        <f t="shared" ca="1" si="95"/>
        <v>0</v>
      </c>
      <c r="AO59" s="2161">
        <f t="shared" ca="1" si="95"/>
        <v>0</v>
      </c>
      <c r="AP59" s="2161">
        <f t="shared" ca="1" si="95"/>
        <v>0</v>
      </c>
      <c r="AQ59" s="2161">
        <f t="shared" ca="1" si="95"/>
        <v>0</v>
      </c>
      <c r="AR59" s="2171">
        <f t="shared" ca="1" si="95"/>
        <v>0</v>
      </c>
      <c r="AS59" s="2172">
        <f t="shared" ca="1" si="96"/>
        <v>347.40000000000003</v>
      </c>
      <c r="AT59" s="2173">
        <f t="shared" si="97"/>
        <v>0</v>
      </c>
      <c r="AU59" s="2173">
        <f t="shared" si="97"/>
        <v>0</v>
      </c>
      <c r="AV59" s="2173">
        <f t="shared" si="97"/>
        <v>0</v>
      </c>
      <c r="AW59" s="2173">
        <f t="shared" si="97"/>
        <v>0</v>
      </c>
      <c r="AX59" s="2173">
        <f t="shared" si="97"/>
        <v>0</v>
      </c>
      <c r="AY59" s="2173">
        <f t="shared" ca="1" si="98"/>
        <v>0</v>
      </c>
      <c r="AZ59" s="2173">
        <f t="shared" ca="1" si="98"/>
        <v>0</v>
      </c>
      <c r="BA59" s="2173">
        <f t="shared" ca="1" si="98"/>
        <v>0</v>
      </c>
      <c r="BB59" s="2173">
        <f t="shared" ca="1" si="98"/>
        <v>0</v>
      </c>
      <c r="BC59" s="2173">
        <f t="shared" si="99"/>
        <v>0</v>
      </c>
      <c r="BD59" s="2174">
        <f t="shared" ca="1" si="100"/>
        <v>0</v>
      </c>
      <c r="BE59" s="2170">
        <v>0</v>
      </c>
      <c r="BF59" s="2170">
        <v>0</v>
      </c>
      <c r="BG59" s="2167">
        <f t="shared" si="101"/>
        <v>0</v>
      </c>
      <c r="BH59" s="2170">
        <v>0</v>
      </c>
      <c r="BI59" s="2167">
        <f t="shared" si="102"/>
        <v>0</v>
      </c>
      <c r="BJ59" s="2170">
        <v>0</v>
      </c>
      <c r="BK59" s="2170">
        <v>0</v>
      </c>
      <c r="BL59" s="2167">
        <v>0</v>
      </c>
      <c r="BM59" s="2167">
        <f t="shared" si="103"/>
        <v>53784.424800000001</v>
      </c>
      <c r="BN59" s="2167">
        <f t="shared" si="104"/>
        <v>0</v>
      </c>
      <c r="BO59" s="2170">
        <v>0</v>
      </c>
      <c r="BP59" s="2168">
        <f t="shared" ca="1" si="78"/>
        <v>117921.67695200001</v>
      </c>
      <c r="BQ59" s="648"/>
      <c r="CA59" s="555" t="s">
        <v>1220</v>
      </c>
      <c r="CB59" s="20" t="s">
        <v>4697</v>
      </c>
      <c r="CC59" s="20" t="s">
        <v>4698</v>
      </c>
      <c r="CD59" s="20" t="s">
        <v>4699</v>
      </c>
      <c r="CE59" s="20" t="s">
        <v>4700</v>
      </c>
      <c r="CF59" s="20" t="s">
        <v>4701</v>
      </c>
      <c r="CG59" s="20" t="s">
        <v>4702</v>
      </c>
      <c r="CH59" s="20" t="s">
        <v>4703</v>
      </c>
      <c r="CI59" s="20" t="s">
        <v>4704</v>
      </c>
      <c r="CJ59" s="20" t="s">
        <v>4705</v>
      </c>
      <c r="CK59" s="20" t="s">
        <v>4706</v>
      </c>
      <c r="CL59" s="20" t="s">
        <v>4707</v>
      </c>
      <c r="CM59" s="20" t="s">
        <v>4708</v>
      </c>
      <c r="CN59" s="20" t="s">
        <v>4709</v>
      </c>
      <c r="CO59" s="20" t="s">
        <v>4710</v>
      </c>
      <c r="CP59" s="20">
        <v>0</v>
      </c>
      <c r="CQ59" s="20" t="s">
        <v>4711</v>
      </c>
      <c r="CR59" s="20" t="s">
        <v>4712</v>
      </c>
      <c r="CS59" s="20" t="s">
        <v>4713</v>
      </c>
      <c r="CT59" s="20" t="s">
        <v>4714</v>
      </c>
      <c r="CU59" s="20" t="s">
        <v>4715</v>
      </c>
      <c r="CV59" s="20" t="s">
        <v>4716</v>
      </c>
      <c r="CW59" s="20" t="s">
        <v>4717</v>
      </c>
      <c r="CX59" s="20" t="s">
        <v>4718</v>
      </c>
      <c r="CY59" s="20" t="s">
        <v>4719</v>
      </c>
      <c r="CZ59" s="20" t="s">
        <v>4720</v>
      </c>
      <c r="DA59" s="20" t="s">
        <v>4721</v>
      </c>
      <c r="DB59" s="20" t="s">
        <v>4722</v>
      </c>
      <c r="DC59" s="20" t="s">
        <v>4723</v>
      </c>
      <c r="DD59" s="20" t="s">
        <v>4724</v>
      </c>
      <c r="DE59" s="20" t="s">
        <v>4725</v>
      </c>
      <c r="DF59" s="20" t="s">
        <v>4726</v>
      </c>
      <c r="DG59" s="20" t="s">
        <v>4727</v>
      </c>
      <c r="DH59" s="20" t="s">
        <v>4728</v>
      </c>
      <c r="DI59" s="20" t="s">
        <v>4729</v>
      </c>
      <c r="DJ59" s="20" t="s">
        <v>4730</v>
      </c>
      <c r="DK59" s="20" t="s">
        <v>4731</v>
      </c>
      <c r="DL59" s="20" t="s">
        <v>4732</v>
      </c>
      <c r="DM59" s="20" t="s">
        <v>4733</v>
      </c>
      <c r="DN59" s="20" t="s">
        <v>4734</v>
      </c>
      <c r="DO59" s="20" t="s">
        <v>4735</v>
      </c>
      <c r="DP59" s="20" t="s">
        <v>4736</v>
      </c>
      <c r="DQ59" s="20" t="s">
        <v>4737</v>
      </c>
      <c r="DR59" s="20" t="s">
        <v>4738</v>
      </c>
      <c r="DS59" s="20" t="s">
        <v>4739</v>
      </c>
      <c r="DT59" s="20" t="s">
        <v>4740</v>
      </c>
      <c r="DU59" s="20" t="s">
        <v>4741</v>
      </c>
      <c r="DV59" s="20" t="s">
        <v>4742</v>
      </c>
      <c r="DW59" s="20" t="s">
        <v>4743</v>
      </c>
      <c r="DX59" s="20" t="s">
        <v>4744</v>
      </c>
      <c r="DY59" s="20" t="s">
        <v>4745</v>
      </c>
      <c r="DZ59" s="20" t="s">
        <v>4746</v>
      </c>
      <c r="EA59" s="20" t="s">
        <v>4747</v>
      </c>
      <c r="EB59" s="20">
        <v>0</v>
      </c>
      <c r="EC59" s="20">
        <v>0</v>
      </c>
      <c r="ED59" s="20" t="s">
        <v>4748</v>
      </c>
      <c r="EE59" s="20">
        <v>0</v>
      </c>
      <c r="EF59" s="20" t="s">
        <v>4749</v>
      </c>
      <c r="EG59" s="20">
        <v>0</v>
      </c>
      <c r="EH59" s="20">
        <v>0</v>
      </c>
      <c r="EI59" s="20">
        <v>0</v>
      </c>
      <c r="EJ59" s="20" t="s">
        <v>4750</v>
      </c>
      <c r="EK59" s="20" t="s">
        <v>4751</v>
      </c>
      <c r="EL59" s="20">
        <v>0</v>
      </c>
    </row>
    <row r="60" spans="1:142" s="20" customFormat="1" ht="11.25" x14ac:dyDescent="0.2">
      <c r="A60" s="904" t="str">
        <f>NONMET</f>
        <v>Non-metallic minerals</v>
      </c>
      <c r="B60" s="230" t="s">
        <v>1227</v>
      </c>
      <c r="C60" s="230" t="s">
        <v>1652</v>
      </c>
      <c r="D60" s="221">
        <f t="shared" si="89"/>
        <v>15</v>
      </c>
      <c r="E60" s="2169">
        <f t="shared" ca="1" si="90"/>
        <v>0</v>
      </c>
      <c r="F60" s="2169">
        <f t="shared" ca="1" si="90"/>
        <v>0</v>
      </c>
      <c r="G60" s="2169">
        <f t="shared" ca="1" si="90"/>
        <v>29316.414184000001</v>
      </c>
      <c r="H60" s="2169">
        <f t="shared" ca="1" si="90"/>
        <v>0</v>
      </c>
      <c r="I60" s="2169">
        <f t="shared" ca="1" si="90"/>
        <v>0</v>
      </c>
      <c r="J60" s="2169">
        <f t="shared" ca="1" si="90"/>
        <v>0</v>
      </c>
      <c r="K60" s="2169">
        <f t="shared" ca="1" si="90"/>
        <v>0</v>
      </c>
      <c r="L60" s="2169">
        <f t="shared" ca="1" si="90"/>
        <v>0</v>
      </c>
      <c r="M60" s="2169">
        <f t="shared" ca="1" si="90"/>
        <v>0</v>
      </c>
      <c r="N60" s="2169">
        <f t="shared" ca="1" si="90"/>
        <v>0</v>
      </c>
      <c r="O60" s="2169">
        <f t="shared" ca="1" si="91"/>
        <v>147.6</v>
      </c>
      <c r="P60" s="2169">
        <f t="shared" ca="1" si="91"/>
        <v>0</v>
      </c>
      <c r="Q60" s="2169">
        <f t="shared" ca="1" si="91"/>
        <v>0</v>
      </c>
      <c r="R60" s="2169">
        <f t="shared" ca="1" si="91"/>
        <v>0</v>
      </c>
      <c r="S60" s="2170">
        <v>0</v>
      </c>
      <c r="T60" s="2169">
        <f t="shared" ca="1" si="92"/>
        <v>0</v>
      </c>
      <c r="U60" s="2169">
        <f t="shared" ca="1" si="92"/>
        <v>0</v>
      </c>
      <c r="V60" s="2169">
        <f t="shared" ca="1" si="92"/>
        <v>0</v>
      </c>
      <c r="W60" s="2161">
        <f t="shared" ca="1" si="93"/>
        <v>0</v>
      </c>
      <c r="X60" s="2161">
        <f t="shared" ca="1" si="93"/>
        <v>0</v>
      </c>
      <c r="Y60" s="2161">
        <f t="shared" ca="1" si="93"/>
        <v>0</v>
      </c>
      <c r="Z60" s="2161">
        <f t="shared" ca="1" si="93"/>
        <v>0</v>
      </c>
      <c r="AA60" s="2161">
        <f t="shared" ca="1" si="93"/>
        <v>0</v>
      </c>
      <c r="AB60" s="2161">
        <f t="shared" ca="1" si="93"/>
        <v>0</v>
      </c>
      <c r="AC60" s="2161">
        <f t="shared" ca="1" si="105"/>
        <v>0</v>
      </c>
      <c r="AD60" s="2161">
        <f t="shared" ca="1" si="105"/>
        <v>0</v>
      </c>
      <c r="AE60" s="2161">
        <f t="shared" ca="1" si="105"/>
        <v>42.113219037231445</v>
      </c>
      <c r="AF60" s="2161">
        <f t="shared" ca="1" si="105"/>
        <v>0</v>
      </c>
      <c r="AG60" s="2161">
        <f t="shared" ca="1" si="105"/>
        <v>0</v>
      </c>
      <c r="AH60" s="2161">
        <f t="shared" ca="1" si="105"/>
        <v>0</v>
      </c>
      <c r="AI60" s="2161">
        <f t="shared" ca="1" si="105"/>
        <v>12.27210620690918</v>
      </c>
      <c r="AJ60" s="2161">
        <f t="shared" ca="1" si="105"/>
        <v>218.6982821743164</v>
      </c>
      <c r="AK60" s="2161">
        <f t="shared" ca="1" si="105"/>
        <v>107.2590197006836</v>
      </c>
      <c r="AL60" s="2161">
        <f t="shared" ca="1" si="105"/>
        <v>0</v>
      </c>
      <c r="AM60" s="2161">
        <f t="shared" ca="1" si="105"/>
        <v>0</v>
      </c>
      <c r="AN60" s="2161">
        <f t="shared" ca="1" si="95"/>
        <v>0</v>
      </c>
      <c r="AO60" s="2161">
        <f t="shared" ca="1" si="95"/>
        <v>0</v>
      </c>
      <c r="AP60" s="2161">
        <f t="shared" ca="1" si="95"/>
        <v>0</v>
      </c>
      <c r="AQ60" s="2161">
        <f t="shared" ca="1" si="95"/>
        <v>0</v>
      </c>
      <c r="AR60" s="2171">
        <f t="shared" ca="1" si="95"/>
        <v>0</v>
      </c>
      <c r="AS60" s="2172">
        <f t="shared" ca="1" si="96"/>
        <v>11222.99912109375</v>
      </c>
      <c r="AT60" s="2173">
        <f t="shared" si="97"/>
        <v>0</v>
      </c>
      <c r="AU60" s="2173">
        <f t="shared" si="97"/>
        <v>0</v>
      </c>
      <c r="AV60" s="2173">
        <f t="shared" si="97"/>
        <v>0</v>
      </c>
      <c r="AW60" s="2173">
        <f t="shared" si="97"/>
        <v>0</v>
      </c>
      <c r="AX60" s="2173">
        <f t="shared" si="97"/>
        <v>0</v>
      </c>
      <c r="AY60" s="2173">
        <f t="shared" ca="1" si="98"/>
        <v>0</v>
      </c>
      <c r="AZ60" s="2173">
        <f t="shared" ca="1" si="98"/>
        <v>0</v>
      </c>
      <c r="BA60" s="2173">
        <f t="shared" ca="1" si="98"/>
        <v>0</v>
      </c>
      <c r="BB60" s="2173">
        <f t="shared" ca="1" si="98"/>
        <v>0</v>
      </c>
      <c r="BC60" s="2173">
        <f t="shared" si="99"/>
        <v>0</v>
      </c>
      <c r="BD60" s="2174">
        <f t="shared" ca="1" si="100"/>
        <v>0</v>
      </c>
      <c r="BE60" s="2170">
        <v>0</v>
      </c>
      <c r="BF60" s="2170">
        <v>0</v>
      </c>
      <c r="BG60" s="2167">
        <f t="shared" si="101"/>
        <v>0</v>
      </c>
      <c r="BH60" s="2170">
        <v>0</v>
      </c>
      <c r="BI60" s="2167">
        <f t="shared" si="102"/>
        <v>0</v>
      </c>
      <c r="BJ60" s="2170">
        <v>0</v>
      </c>
      <c r="BK60" s="2170">
        <v>0</v>
      </c>
      <c r="BL60" s="2167">
        <v>0</v>
      </c>
      <c r="BM60" s="2167">
        <f t="shared" si="103"/>
        <v>7549.866</v>
      </c>
      <c r="BN60" s="2167">
        <f t="shared" si="104"/>
        <v>0</v>
      </c>
      <c r="BO60" s="2170">
        <v>0</v>
      </c>
      <c r="BP60" s="2168">
        <f t="shared" ca="1" si="78"/>
        <v>48617.221932212888</v>
      </c>
      <c r="BQ60" s="648"/>
      <c r="CA60" s="555" t="s">
        <v>1227</v>
      </c>
      <c r="CB60" s="20" t="s">
        <v>4752</v>
      </c>
      <c r="CC60" s="20" t="s">
        <v>4753</v>
      </c>
      <c r="CD60" s="20" t="s">
        <v>4754</v>
      </c>
      <c r="CE60" s="20" t="s">
        <v>4755</v>
      </c>
      <c r="CF60" s="20" t="s">
        <v>4756</v>
      </c>
      <c r="CG60" s="20" t="s">
        <v>4757</v>
      </c>
      <c r="CH60" s="20" t="s">
        <v>4758</v>
      </c>
      <c r="CI60" s="20" t="s">
        <v>4759</v>
      </c>
      <c r="CJ60" s="20" t="s">
        <v>4760</v>
      </c>
      <c r="CK60" s="20" t="s">
        <v>4761</v>
      </c>
      <c r="CL60" s="20" t="s">
        <v>4762</v>
      </c>
      <c r="CM60" s="20" t="s">
        <v>4763</v>
      </c>
      <c r="CN60" s="20" t="s">
        <v>4764</v>
      </c>
      <c r="CO60" s="20" t="s">
        <v>4765</v>
      </c>
      <c r="CP60" s="20">
        <v>0</v>
      </c>
      <c r="CQ60" s="20" t="s">
        <v>4766</v>
      </c>
      <c r="CR60" s="20" t="s">
        <v>4767</v>
      </c>
      <c r="CS60" s="20" t="s">
        <v>4768</v>
      </c>
      <c r="CT60" s="20" t="s">
        <v>4769</v>
      </c>
      <c r="CU60" s="20" t="s">
        <v>4770</v>
      </c>
      <c r="CV60" s="20" t="s">
        <v>4771</v>
      </c>
      <c r="CW60" s="20" t="s">
        <v>4772</v>
      </c>
      <c r="CX60" s="20" t="s">
        <v>4773</v>
      </c>
      <c r="CY60" s="20" t="s">
        <v>4774</v>
      </c>
      <c r="CZ60" s="20" t="s">
        <v>4775</v>
      </c>
      <c r="DA60" s="20" t="s">
        <v>4776</v>
      </c>
      <c r="DB60" s="20" t="s">
        <v>4777</v>
      </c>
      <c r="DC60" s="20" t="s">
        <v>4778</v>
      </c>
      <c r="DD60" s="20" t="s">
        <v>4779</v>
      </c>
      <c r="DE60" s="20" t="s">
        <v>4780</v>
      </c>
      <c r="DF60" s="20" t="s">
        <v>4781</v>
      </c>
      <c r="DG60" s="20" t="s">
        <v>4782</v>
      </c>
      <c r="DH60" s="20" t="s">
        <v>4783</v>
      </c>
      <c r="DI60" s="20" t="s">
        <v>4784</v>
      </c>
      <c r="DJ60" s="20" t="s">
        <v>4785</v>
      </c>
      <c r="DK60" s="20" t="s">
        <v>4786</v>
      </c>
      <c r="DL60" s="20" t="s">
        <v>4787</v>
      </c>
      <c r="DM60" s="20" t="s">
        <v>4788</v>
      </c>
      <c r="DN60" s="20" t="s">
        <v>4789</v>
      </c>
      <c r="DO60" s="20" t="s">
        <v>4790</v>
      </c>
      <c r="DP60" s="20" t="s">
        <v>4791</v>
      </c>
      <c r="DQ60" s="20" t="s">
        <v>4792</v>
      </c>
      <c r="DR60" s="20" t="s">
        <v>4793</v>
      </c>
      <c r="DS60" s="20" t="s">
        <v>4794</v>
      </c>
      <c r="DT60" s="20" t="s">
        <v>4795</v>
      </c>
      <c r="DU60" s="20" t="s">
        <v>4796</v>
      </c>
      <c r="DV60" s="20" t="s">
        <v>4797</v>
      </c>
      <c r="DW60" s="20" t="s">
        <v>4798</v>
      </c>
      <c r="DX60" s="20" t="s">
        <v>4799</v>
      </c>
      <c r="DY60" s="20" t="s">
        <v>4800</v>
      </c>
      <c r="DZ60" s="20" t="s">
        <v>4801</v>
      </c>
      <c r="EA60" s="20" t="s">
        <v>4802</v>
      </c>
      <c r="EB60" s="20">
        <v>0</v>
      </c>
      <c r="EC60" s="20">
        <v>0</v>
      </c>
      <c r="ED60" s="20" t="s">
        <v>4803</v>
      </c>
      <c r="EE60" s="20">
        <v>0</v>
      </c>
      <c r="EF60" s="20" t="s">
        <v>4804</v>
      </c>
      <c r="EG60" s="20">
        <v>0</v>
      </c>
      <c r="EH60" s="20">
        <v>0</v>
      </c>
      <c r="EI60" s="20">
        <v>0</v>
      </c>
      <c r="EJ60" s="20" t="s">
        <v>4805</v>
      </c>
      <c r="EK60" s="20" t="s">
        <v>4806</v>
      </c>
      <c r="EL60" s="20">
        <v>0</v>
      </c>
    </row>
    <row r="61" spans="1:142" s="20" customFormat="1" ht="11.25" x14ac:dyDescent="0.2">
      <c r="A61" s="904" t="str">
        <f>TRANSEQ</f>
        <v>Transport equipment</v>
      </c>
      <c r="B61" s="230" t="s">
        <v>1234</v>
      </c>
      <c r="C61" s="230" t="s">
        <v>1652</v>
      </c>
      <c r="D61" s="221">
        <f t="shared" si="89"/>
        <v>15</v>
      </c>
      <c r="E61" s="2169">
        <f t="shared" ca="1" si="90"/>
        <v>0</v>
      </c>
      <c r="F61" s="2169">
        <f t="shared" ca="1" si="90"/>
        <v>0</v>
      </c>
      <c r="G61" s="2169">
        <f t="shared" ca="1" si="90"/>
        <v>0</v>
      </c>
      <c r="H61" s="2169">
        <f t="shared" ca="1" si="90"/>
        <v>0</v>
      </c>
      <c r="I61" s="2169">
        <f t="shared" ca="1" si="90"/>
        <v>0</v>
      </c>
      <c r="J61" s="2169">
        <f t="shared" ca="1" si="90"/>
        <v>0</v>
      </c>
      <c r="K61" s="2169">
        <f t="shared" ca="1" si="90"/>
        <v>0</v>
      </c>
      <c r="L61" s="2169">
        <f t="shared" ca="1" si="90"/>
        <v>0</v>
      </c>
      <c r="M61" s="2169">
        <f t="shared" ca="1" si="90"/>
        <v>0</v>
      </c>
      <c r="N61" s="2169">
        <f t="shared" ca="1" si="90"/>
        <v>0</v>
      </c>
      <c r="O61" s="2169">
        <f t="shared" ca="1" si="91"/>
        <v>0</v>
      </c>
      <c r="P61" s="2169">
        <f t="shared" ca="1" si="91"/>
        <v>0</v>
      </c>
      <c r="Q61" s="2169">
        <f t="shared" ca="1" si="91"/>
        <v>0</v>
      </c>
      <c r="R61" s="2169">
        <f t="shared" ca="1" si="91"/>
        <v>0</v>
      </c>
      <c r="S61" s="2170">
        <v>0</v>
      </c>
      <c r="T61" s="2169">
        <f t="shared" ca="1" si="92"/>
        <v>0</v>
      </c>
      <c r="U61" s="2169">
        <f t="shared" ca="1" si="92"/>
        <v>0</v>
      </c>
      <c r="V61" s="2169">
        <f t="shared" ca="1" si="92"/>
        <v>0</v>
      </c>
      <c r="W61" s="2161">
        <f t="shared" ca="1" si="93"/>
        <v>0</v>
      </c>
      <c r="X61" s="2161">
        <f t="shared" ca="1" si="93"/>
        <v>0</v>
      </c>
      <c r="Y61" s="2161">
        <f t="shared" ca="1" si="93"/>
        <v>0</v>
      </c>
      <c r="Z61" s="2161">
        <f t="shared" ca="1" si="93"/>
        <v>0</v>
      </c>
      <c r="AA61" s="2161">
        <f t="shared" ca="1" si="93"/>
        <v>0</v>
      </c>
      <c r="AB61" s="2161">
        <f t="shared" ca="1" si="93"/>
        <v>0</v>
      </c>
      <c r="AC61" s="2161">
        <f t="shared" ca="1" si="105"/>
        <v>0</v>
      </c>
      <c r="AD61" s="2161">
        <f t="shared" ca="1" si="105"/>
        <v>0</v>
      </c>
      <c r="AE61" s="2161">
        <f t="shared" ca="1" si="105"/>
        <v>108.12153930029297</v>
      </c>
      <c r="AF61" s="2161">
        <f t="shared" ca="1" si="105"/>
        <v>0</v>
      </c>
      <c r="AG61" s="2161">
        <f t="shared" ca="1" si="105"/>
        <v>0</v>
      </c>
      <c r="AH61" s="2161">
        <f t="shared" ca="1" si="105"/>
        <v>0</v>
      </c>
      <c r="AI61" s="2161">
        <f t="shared" ca="1" si="105"/>
        <v>14.049030169555664</v>
      </c>
      <c r="AJ61" s="2161">
        <f t="shared" ca="1" si="105"/>
        <v>84.564730193115238</v>
      </c>
      <c r="AK61" s="2161">
        <f t="shared" ca="1" si="105"/>
        <v>6.5130545028076172</v>
      </c>
      <c r="AL61" s="2161">
        <f t="shared" ca="1" si="105"/>
        <v>0</v>
      </c>
      <c r="AM61" s="2161">
        <f t="shared" ca="1" si="105"/>
        <v>0</v>
      </c>
      <c r="AN61" s="2161">
        <f t="shared" ca="1" si="95"/>
        <v>0</v>
      </c>
      <c r="AO61" s="2161">
        <f t="shared" ca="1" si="95"/>
        <v>0</v>
      </c>
      <c r="AP61" s="2161">
        <f t="shared" ca="1" si="95"/>
        <v>0</v>
      </c>
      <c r="AQ61" s="2161">
        <f t="shared" ca="1" si="95"/>
        <v>0</v>
      </c>
      <c r="AR61" s="2171">
        <f t="shared" ca="1" si="95"/>
        <v>0</v>
      </c>
      <c r="AS61" s="2172">
        <f t="shared" ca="1" si="96"/>
        <v>460.8</v>
      </c>
      <c r="AT61" s="2173">
        <f t="shared" si="97"/>
        <v>0</v>
      </c>
      <c r="AU61" s="2173">
        <f t="shared" si="97"/>
        <v>0</v>
      </c>
      <c r="AV61" s="2173">
        <f t="shared" si="97"/>
        <v>0</v>
      </c>
      <c r="AW61" s="2173">
        <f t="shared" si="97"/>
        <v>0</v>
      </c>
      <c r="AX61" s="2173">
        <f t="shared" si="97"/>
        <v>0</v>
      </c>
      <c r="AY61" s="2173">
        <f t="shared" ca="1" si="98"/>
        <v>0</v>
      </c>
      <c r="AZ61" s="2173">
        <f t="shared" ca="1" si="98"/>
        <v>0</v>
      </c>
      <c r="BA61" s="2173">
        <f t="shared" ca="1" si="98"/>
        <v>0</v>
      </c>
      <c r="BB61" s="2173">
        <f t="shared" ca="1" si="98"/>
        <v>0</v>
      </c>
      <c r="BC61" s="2173">
        <f t="shared" si="99"/>
        <v>0</v>
      </c>
      <c r="BD61" s="2174">
        <f t="shared" ca="1" si="100"/>
        <v>0</v>
      </c>
      <c r="BE61" s="2170">
        <v>0</v>
      </c>
      <c r="BF61" s="2170">
        <v>0</v>
      </c>
      <c r="BG61" s="2167">
        <f t="shared" si="101"/>
        <v>0</v>
      </c>
      <c r="BH61" s="2170">
        <v>0</v>
      </c>
      <c r="BI61" s="2167">
        <f t="shared" si="102"/>
        <v>0</v>
      </c>
      <c r="BJ61" s="2170">
        <v>0</v>
      </c>
      <c r="BK61" s="2170">
        <v>0</v>
      </c>
      <c r="BL61" s="2167">
        <v>0</v>
      </c>
      <c r="BM61" s="2167">
        <f t="shared" si="103"/>
        <v>200.7792</v>
      </c>
      <c r="BN61" s="2167">
        <f t="shared" si="104"/>
        <v>0</v>
      </c>
      <c r="BO61" s="2170">
        <v>0</v>
      </c>
      <c r="BP61" s="2168">
        <f t="shared" ca="1" si="78"/>
        <v>874.82755416577152</v>
      </c>
      <c r="BQ61" s="648"/>
      <c r="CA61" s="555" t="s">
        <v>1234</v>
      </c>
      <c r="CB61" s="20" t="s">
        <v>4807</v>
      </c>
      <c r="CC61" s="20" t="s">
        <v>4808</v>
      </c>
      <c r="CD61" s="20" t="s">
        <v>4809</v>
      </c>
      <c r="CE61" s="20" t="s">
        <v>4810</v>
      </c>
      <c r="CF61" s="20" t="s">
        <v>4811</v>
      </c>
      <c r="CG61" s="20" t="s">
        <v>4812</v>
      </c>
      <c r="CH61" s="20" t="s">
        <v>4813</v>
      </c>
      <c r="CI61" s="20" t="s">
        <v>4814</v>
      </c>
      <c r="CJ61" s="20" t="s">
        <v>4815</v>
      </c>
      <c r="CK61" s="20" t="s">
        <v>4816</v>
      </c>
      <c r="CL61" s="20" t="s">
        <v>4817</v>
      </c>
      <c r="CM61" s="20" t="s">
        <v>4818</v>
      </c>
      <c r="CN61" s="20" t="s">
        <v>4819</v>
      </c>
      <c r="CO61" s="20" t="s">
        <v>4820</v>
      </c>
      <c r="CP61" s="20">
        <v>0</v>
      </c>
      <c r="CQ61" s="20" t="s">
        <v>4821</v>
      </c>
      <c r="CR61" s="20" t="s">
        <v>4822</v>
      </c>
      <c r="CS61" s="20" t="s">
        <v>4823</v>
      </c>
      <c r="CT61" s="20" t="s">
        <v>4824</v>
      </c>
      <c r="CU61" s="20" t="s">
        <v>4825</v>
      </c>
      <c r="CV61" s="20" t="s">
        <v>4826</v>
      </c>
      <c r="CW61" s="20" t="s">
        <v>4827</v>
      </c>
      <c r="CX61" s="20" t="s">
        <v>4828</v>
      </c>
      <c r="CY61" s="20" t="s">
        <v>4829</v>
      </c>
      <c r="CZ61" s="20" t="s">
        <v>4830</v>
      </c>
      <c r="DA61" s="20" t="s">
        <v>4831</v>
      </c>
      <c r="DB61" s="20" t="s">
        <v>4832</v>
      </c>
      <c r="DC61" s="20" t="s">
        <v>4833</v>
      </c>
      <c r="DD61" s="20" t="s">
        <v>4834</v>
      </c>
      <c r="DE61" s="20" t="s">
        <v>4835</v>
      </c>
      <c r="DF61" s="20" t="s">
        <v>4836</v>
      </c>
      <c r="DG61" s="20" t="s">
        <v>4837</v>
      </c>
      <c r="DH61" s="20" t="s">
        <v>4838</v>
      </c>
      <c r="DI61" s="20" t="s">
        <v>4839</v>
      </c>
      <c r="DJ61" s="20" t="s">
        <v>4840</v>
      </c>
      <c r="DK61" s="20" t="s">
        <v>4841</v>
      </c>
      <c r="DL61" s="20" t="s">
        <v>4842</v>
      </c>
      <c r="DM61" s="20" t="s">
        <v>4843</v>
      </c>
      <c r="DN61" s="20" t="s">
        <v>4844</v>
      </c>
      <c r="DO61" s="20" t="s">
        <v>4845</v>
      </c>
      <c r="DP61" s="20" t="s">
        <v>4846</v>
      </c>
      <c r="DQ61" s="20" t="s">
        <v>4847</v>
      </c>
      <c r="DR61" s="20" t="s">
        <v>4848</v>
      </c>
      <c r="DS61" s="20" t="s">
        <v>4849</v>
      </c>
      <c r="DT61" s="20" t="s">
        <v>4850</v>
      </c>
      <c r="DU61" s="20" t="s">
        <v>4851</v>
      </c>
      <c r="DV61" s="20" t="s">
        <v>4852</v>
      </c>
      <c r="DW61" s="20" t="s">
        <v>4853</v>
      </c>
      <c r="DX61" s="20" t="s">
        <v>4854</v>
      </c>
      <c r="DY61" s="20" t="s">
        <v>4855</v>
      </c>
      <c r="DZ61" s="20" t="s">
        <v>4856</v>
      </c>
      <c r="EA61" s="20" t="s">
        <v>4857</v>
      </c>
      <c r="EB61" s="20">
        <v>0</v>
      </c>
      <c r="EC61" s="20">
        <v>0</v>
      </c>
      <c r="ED61" s="20" t="s">
        <v>4858</v>
      </c>
      <c r="EE61" s="20">
        <v>0</v>
      </c>
      <c r="EF61" s="20" t="s">
        <v>4859</v>
      </c>
      <c r="EG61" s="20">
        <v>0</v>
      </c>
      <c r="EH61" s="20">
        <v>0</v>
      </c>
      <c r="EI61" s="20">
        <v>0</v>
      </c>
      <c r="EJ61" s="20" t="s">
        <v>4860</v>
      </c>
      <c r="EK61" s="20" t="s">
        <v>4861</v>
      </c>
      <c r="EL61" s="20">
        <v>0</v>
      </c>
    </row>
    <row r="62" spans="1:142" s="20" customFormat="1" ht="11.25" x14ac:dyDescent="0.2">
      <c r="A62" s="904" t="str">
        <f>MACHINE</f>
        <v>Machinery</v>
      </c>
      <c r="B62" s="230" t="s">
        <v>1241</v>
      </c>
      <c r="C62" s="230" t="s">
        <v>1652</v>
      </c>
      <c r="D62" s="221">
        <f t="shared" si="89"/>
        <v>15</v>
      </c>
      <c r="E62" s="2169">
        <f t="shared" ca="1" si="90"/>
        <v>0</v>
      </c>
      <c r="F62" s="2169">
        <f t="shared" ca="1" si="90"/>
        <v>0</v>
      </c>
      <c r="G62" s="2169">
        <f t="shared" ca="1" si="90"/>
        <v>0</v>
      </c>
      <c r="H62" s="2169">
        <f t="shared" ca="1" si="90"/>
        <v>0</v>
      </c>
      <c r="I62" s="2169">
        <f t="shared" ca="1" si="90"/>
        <v>0</v>
      </c>
      <c r="J62" s="2169">
        <f t="shared" ca="1" si="90"/>
        <v>0</v>
      </c>
      <c r="K62" s="2169">
        <f t="shared" ca="1" si="90"/>
        <v>0</v>
      </c>
      <c r="L62" s="2169">
        <f t="shared" ca="1" si="90"/>
        <v>0</v>
      </c>
      <c r="M62" s="2169">
        <f t="shared" ca="1" si="90"/>
        <v>0</v>
      </c>
      <c r="N62" s="2169">
        <f t="shared" ca="1" si="90"/>
        <v>0</v>
      </c>
      <c r="O62" s="2169">
        <f t="shared" ca="1" si="91"/>
        <v>95.4</v>
      </c>
      <c r="P62" s="2169">
        <f t="shared" ca="1" si="91"/>
        <v>0</v>
      </c>
      <c r="Q62" s="2169">
        <f t="shared" ca="1" si="91"/>
        <v>0</v>
      </c>
      <c r="R62" s="2169">
        <f t="shared" ca="1" si="91"/>
        <v>0</v>
      </c>
      <c r="S62" s="2170">
        <v>0</v>
      </c>
      <c r="T62" s="2169">
        <f t="shared" ca="1" si="92"/>
        <v>0</v>
      </c>
      <c r="U62" s="2169">
        <f t="shared" ca="1" si="92"/>
        <v>0</v>
      </c>
      <c r="V62" s="2169">
        <f t="shared" ca="1" si="92"/>
        <v>0</v>
      </c>
      <c r="W62" s="2161">
        <f t="shared" ca="1" si="93"/>
        <v>0</v>
      </c>
      <c r="X62" s="2161">
        <f t="shared" ca="1" si="93"/>
        <v>0</v>
      </c>
      <c r="Y62" s="2161">
        <f t="shared" ca="1" si="93"/>
        <v>0</v>
      </c>
      <c r="Z62" s="2161">
        <f t="shared" ca="1" si="93"/>
        <v>0</v>
      </c>
      <c r="AA62" s="2161">
        <f t="shared" ca="1" si="93"/>
        <v>0</v>
      </c>
      <c r="AB62" s="2161">
        <f t="shared" ca="1" si="93"/>
        <v>0</v>
      </c>
      <c r="AC62" s="2161">
        <f t="shared" ca="1" si="105"/>
        <v>0</v>
      </c>
      <c r="AD62" s="2161">
        <f t="shared" ca="1" si="105"/>
        <v>113.3441825625</v>
      </c>
      <c r="AE62" s="2161">
        <f t="shared" ca="1" si="105"/>
        <v>0</v>
      </c>
      <c r="AF62" s="2161">
        <f t="shared" ca="1" si="105"/>
        <v>0</v>
      </c>
      <c r="AG62" s="2161">
        <f t="shared" ca="1" si="105"/>
        <v>0</v>
      </c>
      <c r="AH62" s="2161">
        <f t="shared" ca="1" si="105"/>
        <v>0</v>
      </c>
      <c r="AI62" s="2161">
        <f t="shared" ca="1" si="105"/>
        <v>0</v>
      </c>
      <c r="AJ62" s="2161">
        <f t="shared" ca="1" si="105"/>
        <v>84.317466360839845</v>
      </c>
      <c r="AK62" s="2161">
        <f t="shared" ca="1" si="105"/>
        <v>163.43434149902345</v>
      </c>
      <c r="AL62" s="2161">
        <f t="shared" ca="1" si="105"/>
        <v>0</v>
      </c>
      <c r="AM62" s="2161">
        <f t="shared" ca="1" si="105"/>
        <v>0</v>
      </c>
      <c r="AN62" s="2161">
        <f t="shared" ca="1" si="95"/>
        <v>0</v>
      </c>
      <c r="AO62" s="2161">
        <f t="shared" ca="1" si="95"/>
        <v>0</v>
      </c>
      <c r="AP62" s="2161">
        <f t="shared" ca="1" si="95"/>
        <v>0</v>
      </c>
      <c r="AQ62" s="2161">
        <f t="shared" ca="1" si="95"/>
        <v>0</v>
      </c>
      <c r="AR62" s="2171">
        <f t="shared" ca="1" si="95"/>
        <v>0</v>
      </c>
      <c r="AS62" s="2172">
        <f t="shared" ca="1" si="96"/>
        <v>747.9</v>
      </c>
      <c r="AT62" s="2173">
        <f t="shared" si="97"/>
        <v>0</v>
      </c>
      <c r="AU62" s="2173">
        <f t="shared" si="97"/>
        <v>0</v>
      </c>
      <c r="AV62" s="2173">
        <f t="shared" si="97"/>
        <v>0</v>
      </c>
      <c r="AW62" s="2173">
        <f t="shared" si="97"/>
        <v>0</v>
      </c>
      <c r="AX62" s="2173">
        <f t="shared" si="97"/>
        <v>0</v>
      </c>
      <c r="AY62" s="2173">
        <f t="shared" ca="1" si="98"/>
        <v>0</v>
      </c>
      <c r="AZ62" s="2173">
        <f t="shared" ca="1" si="98"/>
        <v>0</v>
      </c>
      <c r="BA62" s="2173">
        <f t="shared" ca="1" si="98"/>
        <v>0</v>
      </c>
      <c r="BB62" s="2173">
        <f t="shared" ca="1" si="98"/>
        <v>0</v>
      </c>
      <c r="BC62" s="2173">
        <f t="shared" si="99"/>
        <v>0</v>
      </c>
      <c r="BD62" s="2174">
        <f t="shared" ca="1" si="100"/>
        <v>0</v>
      </c>
      <c r="BE62" s="2170">
        <v>0</v>
      </c>
      <c r="BF62" s="2170">
        <v>0</v>
      </c>
      <c r="BG62" s="2167">
        <f t="shared" si="101"/>
        <v>0</v>
      </c>
      <c r="BH62" s="2170">
        <v>0</v>
      </c>
      <c r="BI62" s="2167">
        <f t="shared" si="102"/>
        <v>0</v>
      </c>
      <c r="BJ62" s="2170">
        <v>0</v>
      </c>
      <c r="BK62" s="2170">
        <v>0</v>
      </c>
      <c r="BL62" s="2167">
        <v>0</v>
      </c>
      <c r="BM62" s="2167">
        <f t="shared" si="103"/>
        <v>238.52160000000001</v>
      </c>
      <c r="BN62" s="2167">
        <f t="shared" si="104"/>
        <v>0</v>
      </c>
      <c r="BO62" s="2170">
        <v>0</v>
      </c>
      <c r="BP62" s="2168">
        <f t="shared" ca="1" si="78"/>
        <v>1442.9175904223632</v>
      </c>
      <c r="BQ62" s="648"/>
      <c r="CA62" s="555" t="s">
        <v>1241</v>
      </c>
      <c r="CB62" s="20" t="s">
        <v>4862</v>
      </c>
      <c r="CC62" s="20" t="s">
        <v>4863</v>
      </c>
      <c r="CD62" s="20" t="s">
        <v>4864</v>
      </c>
      <c r="CE62" s="20" t="s">
        <v>4865</v>
      </c>
      <c r="CF62" s="20" t="s">
        <v>4866</v>
      </c>
      <c r="CG62" s="20" t="s">
        <v>4867</v>
      </c>
      <c r="CH62" s="20" t="s">
        <v>4868</v>
      </c>
      <c r="CI62" s="20" t="s">
        <v>4869</v>
      </c>
      <c r="CJ62" s="20" t="s">
        <v>4870</v>
      </c>
      <c r="CK62" s="20" t="s">
        <v>4871</v>
      </c>
      <c r="CL62" s="20" t="s">
        <v>4872</v>
      </c>
      <c r="CM62" s="20" t="s">
        <v>4873</v>
      </c>
      <c r="CN62" s="20" t="s">
        <v>4874</v>
      </c>
      <c r="CO62" s="20" t="s">
        <v>4875</v>
      </c>
      <c r="CP62" s="20">
        <v>0</v>
      </c>
      <c r="CQ62" s="20" t="s">
        <v>4876</v>
      </c>
      <c r="CR62" s="20" t="s">
        <v>4877</v>
      </c>
      <c r="CS62" s="20" t="s">
        <v>4878</v>
      </c>
      <c r="CT62" s="20" t="s">
        <v>4879</v>
      </c>
      <c r="CU62" s="20" t="s">
        <v>4880</v>
      </c>
      <c r="CV62" s="20" t="s">
        <v>4881</v>
      </c>
      <c r="CW62" s="20" t="s">
        <v>4882</v>
      </c>
      <c r="CX62" s="20" t="s">
        <v>4883</v>
      </c>
      <c r="CY62" s="20" t="s">
        <v>4884</v>
      </c>
      <c r="CZ62" s="20" t="s">
        <v>4885</v>
      </c>
      <c r="DA62" s="20" t="s">
        <v>4886</v>
      </c>
      <c r="DB62" s="20" t="s">
        <v>4887</v>
      </c>
      <c r="DC62" s="20" t="s">
        <v>4888</v>
      </c>
      <c r="DD62" s="20" t="s">
        <v>4889</v>
      </c>
      <c r="DE62" s="20" t="s">
        <v>4890</v>
      </c>
      <c r="DF62" s="20" t="s">
        <v>4891</v>
      </c>
      <c r="DG62" s="20" t="s">
        <v>4892</v>
      </c>
      <c r="DH62" s="20" t="s">
        <v>4893</v>
      </c>
      <c r="DI62" s="20" t="s">
        <v>4894</v>
      </c>
      <c r="DJ62" s="20" t="s">
        <v>4895</v>
      </c>
      <c r="DK62" s="20" t="s">
        <v>4896</v>
      </c>
      <c r="DL62" s="20" t="s">
        <v>4897</v>
      </c>
      <c r="DM62" s="20" t="s">
        <v>4898</v>
      </c>
      <c r="DN62" s="20" t="s">
        <v>4899</v>
      </c>
      <c r="DO62" s="20" t="s">
        <v>4900</v>
      </c>
      <c r="DP62" s="20" t="s">
        <v>4901</v>
      </c>
      <c r="DQ62" s="20" t="s">
        <v>4902</v>
      </c>
      <c r="DR62" s="20" t="s">
        <v>4903</v>
      </c>
      <c r="DS62" s="20" t="s">
        <v>4904</v>
      </c>
      <c r="DT62" s="20" t="s">
        <v>4905</v>
      </c>
      <c r="DU62" s="20" t="s">
        <v>4906</v>
      </c>
      <c r="DV62" s="20" t="s">
        <v>4907</v>
      </c>
      <c r="DW62" s="20" t="s">
        <v>4908</v>
      </c>
      <c r="DX62" s="20" t="s">
        <v>4909</v>
      </c>
      <c r="DY62" s="20" t="s">
        <v>4910</v>
      </c>
      <c r="DZ62" s="20" t="s">
        <v>4911</v>
      </c>
      <c r="EA62" s="20" t="s">
        <v>4912</v>
      </c>
      <c r="EB62" s="20">
        <v>0</v>
      </c>
      <c r="EC62" s="20">
        <v>0</v>
      </c>
      <c r="ED62" s="20" t="s">
        <v>4913</v>
      </c>
      <c r="EE62" s="20">
        <v>0</v>
      </c>
      <c r="EF62" s="20" t="s">
        <v>4914</v>
      </c>
      <c r="EG62" s="20">
        <v>0</v>
      </c>
      <c r="EH62" s="20">
        <v>0</v>
      </c>
      <c r="EI62" s="20">
        <v>0</v>
      </c>
      <c r="EJ62" s="20" t="s">
        <v>4915</v>
      </c>
      <c r="EK62" s="20" t="s">
        <v>4916</v>
      </c>
      <c r="EL62" s="20">
        <v>0</v>
      </c>
    </row>
    <row r="63" spans="1:142" s="20" customFormat="1" ht="11.25" x14ac:dyDescent="0.2">
      <c r="A63" s="904" t="str">
        <f>MINING</f>
        <v>Mining and quarrying</v>
      </c>
      <c r="B63" s="230" t="s">
        <v>1248</v>
      </c>
      <c r="C63" s="230" t="s">
        <v>1652</v>
      </c>
      <c r="D63" s="221">
        <f t="shared" si="89"/>
        <v>15</v>
      </c>
      <c r="E63" s="2169">
        <f t="shared" ca="1" si="90"/>
        <v>0</v>
      </c>
      <c r="F63" s="2169">
        <f t="shared" ca="1" si="90"/>
        <v>0</v>
      </c>
      <c r="G63" s="2169">
        <f t="shared" ca="1" si="90"/>
        <v>10928.979651999998</v>
      </c>
      <c r="H63" s="2169">
        <f t="shared" ca="1" si="90"/>
        <v>0</v>
      </c>
      <c r="I63" s="2169">
        <f t="shared" ca="1" si="90"/>
        <v>0</v>
      </c>
      <c r="J63" s="2169">
        <f t="shared" ca="1" si="90"/>
        <v>0</v>
      </c>
      <c r="K63" s="2169">
        <f t="shared" ca="1" si="90"/>
        <v>0</v>
      </c>
      <c r="L63" s="2169">
        <f t="shared" ca="1" si="90"/>
        <v>0</v>
      </c>
      <c r="M63" s="2169">
        <f t="shared" ca="1" si="90"/>
        <v>0</v>
      </c>
      <c r="N63" s="2169">
        <f t="shared" ca="1" si="90"/>
        <v>0</v>
      </c>
      <c r="O63" s="2169">
        <f t="shared" ca="1" si="91"/>
        <v>270.90000000000003</v>
      </c>
      <c r="P63" s="2169">
        <f t="shared" ca="1" si="91"/>
        <v>0</v>
      </c>
      <c r="Q63" s="2169">
        <f t="shared" ca="1" si="91"/>
        <v>0</v>
      </c>
      <c r="R63" s="2169">
        <f t="shared" ca="1" si="91"/>
        <v>0</v>
      </c>
      <c r="S63" s="2170">
        <v>0</v>
      </c>
      <c r="T63" s="2169">
        <f t="shared" ca="1" si="92"/>
        <v>0</v>
      </c>
      <c r="U63" s="2169">
        <f t="shared" ca="1" si="92"/>
        <v>0</v>
      </c>
      <c r="V63" s="2169">
        <f t="shared" ca="1" si="92"/>
        <v>0</v>
      </c>
      <c r="W63" s="2161">
        <f t="shared" ca="1" si="93"/>
        <v>0</v>
      </c>
      <c r="X63" s="2161">
        <f t="shared" ca="1" si="93"/>
        <v>0</v>
      </c>
      <c r="Y63" s="2161">
        <f t="shared" ca="1" si="93"/>
        <v>0</v>
      </c>
      <c r="Z63" s="2161">
        <f t="shared" ca="1" si="93"/>
        <v>0</v>
      </c>
      <c r="AA63" s="2161">
        <f t="shared" ca="1" si="93"/>
        <v>0</v>
      </c>
      <c r="AB63" s="2161">
        <f t="shared" ca="1" si="93"/>
        <v>0</v>
      </c>
      <c r="AC63" s="2161">
        <f t="shared" ca="1" si="105"/>
        <v>0</v>
      </c>
      <c r="AD63" s="2161">
        <f t="shared" ca="1" si="105"/>
        <v>104.97053353125</v>
      </c>
      <c r="AE63" s="2161">
        <f t="shared" ca="1" si="105"/>
        <v>3823.4775264374998</v>
      </c>
      <c r="AF63" s="2161">
        <f t="shared" ca="1" si="105"/>
        <v>0</v>
      </c>
      <c r="AG63" s="2161">
        <f t="shared" ca="1" si="105"/>
        <v>0.90566358137512204</v>
      </c>
      <c r="AH63" s="2161">
        <f t="shared" ca="1" si="105"/>
        <v>0</v>
      </c>
      <c r="AI63" s="2161">
        <f t="shared" ca="1" si="105"/>
        <v>84.114925576171871</v>
      </c>
      <c r="AJ63" s="2161">
        <f t="shared" ca="1" si="105"/>
        <v>54150.588390750003</v>
      </c>
      <c r="AK63" s="2161">
        <f t="shared" ca="1" si="105"/>
        <v>2975.0410203281249</v>
      </c>
      <c r="AL63" s="2161">
        <f t="shared" ca="1" si="105"/>
        <v>0</v>
      </c>
      <c r="AM63" s="2161">
        <f t="shared" ca="1" si="105"/>
        <v>0</v>
      </c>
      <c r="AN63" s="2161">
        <f t="shared" ca="1" si="95"/>
        <v>0</v>
      </c>
      <c r="AO63" s="2161">
        <f t="shared" ca="1" si="95"/>
        <v>0</v>
      </c>
      <c r="AP63" s="2161">
        <f t="shared" ca="1" si="95"/>
        <v>0</v>
      </c>
      <c r="AQ63" s="2161">
        <f t="shared" ca="1" si="95"/>
        <v>0</v>
      </c>
      <c r="AR63" s="2171">
        <f t="shared" ca="1" si="95"/>
        <v>0</v>
      </c>
      <c r="AS63" s="2172">
        <f t="shared" ca="1" si="96"/>
        <v>0</v>
      </c>
      <c r="AT63" s="2173">
        <f t="shared" si="97"/>
        <v>0</v>
      </c>
      <c r="AU63" s="2173">
        <f t="shared" si="97"/>
        <v>0</v>
      </c>
      <c r="AV63" s="2173">
        <f t="shared" si="97"/>
        <v>0</v>
      </c>
      <c r="AW63" s="2173">
        <f t="shared" si="97"/>
        <v>0</v>
      </c>
      <c r="AX63" s="2173">
        <f t="shared" si="97"/>
        <v>0</v>
      </c>
      <c r="AY63" s="2173">
        <f t="shared" ca="1" si="98"/>
        <v>0</v>
      </c>
      <c r="AZ63" s="2173">
        <f t="shared" ca="1" si="98"/>
        <v>0</v>
      </c>
      <c r="BA63" s="2173">
        <f t="shared" ca="1" si="98"/>
        <v>0</v>
      </c>
      <c r="BB63" s="2173">
        <f t="shared" ca="1" si="98"/>
        <v>0</v>
      </c>
      <c r="BC63" s="2173">
        <f t="shared" si="99"/>
        <v>0</v>
      </c>
      <c r="BD63" s="2174">
        <f t="shared" ca="1" si="100"/>
        <v>0</v>
      </c>
      <c r="BE63" s="2170">
        <v>0</v>
      </c>
      <c r="BF63" s="2170">
        <v>0</v>
      </c>
      <c r="BG63" s="2167">
        <f t="shared" si="101"/>
        <v>0</v>
      </c>
      <c r="BH63" s="2170">
        <v>0</v>
      </c>
      <c r="BI63" s="2167">
        <f t="shared" si="102"/>
        <v>0</v>
      </c>
      <c r="BJ63" s="2170">
        <v>0</v>
      </c>
      <c r="BK63" s="2170">
        <v>0</v>
      </c>
      <c r="BL63" s="2167">
        <v>0</v>
      </c>
      <c r="BM63" s="2167">
        <f t="shared" si="103"/>
        <v>103375.18800000001</v>
      </c>
      <c r="BN63" s="2167">
        <f t="shared" si="104"/>
        <v>0</v>
      </c>
      <c r="BO63" s="2170">
        <v>0</v>
      </c>
      <c r="BP63" s="2168">
        <f t="shared" ca="1" si="78"/>
        <v>175714.16571220441</v>
      </c>
      <c r="BQ63" s="648"/>
      <c r="CA63" s="555" t="s">
        <v>1248</v>
      </c>
      <c r="CB63" s="20" t="s">
        <v>4917</v>
      </c>
      <c r="CC63" s="20" t="s">
        <v>4918</v>
      </c>
      <c r="CD63" s="20" t="s">
        <v>4919</v>
      </c>
      <c r="CE63" s="20" t="s">
        <v>4920</v>
      </c>
      <c r="CF63" s="20" t="s">
        <v>4921</v>
      </c>
      <c r="CG63" s="20" t="s">
        <v>4922</v>
      </c>
      <c r="CH63" s="20" t="s">
        <v>4923</v>
      </c>
      <c r="CI63" s="20" t="s">
        <v>4924</v>
      </c>
      <c r="CJ63" s="20" t="s">
        <v>4925</v>
      </c>
      <c r="CK63" s="20" t="s">
        <v>4926</v>
      </c>
      <c r="CL63" s="20" t="s">
        <v>4927</v>
      </c>
      <c r="CM63" s="20" t="s">
        <v>4928</v>
      </c>
      <c r="CN63" s="20" t="s">
        <v>4929</v>
      </c>
      <c r="CO63" s="20" t="s">
        <v>4930</v>
      </c>
      <c r="CP63" s="20">
        <v>0</v>
      </c>
      <c r="CQ63" s="20" t="s">
        <v>4931</v>
      </c>
      <c r="CR63" s="20" t="s">
        <v>4932</v>
      </c>
      <c r="CS63" s="20" t="s">
        <v>4933</v>
      </c>
      <c r="CT63" s="20" t="s">
        <v>4934</v>
      </c>
      <c r="CU63" s="20" t="s">
        <v>4935</v>
      </c>
      <c r="CV63" s="20" t="s">
        <v>4936</v>
      </c>
      <c r="CW63" s="20" t="s">
        <v>4937</v>
      </c>
      <c r="CX63" s="20" t="s">
        <v>4938</v>
      </c>
      <c r="CY63" s="20" t="s">
        <v>4939</v>
      </c>
      <c r="CZ63" s="20" t="s">
        <v>4940</v>
      </c>
      <c r="DA63" s="20" t="s">
        <v>4941</v>
      </c>
      <c r="DB63" s="20" t="s">
        <v>4942</v>
      </c>
      <c r="DC63" s="20" t="s">
        <v>4943</v>
      </c>
      <c r="DD63" s="20" t="s">
        <v>4944</v>
      </c>
      <c r="DE63" s="20" t="s">
        <v>4945</v>
      </c>
      <c r="DF63" s="20" t="s">
        <v>4946</v>
      </c>
      <c r="DG63" s="20" t="s">
        <v>4947</v>
      </c>
      <c r="DH63" s="20" t="s">
        <v>4948</v>
      </c>
      <c r="DI63" s="20" t="s">
        <v>4949</v>
      </c>
      <c r="DJ63" s="20" t="s">
        <v>4950</v>
      </c>
      <c r="DK63" s="20" t="s">
        <v>4951</v>
      </c>
      <c r="DL63" s="20" t="s">
        <v>4952</v>
      </c>
      <c r="DM63" s="20" t="s">
        <v>4953</v>
      </c>
      <c r="DN63" s="20" t="s">
        <v>4954</v>
      </c>
      <c r="DO63" s="20" t="s">
        <v>4955</v>
      </c>
      <c r="DP63" s="20" t="s">
        <v>4956</v>
      </c>
      <c r="DQ63" s="20" t="s">
        <v>4957</v>
      </c>
      <c r="DR63" s="20" t="s">
        <v>4958</v>
      </c>
      <c r="DS63" s="20" t="s">
        <v>4959</v>
      </c>
      <c r="DT63" s="20" t="s">
        <v>4960</v>
      </c>
      <c r="DU63" s="20" t="s">
        <v>4961</v>
      </c>
      <c r="DV63" s="20" t="s">
        <v>4962</v>
      </c>
      <c r="DW63" s="20" t="s">
        <v>4963</v>
      </c>
      <c r="DX63" s="20" t="s">
        <v>4964</v>
      </c>
      <c r="DY63" s="20" t="s">
        <v>4965</v>
      </c>
      <c r="DZ63" s="20" t="s">
        <v>4966</v>
      </c>
      <c r="EA63" s="20" t="s">
        <v>4967</v>
      </c>
      <c r="EB63" s="20">
        <v>0</v>
      </c>
      <c r="EC63" s="20">
        <v>0</v>
      </c>
      <c r="ED63" s="20" t="s">
        <v>4968</v>
      </c>
      <c r="EE63" s="20">
        <v>0</v>
      </c>
      <c r="EF63" s="20" t="s">
        <v>4969</v>
      </c>
      <c r="EG63" s="20">
        <v>0</v>
      </c>
      <c r="EH63" s="20">
        <v>0</v>
      </c>
      <c r="EI63" s="20">
        <v>0</v>
      </c>
      <c r="EJ63" s="20" t="s">
        <v>4970</v>
      </c>
      <c r="EK63" s="20" t="s">
        <v>4971</v>
      </c>
      <c r="EL63" s="20">
        <v>0</v>
      </c>
    </row>
    <row r="64" spans="1:142" s="20" customFormat="1" ht="11.25" x14ac:dyDescent="0.2">
      <c r="A64" s="904" t="str">
        <f>FOODPRO</f>
        <v>Food, beverages and tobacco</v>
      </c>
      <c r="B64" s="230" t="s">
        <v>1255</v>
      </c>
      <c r="C64" s="230" t="s">
        <v>1652</v>
      </c>
      <c r="D64" s="221">
        <f t="shared" si="89"/>
        <v>15</v>
      </c>
      <c r="E64" s="2169">
        <f t="shared" ca="1" si="90"/>
        <v>0</v>
      </c>
      <c r="F64" s="2169">
        <f t="shared" ca="1" si="90"/>
        <v>0</v>
      </c>
      <c r="G64" s="2169">
        <f t="shared" ca="1" si="90"/>
        <v>0</v>
      </c>
      <c r="H64" s="2169">
        <f t="shared" ca="1" si="90"/>
        <v>0</v>
      </c>
      <c r="I64" s="2169">
        <f t="shared" ca="1" si="90"/>
        <v>0</v>
      </c>
      <c r="J64" s="2169">
        <f t="shared" ca="1" si="90"/>
        <v>0</v>
      </c>
      <c r="K64" s="2169">
        <f t="shared" ca="1" si="90"/>
        <v>0</v>
      </c>
      <c r="L64" s="2169">
        <f t="shared" ca="1" si="90"/>
        <v>0</v>
      </c>
      <c r="M64" s="2169">
        <f t="shared" ca="1" si="90"/>
        <v>0</v>
      </c>
      <c r="N64" s="2169">
        <f t="shared" ca="1" si="90"/>
        <v>0</v>
      </c>
      <c r="O64" s="2169">
        <f t="shared" ca="1" si="91"/>
        <v>932.4</v>
      </c>
      <c r="P64" s="2169">
        <f t="shared" ca="1" si="91"/>
        <v>0</v>
      </c>
      <c r="Q64" s="2169">
        <f t="shared" ca="1" si="91"/>
        <v>0</v>
      </c>
      <c r="R64" s="2169">
        <f t="shared" ca="1" si="91"/>
        <v>0</v>
      </c>
      <c r="S64" s="2170">
        <v>0</v>
      </c>
      <c r="T64" s="2169">
        <f t="shared" ca="1" si="92"/>
        <v>0</v>
      </c>
      <c r="U64" s="2169">
        <f t="shared" ca="1" si="92"/>
        <v>0</v>
      </c>
      <c r="V64" s="2169">
        <f t="shared" ca="1" si="92"/>
        <v>0</v>
      </c>
      <c r="W64" s="2161">
        <f t="shared" ca="1" si="93"/>
        <v>0</v>
      </c>
      <c r="X64" s="2161">
        <f t="shared" ca="1" si="93"/>
        <v>0</v>
      </c>
      <c r="Y64" s="2161">
        <f t="shared" ca="1" si="93"/>
        <v>0</v>
      </c>
      <c r="Z64" s="2161">
        <f t="shared" ca="1" si="93"/>
        <v>0</v>
      </c>
      <c r="AA64" s="2161">
        <f t="shared" ca="1" si="93"/>
        <v>0</v>
      </c>
      <c r="AB64" s="2161">
        <f t="shared" ca="1" si="93"/>
        <v>0</v>
      </c>
      <c r="AC64" s="2161">
        <f t="shared" ca="1" si="105"/>
        <v>0</v>
      </c>
      <c r="AD64" s="2161">
        <f t="shared" ca="1" si="105"/>
        <v>0</v>
      </c>
      <c r="AE64" s="2161">
        <f t="shared" ca="1" si="105"/>
        <v>13.179313434448241</v>
      </c>
      <c r="AF64" s="2161">
        <f t="shared" ca="1" si="105"/>
        <v>0</v>
      </c>
      <c r="AG64" s="2161">
        <f t="shared" ca="1" si="105"/>
        <v>0</v>
      </c>
      <c r="AH64" s="2161">
        <f t="shared" ca="1" si="105"/>
        <v>0</v>
      </c>
      <c r="AI64" s="2161">
        <f t="shared" ca="1" si="105"/>
        <v>98.62846515087891</v>
      </c>
      <c r="AJ64" s="2161">
        <f t="shared" ca="1" si="105"/>
        <v>1552.4353018750001</v>
      </c>
      <c r="AK64" s="2161">
        <f t="shared" ca="1" si="105"/>
        <v>1097.3375977265625</v>
      </c>
      <c r="AL64" s="2161">
        <f t="shared" ca="1" si="105"/>
        <v>0</v>
      </c>
      <c r="AM64" s="2161">
        <f t="shared" ca="1" si="105"/>
        <v>0</v>
      </c>
      <c r="AN64" s="2161">
        <f t="shared" ca="1" si="95"/>
        <v>0</v>
      </c>
      <c r="AO64" s="2161">
        <f t="shared" ca="1" si="95"/>
        <v>0</v>
      </c>
      <c r="AP64" s="2161">
        <f t="shared" ca="1" si="95"/>
        <v>0</v>
      </c>
      <c r="AQ64" s="2161">
        <f t="shared" ca="1" si="95"/>
        <v>0</v>
      </c>
      <c r="AR64" s="2171">
        <f t="shared" ca="1" si="95"/>
        <v>0</v>
      </c>
      <c r="AS64" s="2172">
        <f t="shared" ca="1" si="96"/>
        <v>2640.6</v>
      </c>
      <c r="AT64" s="2173">
        <f t="shared" si="97"/>
        <v>0</v>
      </c>
      <c r="AU64" s="2173">
        <f t="shared" si="97"/>
        <v>0</v>
      </c>
      <c r="AV64" s="2173">
        <f t="shared" si="97"/>
        <v>0</v>
      </c>
      <c r="AW64" s="2173">
        <f t="shared" si="97"/>
        <v>0</v>
      </c>
      <c r="AX64" s="2173">
        <f t="shared" si="97"/>
        <v>0</v>
      </c>
      <c r="AY64" s="2173">
        <f t="shared" ca="1" si="98"/>
        <v>0</v>
      </c>
      <c r="AZ64" s="2173">
        <f t="shared" ca="1" si="98"/>
        <v>0</v>
      </c>
      <c r="BA64" s="2173">
        <f t="shared" ca="1" si="98"/>
        <v>0</v>
      </c>
      <c r="BB64" s="2173">
        <f t="shared" ca="1" si="98"/>
        <v>0</v>
      </c>
      <c r="BC64" s="2173">
        <f t="shared" si="99"/>
        <v>0</v>
      </c>
      <c r="BD64" s="2174">
        <f t="shared" ca="1" si="100"/>
        <v>0</v>
      </c>
      <c r="BE64" s="2170">
        <v>0</v>
      </c>
      <c r="BF64" s="2170">
        <v>0</v>
      </c>
      <c r="BG64" s="2167">
        <f t="shared" si="101"/>
        <v>0</v>
      </c>
      <c r="BH64" s="2170">
        <v>0</v>
      </c>
      <c r="BI64" s="2167">
        <f t="shared" si="102"/>
        <v>0</v>
      </c>
      <c r="BJ64" s="2170">
        <v>0</v>
      </c>
      <c r="BK64" s="2170">
        <v>0</v>
      </c>
      <c r="BL64" s="2167">
        <v>0</v>
      </c>
      <c r="BM64" s="2167">
        <f t="shared" si="103"/>
        <v>2569.1543999999999</v>
      </c>
      <c r="BN64" s="2167">
        <f t="shared" si="104"/>
        <v>0</v>
      </c>
      <c r="BO64" s="2170">
        <v>0</v>
      </c>
      <c r="BP64" s="2168">
        <f t="shared" ca="1" si="78"/>
        <v>8903.7350781868881</v>
      </c>
      <c r="BQ64" s="648"/>
      <c r="CA64" s="555" t="s">
        <v>1255</v>
      </c>
      <c r="CB64" s="20" t="s">
        <v>4972</v>
      </c>
      <c r="CC64" s="20" t="s">
        <v>4973</v>
      </c>
      <c r="CD64" s="20" t="s">
        <v>4974</v>
      </c>
      <c r="CE64" s="20" t="s">
        <v>4975</v>
      </c>
      <c r="CF64" s="20" t="s">
        <v>4976</v>
      </c>
      <c r="CG64" s="20" t="s">
        <v>4977</v>
      </c>
      <c r="CH64" s="20" t="s">
        <v>4978</v>
      </c>
      <c r="CI64" s="20" t="s">
        <v>4979</v>
      </c>
      <c r="CJ64" s="20" t="s">
        <v>4980</v>
      </c>
      <c r="CK64" s="20" t="s">
        <v>4981</v>
      </c>
      <c r="CL64" s="20" t="s">
        <v>4982</v>
      </c>
      <c r="CM64" s="20" t="s">
        <v>4983</v>
      </c>
      <c r="CN64" s="20" t="s">
        <v>4984</v>
      </c>
      <c r="CO64" s="20" t="s">
        <v>4985</v>
      </c>
      <c r="CP64" s="20">
        <v>0</v>
      </c>
      <c r="CQ64" s="20" t="s">
        <v>4986</v>
      </c>
      <c r="CR64" s="20" t="s">
        <v>4987</v>
      </c>
      <c r="CS64" s="20" t="s">
        <v>4988</v>
      </c>
      <c r="CT64" s="20" t="s">
        <v>4989</v>
      </c>
      <c r="CU64" s="20" t="s">
        <v>4990</v>
      </c>
      <c r="CV64" s="20" t="s">
        <v>4991</v>
      </c>
      <c r="CW64" s="20" t="s">
        <v>4992</v>
      </c>
      <c r="CX64" s="20" t="s">
        <v>4993</v>
      </c>
      <c r="CY64" s="20" t="s">
        <v>4994</v>
      </c>
      <c r="CZ64" s="20" t="s">
        <v>4995</v>
      </c>
      <c r="DA64" s="20" t="s">
        <v>4996</v>
      </c>
      <c r="DB64" s="20" t="s">
        <v>4997</v>
      </c>
      <c r="DC64" s="20" t="s">
        <v>4998</v>
      </c>
      <c r="DD64" s="20" t="s">
        <v>4999</v>
      </c>
      <c r="DE64" s="20" t="s">
        <v>5000</v>
      </c>
      <c r="DF64" s="20" t="s">
        <v>5001</v>
      </c>
      <c r="DG64" s="20" t="s">
        <v>5002</v>
      </c>
      <c r="DH64" s="20" t="s">
        <v>5003</v>
      </c>
      <c r="DI64" s="20" t="s">
        <v>5004</v>
      </c>
      <c r="DJ64" s="20" t="s">
        <v>5005</v>
      </c>
      <c r="DK64" s="20" t="s">
        <v>5006</v>
      </c>
      <c r="DL64" s="20" t="s">
        <v>5007</v>
      </c>
      <c r="DM64" s="20" t="s">
        <v>5008</v>
      </c>
      <c r="DN64" s="20" t="s">
        <v>5009</v>
      </c>
      <c r="DO64" s="20" t="s">
        <v>5010</v>
      </c>
      <c r="DP64" s="20" t="s">
        <v>5011</v>
      </c>
      <c r="DQ64" s="20" t="s">
        <v>5012</v>
      </c>
      <c r="DR64" s="20" t="s">
        <v>5013</v>
      </c>
      <c r="DS64" s="20" t="s">
        <v>5014</v>
      </c>
      <c r="DT64" s="20" t="s">
        <v>5015</v>
      </c>
      <c r="DU64" s="20" t="s">
        <v>5016</v>
      </c>
      <c r="DV64" s="20" t="s">
        <v>5017</v>
      </c>
      <c r="DW64" s="20" t="s">
        <v>5018</v>
      </c>
      <c r="DX64" s="20" t="s">
        <v>5019</v>
      </c>
      <c r="DY64" s="20" t="s">
        <v>5020</v>
      </c>
      <c r="DZ64" s="20" t="s">
        <v>5021</v>
      </c>
      <c r="EA64" s="20" t="s">
        <v>5022</v>
      </c>
      <c r="EB64" s="20">
        <v>0</v>
      </c>
      <c r="EC64" s="20">
        <v>0</v>
      </c>
      <c r="ED64" s="20" t="s">
        <v>5023</v>
      </c>
      <c r="EE64" s="20">
        <v>0</v>
      </c>
      <c r="EF64" s="20" t="s">
        <v>5024</v>
      </c>
      <c r="EG64" s="20">
        <v>0</v>
      </c>
      <c r="EH64" s="20">
        <v>0</v>
      </c>
      <c r="EI64" s="20">
        <v>0</v>
      </c>
      <c r="EJ64" s="20" t="s">
        <v>5025</v>
      </c>
      <c r="EK64" s="20" t="s">
        <v>5026</v>
      </c>
      <c r="EL64" s="20">
        <v>0</v>
      </c>
    </row>
    <row r="65" spans="1:142" s="20" customFormat="1" ht="11.25" x14ac:dyDescent="0.2">
      <c r="A65" s="904" t="str">
        <f>PAPERPRO</f>
        <v>Paper, pulp and print</v>
      </c>
      <c r="B65" s="230" t="s">
        <v>1262</v>
      </c>
      <c r="C65" s="230" t="s">
        <v>1652</v>
      </c>
      <c r="D65" s="221">
        <f t="shared" si="89"/>
        <v>15</v>
      </c>
      <c r="E65" s="2169">
        <f t="shared" ca="1" si="90"/>
        <v>0</v>
      </c>
      <c r="F65" s="2169">
        <f t="shared" ca="1" si="90"/>
        <v>0</v>
      </c>
      <c r="G65" s="2169">
        <f t="shared" ca="1" si="90"/>
        <v>0</v>
      </c>
      <c r="H65" s="2169">
        <f t="shared" ca="1" si="90"/>
        <v>0</v>
      </c>
      <c r="I65" s="2169">
        <f t="shared" ca="1" si="90"/>
        <v>0</v>
      </c>
      <c r="J65" s="2169">
        <f t="shared" ca="1" si="90"/>
        <v>0</v>
      </c>
      <c r="K65" s="2169">
        <f t="shared" ca="1" si="90"/>
        <v>0</v>
      </c>
      <c r="L65" s="2169">
        <f t="shared" ca="1" si="90"/>
        <v>0</v>
      </c>
      <c r="M65" s="2169">
        <f t="shared" ca="1" si="90"/>
        <v>0</v>
      </c>
      <c r="N65" s="2169">
        <f t="shared" ca="1" si="90"/>
        <v>0</v>
      </c>
      <c r="O65" s="2169">
        <f t="shared" ca="1" si="91"/>
        <v>3549.6</v>
      </c>
      <c r="P65" s="2169">
        <f t="shared" ca="1" si="91"/>
        <v>0</v>
      </c>
      <c r="Q65" s="2169">
        <f t="shared" ca="1" si="91"/>
        <v>0</v>
      </c>
      <c r="R65" s="2169">
        <f t="shared" ca="1" si="91"/>
        <v>0</v>
      </c>
      <c r="S65" s="2170">
        <v>0</v>
      </c>
      <c r="T65" s="2169">
        <f t="shared" ca="1" si="92"/>
        <v>0</v>
      </c>
      <c r="U65" s="2169">
        <f t="shared" ca="1" si="92"/>
        <v>0</v>
      </c>
      <c r="V65" s="2169">
        <f t="shared" ca="1" si="92"/>
        <v>0</v>
      </c>
      <c r="W65" s="2161">
        <f t="shared" ca="1" si="93"/>
        <v>0</v>
      </c>
      <c r="X65" s="2161">
        <f t="shared" ca="1" si="93"/>
        <v>0</v>
      </c>
      <c r="Y65" s="2161">
        <f t="shared" ca="1" si="93"/>
        <v>0</v>
      </c>
      <c r="Z65" s="2161">
        <f t="shared" ca="1" si="93"/>
        <v>0</v>
      </c>
      <c r="AA65" s="2161">
        <f t="shared" ca="1" si="93"/>
        <v>0</v>
      </c>
      <c r="AB65" s="2161">
        <f t="shared" ca="1" si="93"/>
        <v>0</v>
      </c>
      <c r="AC65" s="2161">
        <f t="shared" ca="1" si="105"/>
        <v>0</v>
      </c>
      <c r="AD65" s="2161">
        <f t="shared" ca="1" si="105"/>
        <v>0</v>
      </c>
      <c r="AE65" s="2161">
        <f t="shared" ca="1" si="105"/>
        <v>0.23562310103988648</v>
      </c>
      <c r="AF65" s="2161">
        <f t="shared" ca="1" si="105"/>
        <v>0</v>
      </c>
      <c r="AG65" s="2161">
        <f t="shared" ca="1" si="105"/>
        <v>0</v>
      </c>
      <c r="AH65" s="2161">
        <f t="shared" ca="1" si="105"/>
        <v>0</v>
      </c>
      <c r="AI65" s="2161">
        <f t="shared" ca="1" si="105"/>
        <v>1.5867558785934448</v>
      </c>
      <c r="AJ65" s="2161">
        <f t="shared" ca="1" si="105"/>
        <v>104.84715204321289</v>
      </c>
      <c r="AK65" s="2161">
        <f t="shared" ca="1" si="105"/>
        <v>87.503823924316407</v>
      </c>
      <c r="AL65" s="2161">
        <f t="shared" ca="1" si="105"/>
        <v>0</v>
      </c>
      <c r="AM65" s="2161">
        <f t="shared" ca="1" si="105"/>
        <v>0</v>
      </c>
      <c r="AN65" s="2161">
        <f t="shared" ca="1" si="95"/>
        <v>0</v>
      </c>
      <c r="AO65" s="2161">
        <f t="shared" ca="1" si="95"/>
        <v>0</v>
      </c>
      <c r="AP65" s="2161">
        <f t="shared" ca="1" si="95"/>
        <v>0</v>
      </c>
      <c r="AQ65" s="2161">
        <f t="shared" ca="1" si="95"/>
        <v>0</v>
      </c>
      <c r="AR65" s="2171">
        <f t="shared" ca="1" si="95"/>
        <v>0</v>
      </c>
      <c r="AS65" s="2172">
        <f t="shared" ca="1" si="96"/>
        <v>748.80000000000007</v>
      </c>
      <c r="AT65" s="2173">
        <f t="shared" si="97"/>
        <v>0</v>
      </c>
      <c r="AU65" s="2173">
        <f t="shared" si="97"/>
        <v>0</v>
      </c>
      <c r="AV65" s="2173">
        <f t="shared" si="97"/>
        <v>0</v>
      </c>
      <c r="AW65" s="2173">
        <f t="shared" si="97"/>
        <v>0</v>
      </c>
      <c r="AX65" s="2173">
        <f t="shared" si="97"/>
        <v>0</v>
      </c>
      <c r="AY65" s="2173">
        <f t="shared" ca="1" si="98"/>
        <v>0</v>
      </c>
      <c r="AZ65" s="2173">
        <f t="shared" ca="1" si="98"/>
        <v>0</v>
      </c>
      <c r="BA65" s="2173">
        <f t="shared" ca="1" si="98"/>
        <v>0</v>
      </c>
      <c r="BB65" s="2173">
        <f t="shared" ca="1" si="98"/>
        <v>0</v>
      </c>
      <c r="BC65" s="2173">
        <f t="shared" si="99"/>
        <v>0</v>
      </c>
      <c r="BD65" s="2174">
        <f t="shared" ca="1" si="100"/>
        <v>0</v>
      </c>
      <c r="BE65" s="2170">
        <v>0</v>
      </c>
      <c r="BF65" s="2170">
        <v>0</v>
      </c>
      <c r="BG65" s="2167">
        <f t="shared" si="101"/>
        <v>0</v>
      </c>
      <c r="BH65" s="2170">
        <v>0</v>
      </c>
      <c r="BI65" s="2167">
        <f t="shared" si="102"/>
        <v>0</v>
      </c>
      <c r="BJ65" s="2170">
        <v>0</v>
      </c>
      <c r="BK65" s="2170">
        <v>0</v>
      </c>
      <c r="BL65" s="2167">
        <v>0</v>
      </c>
      <c r="BM65" s="2167">
        <f t="shared" si="103"/>
        <v>4285.6596</v>
      </c>
      <c r="BN65" s="2167">
        <f t="shared" si="104"/>
        <v>0</v>
      </c>
      <c r="BO65" s="2170">
        <v>0</v>
      </c>
      <c r="BP65" s="2168">
        <f t="shared" ca="1" si="78"/>
        <v>8778.2329549471615</v>
      </c>
      <c r="BQ65" s="648"/>
      <c r="CA65" s="555" t="s">
        <v>1262</v>
      </c>
      <c r="CB65" s="20" t="s">
        <v>5027</v>
      </c>
      <c r="CC65" s="20" t="s">
        <v>5028</v>
      </c>
      <c r="CD65" s="20" t="s">
        <v>5029</v>
      </c>
      <c r="CE65" s="20" t="s">
        <v>5030</v>
      </c>
      <c r="CF65" s="20" t="s">
        <v>5031</v>
      </c>
      <c r="CG65" s="20" t="s">
        <v>5032</v>
      </c>
      <c r="CH65" s="20" t="s">
        <v>5033</v>
      </c>
      <c r="CI65" s="20" t="s">
        <v>5034</v>
      </c>
      <c r="CJ65" s="20" t="s">
        <v>5035</v>
      </c>
      <c r="CK65" s="20" t="s">
        <v>5036</v>
      </c>
      <c r="CL65" s="20" t="s">
        <v>5037</v>
      </c>
      <c r="CM65" s="20" t="s">
        <v>5038</v>
      </c>
      <c r="CN65" s="20" t="s">
        <v>5039</v>
      </c>
      <c r="CO65" s="20" t="s">
        <v>5040</v>
      </c>
      <c r="CP65" s="20">
        <v>0</v>
      </c>
      <c r="CQ65" s="20" t="s">
        <v>5041</v>
      </c>
      <c r="CR65" s="20" t="s">
        <v>5042</v>
      </c>
      <c r="CS65" s="20" t="s">
        <v>5043</v>
      </c>
      <c r="CT65" s="20" t="s">
        <v>5044</v>
      </c>
      <c r="CU65" s="20" t="s">
        <v>5045</v>
      </c>
      <c r="CV65" s="20" t="s">
        <v>5046</v>
      </c>
      <c r="CW65" s="20" t="s">
        <v>5047</v>
      </c>
      <c r="CX65" s="20" t="s">
        <v>5048</v>
      </c>
      <c r="CY65" s="20" t="s">
        <v>5049</v>
      </c>
      <c r="CZ65" s="20" t="s">
        <v>5050</v>
      </c>
      <c r="DA65" s="20" t="s">
        <v>5051</v>
      </c>
      <c r="DB65" s="20" t="s">
        <v>5052</v>
      </c>
      <c r="DC65" s="20" t="s">
        <v>5053</v>
      </c>
      <c r="DD65" s="20" t="s">
        <v>5054</v>
      </c>
      <c r="DE65" s="20" t="s">
        <v>5055</v>
      </c>
      <c r="DF65" s="20" t="s">
        <v>5056</v>
      </c>
      <c r="DG65" s="20" t="s">
        <v>5057</v>
      </c>
      <c r="DH65" s="20" t="s">
        <v>5058</v>
      </c>
      <c r="DI65" s="20" t="s">
        <v>5059</v>
      </c>
      <c r="DJ65" s="20" t="s">
        <v>5060</v>
      </c>
      <c r="DK65" s="20" t="s">
        <v>5061</v>
      </c>
      <c r="DL65" s="20" t="s">
        <v>5062</v>
      </c>
      <c r="DM65" s="20" t="s">
        <v>5063</v>
      </c>
      <c r="DN65" s="20" t="s">
        <v>5064</v>
      </c>
      <c r="DO65" s="20" t="s">
        <v>5065</v>
      </c>
      <c r="DP65" s="20" t="s">
        <v>5066</v>
      </c>
      <c r="DQ65" s="20" t="s">
        <v>5067</v>
      </c>
      <c r="DR65" s="20" t="s">
        <v>5068</v>
      </c>
      <c r="DS65" s="20" t="s">
        <v>5069</v>
      </c>
      <c r="DT65" s="20" t="s">
        <v>5070</v>
      </c>
      <c r="DU65" s="20" t="s">
        <v>5071</v>
      </c>
      <c r="DV65" s="20" t="s">
        <v>5072</v>
      </c>
      <c r="DW65" s="20" t="s">
        <v>5073</v>
      </c>
      <c r="DX65" s="20" t="s">
        <v>5074</v>
      </c>
      <c r="DY65" s="20" t="s">
        <v>5075</v>
      </c>
      <c r="DZ65" s="20" t="s">
        <v>5076</v>
      </c>
      <c r="EA65" s="20" t="s">
        <v>5077</v>
      </c>
      <c r="EB65" s="20">
        <v>0</v>
      </c>
      <c r="EC65" s="20">
        <v>0</v>
      </c>
      <c r="ED65" s="20" t="s">
        <v>5078</v>
      </c>
      <c r="EE65" s="20">
        <v>0</v>
      </c>
      <c r="EF65" s="20" t="s">
        <v>5079</v>
      </c>
      <c r="EG65" s="20">
        <v>0</v>
      </c>
      <c r="EH65" s="20">
        <v>0</v>
      </c>
      <c r="EI65" s="20">
        <v>0</v>
      </c>
      <c r="EJ65" s="20" t="s">
        <v>5080</v>
      </c>
      <c r="EK65" s="20" t="s">
        <v>5081</v>
      </c>
      <c r="EL65" s="20">
        <v>0</v>
      </c>
    </row>
    <row r="66" spans="1:142" s="20" customFormat="1" ht="11.25" x14ac:dyDescent="0.2">
      <c r="A66" s="904" t="str">
        <f>WOODPRO</f>
        <v>Wood and wood products</v>
      </c>
      <c r="B66" s="230" t="s">
        <v>1269</v>
      </c>
      <c r="C66" s="230" t="s">
        <v>1652</v>
      </c>
      <c r="D66" s="221">
        <f t="shared" si="89"/>
        <v>15</v>
      </c>
      <c r="E66" s="2169">
        <f t="shared" ca="1" si="90"/>
        <v>0</v>
      </c>
      <c r="F66" s="2169">
        <f t="shared" ca="1" si="90"/>
        <v>0</v>
      </c>
      <c r="G66" s="2169">
        <f t="shared" ca="1" si="90"/>
        <v>0</v>
      </c>
      <c r="H66" s="2169">
        <f t="shared" ca="1" si="90"/>
        <v>0</v>
      </c>
      <c r="I66" s="2169">
        <f t="shared" ca="1" si="90"/>
        <v>0</v>
      </c>
      <c r="J66" s="2169">
        <f t="shared" ca="1" si="90"/>
        <v>0</v>
      </c>
      <c r="K66" s="2169">
        <f t="shared" ca="1" si="90"/>
        <v>0</v>
      </c>
      <c r="L66" s="2169">
        <f t="shared" ca="1" si="90"/>
        <v>0</v>
      </c>
      <c r="M66" s="2169">
        <f t="shared" ca="1" si="90"/>
        <v>0</v>
      </c>
      <c r="N66" s="2169">
        <f t="shared" ca="1" si="90"/>
        <v>0</v>
      </c>
      <c r="O66" s="2169">
        <f t="shared" ca="1" si="91"/>
        <v>0</v>
      </c>
      <c r="P66" s="2169">
        <f t="shared" ca="1" si="91"/>
        <v>0</v>
      </c>
      <c r="Q66" s="2169">
        <f t="shared" ca="1" si="91"/>
        <v>0</v>
      </c>
      <c r="R66" s="2169">
        <f t="shared" ca="1" si="91"/>
        <v>0</v>
      </c>
      <c r="S66" s="2170">
        <v>0</v>
      </c>
      <c r="T66" s="2169">
        <f t="shared" ca="1" si="92"/>
        <v>0</v>
      </c>
      <c r="U66" s="2169">
        <f t="shared" ca="1" si="92"/>
        <v>0</v>
      </c>
      <c r="V66" s="2169">
        <f t="shared" ca="1" si="92"/>
        <v>0</v>
      </c>
      <c r="W66" s="2161">
        <f t="shared" ca="1" si="93"/>
        <v>0</v>
      </c>
      <c r="X66" s="2161">
        <f t="shared" ca="1" si="93"/>
        <v>0</v>
      </c>
      <c r="Y66" s="2161">
        <f t="shared" ca="1" si="93"/>
        <v>0</v>
      </c>
      <c r="Z66" s="2161">
        <f t="shared" ca="1" si="93"/>
        <v>0</v>
      </c>
      <c r="AA66" s="2161">
        <f t="shared" ca="1" si="93"/>
        <v>0</v>
      </c>
      <c r="AB66" s="2161">
        <f t="shared" ca="1" si="93"/>
        <v>0</v>
      </c>
      <c r="AC66" s="2161">
        <f t="shared" ca="1" si="105"/>
        <v>0</v>
      </c>
      <c r="AD66" s="2161">
        <f t="shared" ca="1" si="105"/>
        <v>0</v>
      </c>
      <c r="AE66" s="2161">
        <f t="shared" ca="1" si="105"/>
        <v>5.7008729927673336</v>
      </c>
      <c r="AF66" s="2161">
        <f t="shared" ca="1" si="105"/>
        <v>0</v>
      </c>
      <c r="AG66" s="2161">
        <f t="shared" ca="1" si="105"/>
        <v>0</v>
      </c>
      <c r="AH66" s="2161">
        <f t="shared" ca="1" si="105"/>
        <v>0</v>
      </c>
      <c r="AI66" s="2161">
        <f t="shared" ca="1" si="105"/>
        <v>4.4211958378314972E-2</v>
      </c>
      <c r="AJ66" s="2161">
        <f t="shared" ca="1" si="105"/>
        <v>289.40695238183594</v>
      </c>
      <c r="AK66" s="2161">
        <f t="shared" ca="1" si="105"/>
        <v>88.362440475585942</v>
      </c>
      <c r="AL66" s="2161">
        <f t="shared" ca="1" si="105"/>
        <v>0</v>
      </c>
      <c r="AM66" s="2161">
        <f t="shared" ca="1" si="105"/>
        <v>0</v>
      </c>
      <c r="AN66" s="2161">
        <f t="shared" ca="1" si="95"/>
        <v>0</v>
      </c>
      <c r="AO66" s="2161">
        <f t="shared" ca="1" si="95"/>
        <v>0</v>
      </c>
      <c r="AP66" s="2161">
        <f t="shared" ca="1" si="95"/>
        <v>0</v>
      </c>
      <c r="AQ66" s="2161">
        <f t="shared" ca="1" si="95"/>
        <v>0</v>
      </c>
      <c r="AR66" s="2171">
        <f t="shared" ca="1" si="95"/>
        <v>0</v>
      </c>
      <c r="AS66" s="2172">
        <f t="shared" ca="1" si="96"/>
        <v>0</v>
      </c>
      <c r="AT66" s="2173">
        <f t="shared" si="97"/>
        <v>0</v>
      </c>
      <c r="AU66" s="2173">
        <f t="shared" si="97"/>
        <v>0</v>
      </c>
      <c r="AV66" s="2173">
        <f t="shared" si="97"/>
        <v>0</v>
      </c>
      <c r="AW66" s="2173">
        <f t="shared" si="97"/>
        <v>0</v>
      </c>
      <c r="AX66" s="2173">
        <f t="shared" si="97"/>
        <v>0</v>
      </c>
      <c r="AY66" s="2173">
        <f t="shared" ca="1" si="98"/>
        <v>0</v>
      </c>
      <c r="AZ66" s="2173">
        <f t="shared" ca="1" si="98"/>
        <v>0</v>
      </c>
      <c r="BA66" s="2173">
        <f t="shared" ca="1" si="98"/>
        <v>0</v>
      </c>
      <c r="BB66" s="2173">
        <f t="shared" ca="1" si="98"/>
        <v>0</v>
      </c>
      <c r="BC66" s="2173">
        <f t="shared" si="99"/>
        <v>0</v>
      </c>
      <c r="BD66" s="2174">
        <f t="shared" ca="1" si="100"/>
        <v>0</v>
      </c>
      <c r="BE66" s="2170">
        <v>0</v>
      </c>
      <c r="BF66" s="2170">
        <v>0</v>
      </c>
      <c r="BG66" s="2167">
        <f t="shared" si="101"/>
        <v>0</v>
      </c>
      <c r="BH66" s="2170">
        <v>0</v>
      </c>
      <c r="BI66" s="2167">
        <f t="shared" si="102"/>
        <v>0</v>
      </c>
      <c r="BJ66" s="2170">
        <v>0</v>
      </c>
      <c r="BK66" s="2170">
        <v>0</v>
      </c>
      <c r="BL66" s="2167">
        <v>0</v>
      </c>
      <c r="BM66" s="2167">
        <f t="shared" si="103"/>
        <v>1143.0324000000001</v>
      </c>
      <c r="BN66" s="2167">
        <f t="shared" si="104"/>
        <v>0</v>
      </c>
      <c r="BO66" s="2170">
        <v>0</v>
      </c>
      <c r="BP66" s="2168">
        <f t="shared" ca="1" si="78"/>
        <v>1526.5468778085676</v>
      </c>
      <c r="BQ66" s="648"/>
      <c r="CA66" s="555" t="s">
        <v>1269</v>
      </c>
      <c r="CB66" s="20" t="s">
        <v>5082</v>
      </c>
      <c r="CC66" s="20" t="s">
        <v>5083</v>
      </c>
      <c r="CD66" s="20" t="s">
        <v>5084</v>
      </c>
      <c r="CE66" s="20" t="s">
        <v>5085</v>
      </c>
      <c r="CF66" s="20" t="s">
        <v>5086</v>
      </c>
      <c r="CG66" s="20" t="s">
        <v>5087</v>
      </c>
      <c r="CH66" s="20" t="s">
        <v>5088</v>
      </c>
      <c r="CI66" s="20" t="s">
        <v>5089</v>
      </c>
      <c r="CJ66" s="20" t="s">
        <v>5090</v>
      </c>
      <c r="CK66" s="20" t="s">
        <v>5091</v>
      </c>
      <c r="CL66" s="20" t="s">
        <v>5092</v>
      </c>
      <c r="CM66" s="20" t="s">
        <v>5093</v>
      </c>
      <c r="CN66" s="20" t="s">
        <v>5094</v>
      </c>
      <c r="CO66" s="20" t="s">
        <v>5095</v>
      </c>
      <c r="CP66" s="20">
        <v>0</v>
      </c>
      <c r="CQ66" s="20" t="s">
        <v>5096</v>
      </c>
      <c r="CR66" s="20" t="s">
        <v>5097</v>
      </c>
      <c r="CS66" s="20" t="s">
        <v>5098</v>
      </c>
      <c r="CT66" s="20" t="s">
        <v>5099</v>
      </c>
      <c r="CU66" s="20" t="s">
        <v>5100</v>
      </c>
      <c r="CV66" s="20" t="s">
        <v>5101</v>
      </c>
      <c r="CW66" s="20" t="s">
        <v>5102</v>
      </c>
      <c r="CX66" s="20" t="s">
        <v>5103</v>
      </c>
      <c r="CY66" s="20" t="s">
        <v>5104</v>
      </c>
      <c r="CZ66" s="20" t="s">
        <v>5105</v>
      </c>
      <c r="DA66" s="20" t="s">
        <v>5106</v>
      </c>
      <c r="DB66" s="20" t="s">
        <v>5107</v>
      </c>
      <c r="DC66" s="20" t="s">
        <v>5108</v>
      </c>
      <c r="DD66" s="20" t="s">
        <v>5109</v>
      </c>
      <c r="DE66" s="20" t="s">
        <v>5110</v>
      </c>
      <c r="DF66" s="20" t="s">
        <v>5111</v>
      </c>
      <c r="DG66" s="20" t="s">
        <v>5112</v>
      </c>
      <c r="DH66" s="20" t="s">
        <v>5113</v>
      </c>
      <c r="DI66" s="20" t="s">
        <v>5114</v>
      </c>
      <c r="DJ66" s="20" t="s">
        <v>5115</v>
      </c>
      <c r="DK66" s="20" t="s">
        <v>5116</v>
      </c>
      <c r="DL66" s="20" t="s">
        <v>5117</v>
      </c>
      <c r="DM66" s="20" t="s">
        <v>5118</v>
      </c>
      <c r="DN66" s="20" t="s">
        <v>5119</v>
      </c>
      <c r="DO66" s="20" t="s">
        <v>5120</v>
      </c>
      <c r="DP66" s="20" t="s">
        <v>5121</v>
      </c>
      <c r="DQ66" s="20" t="s">
        <v>5122</v>
      </c>
      <c r="DR66" s="20" t="s">
        <v>5123</v>
      </c>
      <c r="DS66" s="20" t="s">
        <v>5124</v>
      </c>
      <c r="DT66" s="20" t="s">
        <v>5125</v>
      </c>
      <c r="DU66" s="20" t="s">
        <v>5126</v>
      </c>
      <c r="DV66" s="20" t="s">
        <v>5127</v>
      </c>
      <c r="DW66" s="20" t="s">
        <v>5128</v>
      </c>
      <c r="DX66" s="20" t="s">
        <v>5129</v>
      </c>
      <c r="DY66" s="20" t="s">
        <v>5130</v>
      </c>
      <c r="DZ66" s="20" t="s">
        <v>5131</v>
      </c>
      <c r="EA66" s="20" t="s">
        <v>5132</v>
      </c>
      <c r="EB66" s="20">
        <v>0</v>
      </c>
      <c r="EC66" s="20">
        <v>0</v>
      </c>
      <c r="ED66" s="20" t="s">
        <v>5133</v>
      </c>
      <c r="EE66" s="20">
        <v>0</v>
      </c>
      <c r="EF66" s="20" t="s">
        <v>5134</v>
      </c>
      <c r="EG66" s="20">
        <v>0</v>
      </c>
      <c r="EH66" s="20">
        <v>0</v>
      </c>
      <c r="EI66" s="20">
        <v>0</v>
      </c>
      <c r="EJ66" s="20" t="s">
        <v>5135</v>
      </c>
      <c r="EK66" s="20" t="s">
        <v>5136</v>
      </c>
      <c r="EL66" s="20">
        <v>0</v>
      </c>
    </row>
    <row r="67" spans="1:142" s="20" customFormat="1" ht="11.25" x14ac:dyDescent="0.2">
      <c r="A67" s="904" t="str">
        <f>CONSTRUC</f>
        <v>Construction</v>
      </c>
      <c r="B67" s="230" t="s">
        <v>1276</v>
      </c>
      <c r="C67" s="230" t="s">
        <v>1652</v>
      </c>
      <c r="D67" s="221">
        <f t="shared" si="89"/>
        <v>15</v>
      </c>
      <c r="E67" s="2169">
        <f t="shared" ca="1" si="90"/>
        <v>0</v>
      </c>
      <c r="F67" s="2169">
        <f t="shared" ca="1" si="90"/>
        <v>0</v>
      </c>
      <c r="G67" s="2169">
        <f t="shared" ca="1" si="90"/>
        <v>0</v>
      </c>
      <c r="H67" s="2169">
        <f t="shared" ca="1" si="90"/>
        <v>0</v>
      </c>
      <c r="I67" s="2169">
        <f t="shared" ca="1" si="90"/>
        <v>0</v>
      </c>
      <c r="J67" s="2169">
        <f t="shared" ca="1" si="90"/>
        <v>0</v>
      </c>
      <c r="K67" s="2169">
        <f t="shared" ca="1" si="90"/>
        <v>0</v>
      </c>
      <c r="L67" s="2169">
        <f t="shared" ca="1" si="90"/>
        <v>0</v>
      </c>
      <c r="M67" s="2169">
        <f t="shared" ca="1" si="90"/>
        <v>0</v>
      </c>
      <c r="N67" s="2169">
        <f t="shared" ca="1" si="90"/>
        <v>0</v>
      </c>
      <c r="O67" s="2169">
        <f t="shared" ca="1" si="91"/>
        <v>0</v>
      </c>
      <c r="P67" s="2169">
        <f t="shared" ca="1" si="91"/>
        <v>0</v>
      </c>
      <c r="Q67" s="2169">
        <f t="shared" ca="1" si="91"/>
        <v>0</v>
      </c>
      <c r="R67" s="2169">
        <f t="shared" ca="1" si="91"/>
        <v>0</v>
      </c>
      <c r="S67" s="2170">
        <v>0</v>
      </c>
      <c r="T67" s="2169">
        <f t="shared" ca="1" si="92"/>
        <v>0</v>
      </c>
      <c r="U67" s="2169">
        <f t="shared" ca="1" si="92"/>
        <v>0</v>
      </c>
      <c r="V67" s="2169">
        <f t="shared" ca="1" si="92"/>
        <v>0</v>
      </c>
      <c r="W67" s="2161">
        <f t="shared" ca="1" si="93"/>
        <v>0</v>
      </c>
      <c r="X67" s="2161">
        <f t="shared" ca="1" si="93"/>
        <v>0</v>
      </c>
      <c r="Y67" s="2161">
        <f t="shared" ca="1" si="93"/>
        <v>0</v>
      </c>
      <c r="Z67" s="2161">
        <f t="shared" ca="1" si="93"/>
        <v>0</v>
      </c>
      <c r="AA67" s="2161">
        <f t="shared" ca="1" si="93"/>
        <v>0</v>
      </c>
      <c r="AB67" s="2161">
        <f t="shared" ca="1" si="93"/>
        <v>0</v>
      </c>
      <c r="AC67" s="2161">
        <f t="shared" ca="1" si="105"/>
        <v>0</v>
      </c>
      <c r="AD67" s="2161">
        <f t="shared" ca="1" si="105"/>
        <v>0</v>
      </c>
      <c r="AE67" s="2161">
        <f t="shared" ca="1" si="105"/>
        <v>13.740276561950683</v>
      </c>
      <c r="AF67" s="2161">
        <f t="shared" ca="1" si="105"/>
        <v>0</v>
      </c>
      <c r="AG67" s="2161">
        <f t="shared" ca="1" si="105"/>
        <v>0</v>
      </c>
      <c r="AH67" s="2161">
        <f t="shared" ca="1" si="105"/>
        <v>0</v>
      </c>
      <c r="AI67" s="2161">
        <f t="shared" ca="1" si="105"/>
        <v>41.712624224121093</v>
      </c>
      <c r="AJ67" s="2161">
        <f t="shared" ca="1" si="105"/>
        <v>0</v>
      </c>
      <c r="AK67" s="2161">
        <f t="shared" ca="1" si="105"/>
        <v>77.776050443847652</v>
      </c>
      <c r="AL67" s="2161">
        <f t="shared" ca="1" si="105"/>
        <v>0</v>
      </c>
      <c r="AM67" s="2161">
        <f t="shared" ca="1" si="105"/>
        <v>0</v>
      </c>
      <c r="AN67" s="2161">
        <f t="shared" ca="1" si="95"/>
        <v>0</v>
      </c>
      <c r="AO67" s="2161">
        <f t="shared" ca="1" si="95"/>
        <v>0</v>
      </c>
      <c r="AP67" s="2161">
        <f t="shared" ca="1" si="95"/>
        <v>0</v>
      </c>
      <c r="AQ67" s="2161">
        <f t="shared" ca="1" si="95"/>
        <v>0</v>
      </c>
      <c r="AR67" s="2171">
        <f t="shared" ca="1" si="95"/>
        <v>0</v>
      </c>
      <c r="AS67" s="2172">
        <f t="shared" ca="1" si="96"/>
        <v>0</v>
      </c>
      <c r="AT67" s="2173">
        <f t="shared" si="97"/>
        <v>0</v>
      </c>
      <c r="AU67" s="2173">
        <f t="shared" si="97"/>
        <v>0</v>
      </c>
      <c r="AV67" s="2173">
        <f t="shared" si="97"/>
        <v>0</v>
      </c>
      <c r="AW67" s="2173">
        <f t="shared" si="97"/>
        <v>0</v>
      </c>
      <c r="AX67" s="2173">
        <f t="shared" si="97"/>
        <v>0</v>
      </c>
      <c r="AY67" s="2173">
        <f t="shared" ca="1" si="98"/>
        <v>0</v>
      </c>
      <c r="AZ67" s="2173">
        <f t="shared" ca="1" si="98"/>
        <v>0</v>
      </c>
      <c r="BA67" s="2173">
        <f t="shared" ca="1" si="98"/>
        <v>0</v>
      </c>
      <c r="BB67" s="2173">
        <f t="shared" ca="1" si="98"/>
        <v>0</v>
      </c>
      <c r="BC67" s="2173">
        <f t="shared" si="99"/>
        <v>0</v>
      </c>
      <c r="BD67" s="2174">
        <f t="shared" ca="1" si="100"/>
        <v>0</v>
      </c>
      <c r="BE67" s="2170">
        <v>0</v>
      </c>
      <c r="BF67" s="2170">
        <v>0</v>
      </c>
      <c r="BG67" s="2167">
        <f t="shared" si="101"/>
        <v>0</v>
      </c>
      <c r="BH67" s="2170">
        <v>0</v>
      </c>
      <c r="BI67" s="2167">
        <f t="shared" si="102"/>
        <v>0</v>
      </c>
      <c r="BJ67" s="2170">
        <v>0</v>
      </c>
      <c r="BK67" s="2170">
        <v>0</v>
      </c>
      <c r="BL67" s="2167">
        <v>0</v>
      </c>
      <c r="BM67" s="2167">
        <f t="shared" si="103"/>
        <v>826.27559999999994</v>
      </c>
      <c r="BN67" s="2167">
        <f t="shared" si="104"/>
        <v>0</v>
      </c>
      <c r="BO67" s="2170">
        <v>0</v>
      </c>
      <c r="BP67" s="2168">
        <f t="shared" ca="1" si="78"/>
        <v>959.50455122991934</v>
      </c>
      <c r="BQ67" s="648"/>
      <c r="CA67" s="555" t="s">
        <v>1276</v>
      </c>
      <c r="CB67" s="20" t="s">
        <v>5137</v>
      </c>
      <c r="CC67" s="20" t="s">
        <v>5138</v>
      </c>
      <c r="CD67" s="20" t="s">
        <v>5139</v>
      </c>
      <c r="CE67" s="20" t="s">
        <v>5140</v>
      </c>
      <c r="CF67" s="20" t="s">
        <v>5141</v>
      </c>
      <c r="CG67" s="20" t="s">
        <v>5142</v>
      </c>
      <c r="CH67" s="20" t="s">
        <v>5143</v>
      </c>
      <c r="CI67" s="20" t="s">
        <v>5144</v>
      </c>
      <c r="CJ67" s="20" t="s">
        <v>5145</v>
      </c>
      <c r="CK67" s="20" t="s">
        <v>5146</v>
      </c>
      <c r="CL67" s="20" t="s">
        <v>5147</v>
      </c>
      <c r="CM67" s="20" t="s">
        <v>5148</v>
      </c>
      <c r="CN67" s="20" t="s">
        <v>5149</v>
      </c>
      <c r="CO67" s="20" t="s">
        <v>5150</v>
      </c>
      <c r="CP67" s="20">
        <v>0</v>
      </c>
      <c r="CQ67" s="20" t="s">
        <v>5151</v>
      </c>
      <c r="CR67" s="20" t="s">
        <v>5152</v>
      </c>
      <c r="CS67" s="20" t="s">
        <v>5153</v>
      </c>
      <c r="CT67" s="20" t="s">
        <v>5154</v>
      </c>
      <c r="CU67" s="20" t="s">
        <v>5155</v>
      </c>
      <c r="CV67" s="20" t="s">
        <v>5156</v>
      </c>
      <c r="CW67" s="20" t="s">
        <v>5157</v>
      </c>
      <c r="CX67" s="20" t="s">
        <v>5158</v>
      </c>
      <c r="CY67" s="20" t="s">
        <v>5159</v>
      </c>
      <c r="CZ67" s="20" t="s">
        <v>5160</v>
      </c>
      <c r="DA67" s="20" t="s">
        <v>5161</v>
      </c>
      <c r="DB67" s="20" t="s">
        <v>5162</v>
      </c>
      <c r="DC67" s="20" t="s">
        <v>5163</v>
      </c>
      <c r="DD67" s="20" t="s">
        <v>5164</v>
      </c>
      <c r="DE67" s="20" t="s">
        <v>5165</v>
      </c>
      <c r="DF67" s="20" t="s">
        <v>5166</v>
      </c>
      <c r="DG67" s="20" t="s">
        <v>5167</v>
      </c>
      <c r="DH67" s="20" t="s">
        <v>5168</v>
      </c>
      <c r="DI67" s="20" t="s">
        <v>5169</v>
      </c>
      <c r="DJ67" s="20" t="s">
        <v>5170</v>
      </c>
      <c r="DK67" s="20" t="s">
        <v>5171</v>
      </c>
      <c r="DL67" s="20" t="s">
        <v>5172</v>
      </c>
      <c r="DM67" s="20" t="s">
        <v>5173</v>
      </c>
      <c r="DN67" s="20" t="s">
        <v>5174</v>
      </c>
      <c r="DO67" s="20" t="s">
        <v>5175</v>
      </c>
      <c r="DP67" s="20" t="s">
        <v>5176</v>
      </c>
      <c r="DQ67" s="20" t="s">
        <v>5177</v>
      </c>
      <c r="DR67" s="20" t="s">
        <v>5178</v>
      </c>
      <c r="DS67" s="20" t="s">
        <v>5179</v>
      </c>
      <c r="DT67" s="20" t="s">
        <v>5180</v>
      </c>
      <c r="DU67" s="20" t="s">
        <v>5181</v>
      </c>
      <c r="DV67" s="20" t="s">
        <v>5182</v>
      </c>
      <c r="DW67" s="20" t="s">
        <v>5183</v>
      </c>
      <c r="DX67" s="20" t="s">
        <v>5184</v>
      </c>
      <c r="DY67" s="20" t="s">
        <v>5185</v>
      </c>
      <c r="DZ67" s="20" t="s">
        <v>5186</v>
      </c>
      <c r="EA67" s="20" t="s">
        <v>5187</v>
      </c>
      <c r="EB67" s="20">
        <v>0</v>
      </c>
      <c r="EC67" s="20">
        <v>0</v>
      </c>
      <c r="ED67" s="20" t="s">
        <v>5188</v>
      </c>
      <c r="EE67" s="20">
        <v>0</v>
      </c>
      <c r="EF67" s="20" t="s">
        <v>5189</v>
      </c>
      <c r="EG67" s="20">
        <v>0</v>
      </c>
      <c r="EH67" s="20">
        <v>0</v>
      </c>
      <c r="EI67" s="20">
        <v>0</v>
      </c>
      <c r="EJ67" s="20" t="s">
        <v>5190</v>
      </c>
      <c r="EK67" s="20" t="s">
        <v>5191</v>
      </c>
      <c r="EL67" s="20">
        <v>0</v>
      </c>
    </row>
    <row r="68" spans="1:142" s="20" customFormat="1" ht="11.25" x14ac:dyDescent="0.2">
      <c r="A68" s="904" t="str">
        <f>TEXTILES</f>
        <v>Textiles and leather</v>
      </c>
      <c r="B68" s="230" t="s">
        <v>1283</v>
      </c>
      <c r="C68" s="230" t="s">
        <v>1652</v>
      </c>
      <c r="D68" s="221">
        <f t="shared" si="89"/>
        <v>15</v>
      </c>
      <c r="E68" s="2169">
        <f t="shared" ca="1" si="90"/>
        <v>0</v>
      </c>
      <c r="F68" s="2169">
        <f t="shared" ca="1" si="90"/>
        <v>0</v>
      </c>
      <c r="G68" s="2169">
        <f t="shared" ca="1" si="90"/>
        <v>0</v>
      </c>
      <c r="H68" s="2169">
        <f t="shared" ca="1" si="90"/>
        <v>0</v>
      </c>
      <c r="I68" s="2169">
        <f t="shared" ca="1" si="90"/>
        <v>0</v>
      </c>
      <c r="J68" s="2169">
        <f t="shared" ca="1" si="90"/>
        <v>0</v>
      </c>
      <c r="K68" s="2169">
        <f t="shared" ca="1" si="90"/>
        <v>0</v>
      </c>
      <c r="L68" s="2169">
        <f t="shared" ca="1" si="90"/>
        <v>0</v>
      </c>
      <c r="M68" s="2169">
        <f t="shared" ca="1" si="90"/>
        <v>0</v>
      </c>
      <c r="N68" s="2169">
        <f t="shared" ca="1" si="90"/>
        <v>0</v>
      </c>
      <c r="O68" s="2169">
        <f t="shared" ca="1" si="91"/>
        <v>0</v>
      </c>
      <c r="P68" s="2169">
        <f t="shared" ca="1" si="91"/>
        <v>0</v>
      </c>
      <c r="Q68" s="2169">
        <f t="shared" ca="1" si="91"/>
        <v>0</v>
      </c>
      <c r="R68" s="2169">
        <f t="shared" ca="1" si="91"/>
        <v>0</v>
      </c>
      <c r="S68" s="2170">
        <v>0</v>
      </c>
      <c r="T68" s="2169">
        <f t="shared" ca="1" si="92"/>
        <v>0</v>
      </c>
      <c r="U68" s="2169">
        <f t="shared" ca="1" si="92"/>
        <v>0</v>
      </c>
      <c r="V68" s="2169">
        <f t="shared" ca="1" si="92"/>
        <v>0</v>
      </c>
      <c r="W68" s="2161">
        <f t="shared" ca="1" si="93"/>
        <v>0</v>
      </c>
      <c r="X68" s="2161">
        <f t="shared" ca="1" si="93"/>
        <v>0</v>
      </c>
      <c r="Y68" s="2161">
        <f t="shared" ca="1" si="93"/>
        <v>0</v>
      </c>
      <c r="Z68" s="2161">
        <f t="shared" ca="1" si="93"/>
        <v>0</v>
      </c>
      <c r="AA68" s="2161">
        <f t="shared" ca="1" si="93"/>
        <v>0</v>
      </c>
      <c r="AB68" s="2161">
        <f t="shared" ca="1" si="93"/>
        <v>0</v>
      </c>
      <c r="AC68" s="2161">
        <f t="shared" ca="1" si="105"/>
        <v>0</v>
      </c>
      <c r="AD68" s="2161">
        <f t="shared" ca="1" si="105"/>
        <v>0</v>
      </c>
      <c r="AE68" s="2161">
        <f t="shared" ca="1" si="105"/>
        <v>0</v>
      </c>
      <c r="AF68" s="2161">
        <f t="shared" ca="1" si="105"/>
        <v>0</v>
      </c>
      <c r="AG68" s="2161">
        <f t="shared" ca="1" si="105"/>
        <v>0</v>
      </c>
      <c r="AH68" s="2161">
        <f t="shared" ca="1" si="105"/>
        <v>0</v>
      </c>
      <c r="AI68" s="2161">
        <f t="shared" ca="1" si="105"/>
        <v>10.470696097686767</v>
      </c>
      <c r="AJ68" s="2161">
        <f t="shared" ca="1" si="105"/>
        <v>1648.0045056328124</v>
      </c>
      <c r="AK68" s="2161">
        <f t="shared" ca="1" si="105"/>
        <v>12.654404495178223</v>
      </c>
      <c r="AL68" s="2161">
        <f t="shared" ca="1" si="105"/>
        <v>0</v>
      </c>
      <c r="AM68" s="2161">
        <f t="shared" ca="1" si="105"/>
        <v>0</v>
      </c>
      <c r="AN68" s="2161">
        <f t="shared" ca="1" si="95"/>
        <v>0</v>
      </c>
      <c r="AO68" s="2161">
        <f t="shared" ca="1" si="95"/>
        <v>0</v>
      </c>
      <c r="AP68" s="2161">
        <f t="shared" ca="1" si="95"/>
        <v>0</v>
      </c>
      <c r="AQ68" s="2161">
        <f t="shared" ca="1" si="95"/>
        <v>0</v>
      </c>
      <c r="AR68" s="2171">
        <f t="shared" ca="1" si="95"/>
        <v>0</v>
      </c>
      <c r="AS68" s="2172">
        <f t="shared" ca="1" si="96"/>
        <v>9</v>
      </c>
      <c r="AT68" s="2173">
        <f t="shared" si="97"/>
        <v>0</v>
      </c>
      <c r="AU68" s="2173">
        <f t="shared" si="97"/>
        <v>0</v>
      </c>
      <c r="AV68" s="2173">
        <f t="shared" si="97"/>
        <v>0</v>
      </c>
      <c r="AW68" s="2173">
        <f t="shared" si="97"/>
        <v>0</v>
      </c>
      <c r="AX68" s="2173">
        <f t="shared" si="97"/>
        <v>0</v>
      </c>
      <c r="AY68" s="2173">
        <f t="shared" ca="1" si="98"/>
        <v>0</v>
      </c>
      <c r="AZ68" s="2173">
        <f t="shared" ca="1" si="98"/>
        <v>0</v>
      </c>
      <c r="BA68" s="2173">
        <f t="shared" ca="1" si="98"/>
        <v>0</v>
      </c>
      <c r="BB68" s="2173">
        <f t="shared" ca="1" si="98"/>
        <v>0</v>
      </c>
      <c r="BC68" s="2173">
        <f t="shared" si="99"/>
        <v>0</v>
      </c>
      <c r="BD68" s="2174">
        <f t="shared" ca="1" si="100"/>
        <v>0</v>
      </c>
      <c r="BE68" s="2170">
        <v>0</v>
      </c>
      <c r="BF68" s="2170">
        <v>0</v>
      </c>
      <c r="BG68" s="2167">
        <f t="shared" si="101"/>
        <v>0</v>
      </c>
      <c r="BH68" s="2170">
        <v>0</v>
      </c>
      <c r="BI68" s="2167">
        <f t="shared" si="102"/>
        <v>0</v>
      </c>
      <c r="BJ68" s="2170">
        <v>0</v>
      </c>
      <c r="BK68" s="2170">
        <v>0</v>
      </c>
      <c r="BL68" s="2167">
        <v>0</v>
      </c>
      <c r="BM68" s="2167">
        <f t="shared" si="103"/>
        <v>562.58280000000002</v>
      </c>
      <c r="BN68" s="2167">
        <f t="shared" si="104"/>
        <v>0</v>
      </c>
      <c r="BO68" s="2170">
        <v>0</v>
      </c>
      <c r="BP68" s="2168">
        <f t="shared" ca="1" si="78"/>
        <v>2242.7124062256776</v>
      </c>
      <c r="BQ68" s="648"/>
      <c r="CA68" s="555" t="s">
        <v>1283</v>
      </c>
      <c r="CB68" s="20" t="s">
        <v>5192</v>
      </c>
      <c r="CC68" s="20" t="s">
        <v>5193</v>
      </c>
      <c r="CD68" s="20" t="s">
        <v>5194</v>
      </c>
      <c r="CE68" s="20" t="s">
        <v>5195</v>
      </c>
      <c r="CF68" s="20" t="s">
        <v>5196</v>
      </c>
      <c r="CG68" s="20" t="s">
        <v>5197</v>
      </c>
      <c r="CH68" s="20" t="s">
        <v>5198</v>
      </c>
      <c r="CI68" s="20" t="s">
        <v>5199</v>
      </c>
      <c r="CJ68" s="20" t="s">
        <v>5200</v>
      </c>
      <c r="CK68" s="20" t="s">
        <v>5201</v>
      </c>
      <c r="CL68" s="20" t="s">
        <v>5202</v>
      </c>
      <c r="CM68" s="20" t="s">
        <v>5203</v>
      </c>
      <c r="CN68" s="20" t="s">
        <v>5204</v>
      </c>
      <c r="CO68" s="20" t="s">
        <v>5205</v>
      </c>
      <c r="CP68" s="20">
        <v>0</v>
      </c>
      <c r="CQ68" s="20" t="s">
        <v>5206</v>
      </c>
      <c r="CR68" s="20" t="s">
        <v>5207</v>
      </c>
      <c r="CS68" s="20" t="s">
        <v>5208</v>
      </c>
      <c r="CT68" s="20" t="s">
        <v>5209</v>
      </c>
      <c r="CU68" s="20" t="s">
        <v>5210</v>
      </c>
      <c r="CV68" s="20" t="s">
        <v>5211</v>
      </c>
      <c r="CW68" s="20" t="s">
        <v>5212</v>
      </c>
      <c r="CX68" s="20" t="s">
        <v>5213</v>
      </c>
      <c r="CY68" s="20" t="s">
        <v>5214</v>
      </c>
      <c r="CZ68" s="20" t="s">
        <v>5215</v>
      </c>
      <c r="DA68" s="20" t="s">
        <v>5216</v>
      </c>
      <c r="DB68" s="20" t="s">
        <v>5217</v>
      </c>
      <c r="DC68" s="20" t="s">
        <v>5218</v>
      </c>
      <c r="DD68" s="20" t="s">
        <v>5219</v>
      </c>
      <c r="DE68" s="20" t="s">
        <v>5220</v>
      </c>
      <c r="DF68" s="20" t="s">
        <v>5221</v>
      </c>
      <c r="DG68" s="20" t="s">
        <v>5222</v>
      </c>
      <c r="DH68" s="20" t="s">
        <v>5223</v>
      </c>
      <c r="DI68" s="20" t="s">
        <v>5224</v>
      </c>
      <c r="DJ68" s="20" t="s">
        <v>5225</v>
      </c>
      <c r="DK68" s="20" t="s">
        <v>5226</v>
      </c>
      <c r="DL68" s="20" t="s">
        <v>5227</v>
      </c>
      <c r="DM68" s="20" t="s">
        <v>5228</v>
      </c>
      <c r="DN68" s="20" t="s">
        <v>5229</v>
      </c>
      <c r="DO68" s="20" t="s">
        <v>5230</v>
      </c>
      <c r="DP68" s="20" t="s">
        <v>5231</v>
      </c>
      <c r="DQ68" s="20" t="s">
        <v>5232</v>
      </c>
      <c r="DR68" s="20" t="s">
        <v>5233</v>
      </c>
      <c r="DS68" s="20" t="s">
        <v>5234</v>
      </c>
      <c r="DT68" s="20" t="s">
        <v>5235</v>
      </c>
      <c r="DU68" s="20" t="s">
        <v>5236</v>
      </c>
      <c r="DV68" s="20" t="s">
        <v>5237</v>
      </c>
      <c r="DW68" s="20" t="s">
        <v>5238</v>
      </c>
      <c r="DX68" s="20" t="s">
        <v>5239</v>
      </c>
      <c r="DY68" s="20" t="s">
        <v>5240</v>
      </c>
      <c r="DZ68" s="20" t="s">
        <v>5241</v>
      </c>
      <c r="EA68" s="20" t="s">
        <v>5242</v>
      </c>
      <c r="EB68" s="20">
        <v>0</v>
      </c>
      <c r="EC68" s="20">
        <v>0</v>
      </c>
      <c r="ED68" s="20" t="s">
        <v>5243</v>
      </c>
      <c r="EE68" s="20">
        <v>0</v>
      </c>
      <c r="EF68" s="20" t="s">
        <v>5244</v>
      </c>
      <c r="EG68" s="20">
        <v>0</v>
      </c>
      <c r="EH68" s="20">
        <v>0</v>
      </c>
      <c r="EI68" s="20">
        <v>0</v>
      </c>
      <c r="EJ68" s="20" t="s">
        <v>5245</v>
      </c>
      <c r="EK68" s="20" t="s">
        <v>5246</v>
      </c>
      <c r="EL68" s="20">
        <v>0</v>
      </c>
    </row>
    <row r="69" spans="1:142" s="20" customFormat="1" ht="11.25" x14ac:dyDescent="0.2">
      <c r="A69" s="904" t="str">
        <f>INONSPEC</f>
        <v>Non-specified (Industry)</v>
      </c>
      <c r="B69" s="230" t="s">
        <v>1290</v>
      </c>
      <c r="C69" s="230" t="s">
        <v>1652</v>
      </c>
      <c r="D69" s="221">
        <f t="shared" si="89"/>
        <v>15</v>
      </c>
      <c r="E69" s="2169">
        <f t="shared" ca="1" si="90"/>
        <v>0</v>
      </c>
      <c r="F69" s="2169">
        <f t="shared" ca="1" si="90"/>
        <v>0</v>
      </c>
      <c r="G69" s="2169">
        <f t="shared" ca="1" si="90"/>
        <v>261663.99421999999</v>
      </c>
      <c r="H69" s="2169">
        <f t="shared" ca="1" si="90"/>
        <v>0</v>
      </c>
      <c r="I69" s="2169">
        <f t="shared" ca="1" si="90"/>
        <v>0</v>
      </c>
      <c r="J69" s="2169">
        <f t="shared" ca="1" si="90"/>
        <v>0</v>
      </c>
      <c r="K69" s="2169">
        <f t="shared" ca="1" si="90"/>
        <v>0</v>
      </c>
      <c r="L69" s="2169">
        <f t="shared" ca="1" si="90"/>
        <v>0</v>
      </c>
      <c r="M69" s="2169">
        <f t="shared" ca="1" si="90"/>
        <v>0</v>
      </c>
      <c r="N69" s="2169">
        <f t="shared" ca="1" si="90"/>
        <v>0</v>
      </c>
      <c r="O69" s="2169">
        <f t="shared" ca="1" si="91"/>
        <v>1904.4</v>
      </c>
      <c r="P69" s="2169">
        <f t="shared" ca="1" si="91"/>
        <v>0</v>
      </c>
      <c r="Q69" s="2169">
        <f t="shared" ca="1" si="91"/>
        <v>0</v>
      </c>
      <c r="R69" s="2169">
        <f t="shared" ca="1" si="91"/>
        <v>0</v>
      </c>
      <c r="S69" s="2170">
        <v>0</v>
      </c>
      <c r="T69" s="2169">
        <f t="shared" ca="1" si="92"/>
        <v>0</v>
      </c>
      <c r="U69" s="2169">
        <f t="shared" ca="1" si="92"/>
        <v>0</v>
      </c>
      <c r="V69" s="2169">
        <f t="shared" ca="1" si="92"/>
        <v>0</v>
      </c>
      <c r="W69" s="2161">
        <f t="shared" ca="1" si="93"/>
        <v>0</v>
      </c>
      <c r="X69" s="2161">
        <f t="shared" ca="1" si="93"/>
        <v>0</v>
      </c>
      <c r="Y69" s="2161">
        <f t="shared" ca="1" si="93"/>
        <v>0</v>
      </c>
      <c r="Z69" s="2161">
        <f t="shared" ca="1" si="93"/>
        <v>0</v>
      </c>
      <c r="AA69" s="2161">
        <f t="shared" ca="1" si="93"/>
        <v>0</v>
      </c>
      <c r="AB69" s="2161">
        <f t="shared" ca="1" si="93"/>
        <v>0</v>
      </c>
      <c r="AC69" s="2161">
        <f t="shared" ca="1" si="105"/>
        <v>0</v>
      </c>
      <c r="AD69" s="2161">
        <f t="shared" ca="1" si="105"/>
        <v>0</v>
      </c>
      <c r="AE69" s="2161">
        <f t="shared" ca="1" si="105"/>
        <v>403.8187691777344</v>
      </c>
      <c r="AF69" s="2161">
        <f t="shared" ca="1" si="105"/>
        <v>0</v>
      </c>
      <c r="AG69" s="2161">
        <f t="shared" ca="1" si="105"/>
        <v>0</v>
      </c>
      <c r="AH69" s="2161">
        <f t="shared" ca="1" si="105"/>
        <v>0</v>
      </c>
      <c r="AI69" s="2161">
        <f t="shared" ca="1" si="105"/>
        <v>300.58010701171872</v>
      </c>
      <c r="AJ69" s="2161">
        <f t="shared" ca="1" si="105"/>
        <v>3060.204366484375</v>
      </c>
      <c r="AK69" s="2161">
        <f t="shared" ca="1" si="105"/>
        <v>3019.2311546249998</v>
      </c>
      <c r="AL69" s="2161">
        <f t="shared" ca="1" si="105"/>
        <v>0</v>
      </c>
      <c r="AM69" s="2161">
        <f t="shared" ca="1" si="105"/>
        <v>0</v>
      </c>
      <c r="AN69" s="2161">
        <f t="shared" ca="1" si="95"/>
        <v>0</v>
      </c>
      <c r="AO69" s="2161">
        <f t="shared" ca="1" si="95"/>
        <v>0</v>
      </c>
      <c r="AP69" s="2161">
        <f t="shared" ca="1" si="95"/>
        <v>0</v>
      </c>
      <c r="AQ69" s="2161">
        <f t="shared" ca="1" si="95"/>
        <v>0</v>
      </c>
      <c r="AR69" s="2171">
        <f t="shared" ca="1" si="95"/>
        <v>0</v>
      </c>
      <c r="AS69" s="2172">
        <f t="shared" ca="1" si="96"/>
        <v>2534.4</v>
      </c>
      <c r="AT69" s="2173">
        <f t="shared" si="97"/>
        <v>0</v>
      </c>
      <c r="AU69" s="2173">
        <f t="shared" si="97"/>
        <v>0</v>
      </c>
      <c r="AV69" s="2173">
        <f t="shared" si="97"/>
        <v>0</v>
      </c>
      <c r="AW69" s="2173">
        <f t="shared" si="97"/>
        <v>81176.2</v>
      </c>
      <c r="AX69" s="2173">
        <f t="shared" si="97"/>
        <v>0</v>
      </c>
      <c r="AY69" s="2173">
        <f t="shared" ca="1" si="98"/>
        <v>0</v>
      </c>
      <c r="AZ69" s="2173">
        <f t="shared" ca="1" si="98"/>
        <v>0</v>
      </c>
      <c r="BA69" s="2173">
        <f t="shared" ca="1" si="98"/>
        <v>0</v>
      </c>
      <c r="BB69" s="2173">
        <f t="shared" ca="1" si="98"/>
        <v>0</v>
      </c>
      <c r="BC69" s="2173">
        <f t="shared" si="99"/>
        <v>0</v>
      </c>
      <c r="BD69" s="2174">
        <f t="shared" ca="1" si="100"/>
        <v>0</v>
      </c>
      <c r="BE69" s="2170">
        <v>0</v>
      </c>
      <c r="BF69" s="2170">
        <v>0</v>
      </c>
      <c r="BG69" s="2167">
        <f t="shared" si="101"/>
        <v>0</v>
      </c>
      <c r="BH69" s="2170">
        <v>0</v>
      </c>
      <c r="BI69" s="2167">
        <f t="shared" si="102"/>
        <v>0</v>
      </c>
      <c r="BJ69" s="2170">
        <v>0</v>
      </c>
      <c r="BK69" s="2170">
        <v>0</v>
      </c>
      <c r="BL69" s="2167">
        <v>0</v>
      </c>
      <c r="BM69" s="2167">
        <f t="shared" si="103"/>
        <v>101902.03199999999</v>
      </c>
      <c r="BN69" s="2167">
        <f t="shared" si="104"/>
        <v>0</v>
      </c>
      <c r="BO69" s="2170">
        <v>0</v>
      </c>
      <c r="BP69" s="2168">
        <f t="shared" ref="BP69:BP97" ca="1" si="106">SUM(E69:BO69)</f>
        <v>455964.86061729887</v>
      </c>
      <c r="BQ69" s="648"/>
      <c r="CA69" s="555" t="s">
        <v>1290</v>
      </c>
      <c r="CB69" s="20" t="s">
        <v>5247</v>
      </c>
      <c r="CC69" s="20" t="s">
        <v>5248</v>
      </c>
      <c r="CD69" s="20" t="s">
        <v>5249</v>
      </c>
      <c r="CE69" s="20" t="s">
        <v>5250</v>
      </c>
      <c r="CF69" s="20" t="s">
        <v>5251</v>
      </c>
      <c r="CG69" s="20" t="s">
        <v>5252</v>
      </c>
      <c r="CH69" s="20" t="s">
        <v>5253</v>
      </c>
      <c r="CI69" s="20" t="s">
        <v>5254</v>
      </c>
      <c r="CJ69" s="20" t="s">
        <v>5255</v>
      </c>
      <c r="CK69" s="20" t="s">
        <v>5256</v>
      </c>
      <c r="CL69" s="20" t="s">
        <v>5257</v>
      </c>
      <c r="CM69" s="20" t="s">
        <v>5258</v>
      </c>
      <c r="CN69" s="20" t="s">
        <v>5259</v>
      </c>
      <c r="CO69" s="20" t="s">
        <v>5260</v>
      </c>
      <c r="CP69" s="20">
        <v>0</v>
      </c>
      <c r="CQ69" s="20" t="s">
        <v>5261</v>
      </c>
      <c r="CR69" s="20" t="s">
        <v>5262</v>
      </c>
      <c r="CS69" s="20" t="s">
        <v>5263</v>
      </c>
      <c r="CT69" s="20" t="s">
        <v>5264</v>
      </c>
      <c r="CU69" s="20" t="s">
        <v>5265</v>
      </c>
      <c r="CV69" s="20" t="s">
        <v>5266</v>
      </c>
      <c r="CW69" s="20" t="s">
        <v>5267</v>
      </c>
      <c r="CX69" s="20" t="s">
        <v>5268</v>
      </c>
      <c r="CY69" s="20" t="s">
        <v>5269</v>
      </c>
      <c r="CZ69" s="20" t="s">
        <v>5270</v>
      </c>
      <c r="DA69" s="20" t="s">
        <v>5271</v>
      </c>
      <c r="DB69" s="20" t="s">
        <v>5272</v>
      </c>
      <c r="DC69" s="20" t="s">
        <v>5273</v>
      </c>
      <c r="DD69" s="20" t="s">
        <v>5274</v>
      </c>
      <c r="DE69" s="20" t="s">
        <v>5275</v>
      </c>
      <c r="DF69" s="20" t="s">
        <v>5276</v>
      </c>
      <c r="DG69" s="20" t="s">
        <v>5277</v>
      </c>
      <c r="DH69" s="20" t="s">
        <v>5278</v>
      </c>
      <c r="DI69" s="20" t="s">
        <v>5279</v>
      </c>
      <c r="DJ69" s="20" t="s">
        <v>5280</v>
      </c>
      <c r="DK69" s="20" t="s">
        <v>5281</v>
      </c>
      <c r="DL69" s="20" t="s">
        <v>5282</v>
      </c>
      <c r="DM69" s="20" t="s">
        <v>5283</v>
      </c>
      <c r="DN69" s="20" t="s">
        <v>5284</v>
      </c>
      <c r="DO69" s="20" t="s">
        <v>5285</v>
      </c>
      <c r="DP69" s="20" t="s">
        <v>5286</v>
      </c>
      <c r="DQ69" s="20" t="s">
        <v>5287</v>
      </c>
      <c r="DR69" s="20" t="s">
        <v>5288</v>
      </c>
      <c r="DS69" s="20" t="s">
        <v>5289</v>
      </c>
      <c r="DT69" s="20" t="s">
        <v>5290</v>
      </c>
      <c r="DU69" s="20" t="s">
        <v>5291</v>
      </c>
      <c r="DV69" s="20" t="s">
        <v>5292</v>
      </c>
      <c r="DW69" s="20" t="s">
        <v>5293</v>
      </c>
      <c r="DX69" s="20" t="s">
        <v>5294</v>
      </c>
      <c r="DY69" s="20" t="s">
        <v>5295</v>
      </c>
      <c r="DZ69" s="20" t="s">
        <v>5296</v>
      </c>
      <c r="EA69" s="20" t="s">
        <v>5297</v>
      </c>
      <c r="EB69" s="20">
        <v>0</v>
      </c>
      <c r="EC69" s="20">
        <v>0</v>
      </c>
      <c r="ED69" s="20" t="s">
        <v>5298</v>
      </c>
      <c r="EE69" s="20">
        <v>0</v>
      </c>
      <c r="EF69" s="20" t="s">
        <v>5299</v>
      </c>
      <c r="EG69" s="20">
        <v>0</v>
      </c>
      <c r="EH69" s="20">
        <v>0</v>
      </c>
      <c r="EI69" s="20">
        <v>0</v>
      </c>
      <c r="EJ69" s="20" t="s">
        <v>5300</v>
      </c>
      <c r="EK69" s="20" t="s">
        <v>5301</v>
      </c>
      <c r="EL69" s="20">
        <v>0</v>
      </c>
    </row>
    <row r="70" spans="1:142" s="259" customFormat="1" ht="11.25" x14ac:dyDescent="0.2">
      <c r="A70" s="876" t="str">
        <f>TOTTRANS</f>
        <v>Transport</v>
      </c>
      <c r="B70" s="554" t="s">
        <v>1297</v>
      </c>
      <c r="C70" s="877"/>
      <c r="D70" s="878"/>
      <c r="E70" s="2175">
        <f t="shared" ref="E70:R70" ca="1" si="107">SUM(E71:E76)</f>
        <v>0</v>
      </c>
      <c r="F70" s="2175">
        <f t="shared" ca="1" si="107"/>
        <v>0</v>
      </c>
      <c r="G70" s="2175">
        <f t="shared" ca="1" si="107"/>
        <v>0</v>
      </c>
      <c r="H70" s="2175">
        <f t="shared" ca="1" si="107"/>
        <v>0</v>
      </c>
      <c r="I70" s="2175">
        <f t="shared" ca="1" si="107"/>
        <v>0</v>
      </c>
      <c r="J70" s="2175">
        <f t="shared" ca="1" si="107"/>
        <v>0</v>
      </c>
      <c r="K70" s="2175">
        <f t="shared" ca="1" si="107"/>
        <v>0</v>
      </c>
      <c r="L70" s="2175">
        <f t="shared" ca="1" si="107"/>
        <v>0</v>
      </c>
      <c r="M70" s="2175">
        <f t="shared" ca="1" si="107"/>
        <v>0</v>
      </c>
      <c r="N70" s="2175">
        <f t="shared" ca="1" si="107"/>
        <v>0</v>
      </c>
      <c r="O70" s="2175">
        <f t="shared" ca="1" si="107"/>
        <v>0</v>
      </c>
      <c r="P70" s="2175">
        <f t="shared" ca="1" si="107"/>
        <v>0</v>
      </c>
      <c r="Q70" s="2175">
        <f t="shared" ca="1" si="107"/>
        <v>0</v>
      </c>
      <c r="R70" s="2175">
        <f t="shared" ca="1" si="107"/>
        <v>0</v>
      </c>
      <c r="S70" s="2175">
        <v>0</v>
      </c>
      <c r="T70" s="2175">
        <f t="shared" ref="T70:BD70" ca="1" si="108">SUM(T71:T76)</f>
        <v>0</v>
      </c>
      <c r="U70" s="2175">
        <f t="shared" ca="1" si="108"/>
        <v>0</v>
      </c>
      <c r="V70" s="2175">
        <f t="shared" ca="1" si="108"/>
        <v>0</v>
      </c>
      <c r="W70" s="2175">
        <f t="shared" ca="1" si="108"/>
        <v>0</v>
      </c>
      <c r="X70" s="2175">
        <f t="shared" ca="1" si="108"/>
        <v>0</v>
      </c>
      <c r="Y70" s="2175">
        <f t="shared" ca="1" si="108"/>
        <v>0</v>
      </c>
      <c r="Z70" s="2175">
        <f t="shared" ca="1" si="108"/>
        <v>0</v>
      </c>
      <c r="AA70" s="2175">
        <f t="shared" ca="1" si="108"/>
        <v>0</v>
      </c>
      <c r="AB70" s="2175">
        <f t="shared" ca="1" si="108"/>
        <v>0</v>
      </c>
      <c r="AC70" s="2175">
        <f t="shared" ca="1" si="108"/>
        <v>0</v>
      </c>
      <c r="AD70" s="2175">
        <f t="shared" ca="1" si="108"/>
        <v>361.24888569726562</v>
      </c>
      <c r="AE70" s="2175">
        <f t="shared" ca="1" si="108"/>
        <v>245638.49640948157</v>
      </c>
      <c r="AF70" s="2175">
        <f t="shared" ca="1" si="108"/>
        <v>15783.215758750001</v>
      </c>
      <c r="AG70" s="2175">
        <f t="shared" ca="1" si="108"/>
        <v>43684.803728325438</v>
      </c>
      <c r="AH70" s="2175">
        <f t="shared" ca="1" si="108"/>
        <v>0</v>
      </c>
      <c r="AI70" s="2175">
        <f t="shared" ca="1" si="108"/>
        <v>2047.0998533125878</v>
      </c>
      <c r="AJ70" s="2175">
        <f t="shared" ca="1" si="108"/>
        <v>223869.7698372505</v>
      </c>
      <c r="AK70" s="2175">
        <f t="shared" ca="1" si="108"/>
        <v>3700.7138331404112</v>
      </c>
      <c r="AL70" s="2175">
        <f t="shared" ca="1" si="108"/>
        <v>0</v>
      </c>
      <c r="AM70" s="2175">
        <f t="shared" ca="1" si="108"/>
        <v>0</v>
      </c>
      <c r="AN70" s="2175">
        <f t="shared" ca="1" si="108"/>
        <v>0</v>
      </c>
      <c r="AO70" s="2175">
        <f t="shared" ca="1" si="108"/>
        <v>0</v>
      </c>
      <c r="AP70" s="2175">
        <f t="shared" ca="1" si="108"/>
        <v>0</v>
      </c>
      <c r="AQ70" s="2175">
        <f t="shared" ca="1" si="108"/>
        <v>0</v>
      </c>
      <c r="AR70" s="2176">
        <f t="shared" ca="1" si="108"/>
        <v>0</v>
      </c>
      <c r="AS70" s="2177">
        <f t="shared" ca="1" si="108"/>
        <v>0</v>
      </c>
      <c r="AT70" s="2175">
        <f t="shared" si="108"/>
        <v>0</v>
      </c>
      <c r="AU70" s="2175">
        <f t="shared" si="108"/>
        <v>0</v>
      </c>
      <c r="AV70" s="2175">
        <f t="shared" si="108"/>
        <v>0</v>
      </c>
      <c r="AW70" s="2175">
        <f t="shared" si="108"/>
        <v>0</v>
      </c>
      <c r="AX70" s="2175">
        <f t="shared" si="108"/>
        <v>0</v>
      </c>
      <c r="AY70" s="2175">
        <f t="shared" ca="1" si="108"/>
        <v>0</v>
      </c>
      <c r="AZ70" s="2175">
        <f t="shared" ca="1" si="108"/>
        <v>0</v>
      </c>
      <c r="BA70" s="2175">
        <f t="shared" ca="1" si="108"/>
        <v>0</v>
      </c>
      <c r="BB70" s="2175">
        <f t="shared" ca="1" si="108"/>
        <v>0</v>
      </c>
      <c r="BC70" s="2175">
        <f t="shared" si="108"/>
        <v>0</v>
      </c>
      <c r="BD70" s="2176">
        <f t="shared" ca="1" si="108"/>
        <v>0</v>
      </c>
      <c r="BE70" s="2175">
        <v>0</v>
      </c>
      <c r="BF70" s="2175">
        <v>0</v>
      </c>
      <c r="BG70" s="2175">
        <f>SUM(BG71:BG76)</f>
        <v>0</v>
      </c>
      <c r="BH70" s="2175">
        <v>0</v>
      </c>
      <c r="BI70" s="2175">
        <f>SUM(BI71:BI76)</f>
        <v>0</v>
      </c>
      <c r="BJ70" s="2175">
        <v>0</v>
      </c>
      <c r="BK70" s="2175">
        <v>0</v>
      </c>
      <c r="BL70" s="2175">
        <f>SUM(BL71:BL76)</f>
        <v>0</v>
      </c>
      <c r="BM70" s="2175">
        <f>SUM(BM71:BM76)</f>
        <v>11526.505200000001</v>
      </c>
      <c r="BN70" s="2175">
        <f>SUM(BN71:BN76)</f>
        <v>0</v>
      </c>
      <c r="BO70" s="2175">
        <v>0</v>
      </c>
      <c r="BP70" s="2178">
        <f t="shared" ca="1" si="106"/>
        <v>546611.85350595787</v>
      </c>
      <c r="BQ70" s="666"/>
      <c r="CA70" s="561" t="s">
        <v>1297</v>
      </c>
      <c r="CB70" s="20" t="s">
        <v>5302</v>
      </c>
      <c r="CC70" s="20" t="s">
        <v>5303</v>
      </c>
      <c r="CD70" s="20" t="s">
        <v>5304</v>
      </c>
      <c r="CE70" s="20" t="s">
        <v>5305</v>
      </c>
      <c r="CF70" s="20" t="s">
        <v>5306</v>
      </c>
      <c r="CG70" s="20" t="s">
        <v>5307</v>
      </c>
      <c r="CH70" s="20" t="s">
        <v>5308</v>
      </c>
      <c r="CI70" s="20" t="s">
        <v>5309</v>
      </c>
      <c r="CJ70" s="20" t="s">
        <v>5310</v>
      </c>
      <c r="CK70" s="20" t="s">
        <v>5311</v>
      </c>
      <c r="CL70" s="20" t="s">
        <v>5312</v>
      </c>
      <c r="CM70" s="20" t="s">
        <v>5313</v>
      </c>
      <c r="CN70" s="20" t="s">
        <v>5314</v>
      </c>
      <c r="CO70" s="20" t="s">
        <v>5315</v>
      </c>
      <c r="CP70" s="20">
        <v>0</v>
      </c>
      <c r="CQ70" s="20" t="s">
        <v>5316</v>
      </c>
      <c r="CR70" s="20" t="s">
        <v>5317</v>
      </c>
      <c r="CS70" s="20" t="s">
        <v>5318</v>
      </c>
      <c r="CT70" s="20" t="s">
        <v>5319</v>
      </c>
      <c r="CU70" s="20" t="s">
        <v>5320</v>
      </c>
      <c r="CV70" s="20" t="s">
        <v>5321</v>
      </c>
      <c r="CW70" s="20" t="s">
        <v>5322</v>
      </c>
      <c r="CX70" s="20" t="s">
        <v>5323</v>
      </c>
      <c r="CY70" s="20" t="s">
        <v>5324</v>
      </c>
      <c r="CZ70" s="20" t="s">
        <v>5325</v>
      </c>
      <c r="DA70" s="20" t="s">
        <v>5326</v>
      </c>
      <c r="DB70" s="20" t="s">
        <v>5327</v>
      </c>
      <c r="DC70" s="20" t="s">
        <v>5328</v>
      </c>
      <c r="DD70" s="20" t="s">
        <v>5329</v>
      </c>
      <c r="DE70" s="20" t="s">
        <v>5330</v>
      </c>
      <c r="DF70" s="20" t="s">
        <v>5331</v>
      </c>
      <c r="DG70" s="20" t="s">
        <v>5332</v>
      </c>
      <c r="DH70" s="20" t="s">
        <v>5333</v>
      </c>
      <c r="DI70" s="20" t="s">
        <v>5334</v>
      </c>
      <c r="DJ70" s="20" t="s">
        <v>5335</v>
      </c>
      <c r="DK70" s="20" t="s">
        <v>5336</v>
      </c>
      <c r="DL70" s="20" t="s">
        <v>5337</v>
      </c>
      <c r="DM70" s="20" t="s">
        <v>5338</v>
      </c>
      <c r="DN70" s="20" t="s">
        <v>5339</v>
      </c>
      <c r="DO70" s="20" t="s">
        <v>5340</v>
      </c>
      <c r="DP70" s="20" t="s">
        <v>5341</v>
      </c>
      <c r="DQ70" s="20" t="s">
        <v>5342</v>
      </c>
      <c r="DR70" s="20" t="s">
        <v>5343</v>
      </c>
      <c r="DS70" s="20" t="s">
        <v>5344</v>
      </c>
      <c r="DT70" s="20" t="s">
        <v>5345</v>
      </c>
      <c r="DU70" s="20" t="s">
        <v>5346</v>
      </c>
      <c r="DV70" s="20" t="s">
        <v>5347</v>
      </c>
      <c r="DW70" s="20" t="s">
        <v>5348</v>
      </c>
      <c r="DX70" s="20" t="s">
        <v>5349</v>
      </c>
      <c r="DY70" s="20" t="s">
        <v>5350</v>
      </c>
      <c r="DZ70" s="20" t="s">
        <v>5351</v>
      </c>
      <c r="EA70" s="20" t="s">
        <v>5352</v>
      </c>
      <c r="EB70" s="20">
        <v>0</v>
      </c>
      <c r="EC70" s="20">
        <v>0</v>
      </c>
      <c r="ED70" s="20" t="s">
        <v>5353</v>
      </c>
      <c r="EE70" s="20">
        <v>0</v>
      </c>
      <c r="EF70" s="20" t="s">
        <v>5354</v>
      </c>
      <c r="EG70" s="20">
        <v>0</v>
      </c>
      <c r="EH70" s="20">
        <v>0</v>
      </c>
      <c r="EI70" s="20" t="s">
        <v>5355</v>
      </c>
      <c r="EJ70" s="20" t="s">
        <v>5356</v>
      </c>
      <c r="EK70" s="20" t="s">
        <v>5357</v>
      </c>
      <c r="EL70" s="20">
        <v>0</v>
      </c>
    </row>
    <row r="71" spans="1:142" s="20" customFormat="1" ht="11.25" x14ac:dyDescent="0.2">
      <c r="A71" s="904" t="str">
        <f>ROAD</f>
        <v>Road</v>
      </c>
      <c r="B71" s="230" t="s">
        <v>1304</v>
      </c>
      <c r="C71" s="230" t="s">
        <v>1653</v>
      </c>
      <c r="D71" s="221">
        <f t="shared" ref="D71:D76" si="109">MATCH(C71,CFHeadings,0)</f>
        <v>16</v>
      </c>
      <c r="E71" s="2169">
        <f t="shared" ref="E71:N76" ca="1" si="110">VLOOKUP($B71,RawData,E$4,FALSE)*VLOOKUP(E$3,ConversionFactors,$D71,FALSE)/1000</f>
        <v>0</v>
      </c>
      <c r="F71" s="2169">
        <f t="shared" ca="1" si="110"/>
        <v>0</v>
      </c>
      <c r="G71" s="2169">
        <f t="shared" ca="1" si="110"/>
        <v>0</v>
      </c>
      <c r="H71" s="2169">
        <f t="shared" ca="1" si="110"/>
        <v>0</v>
      </c>
      <c r="I71" s="2169">
        <f t="shared" ca="1" si="110"/>
        <v>0</v>
      </c>
      <c r="J71" s="2169">
        <f t="shared" ca="1" si="110"/>
        <v>0</v>
      </c>
      <c r="K71" s="2169">
        <f t="shared" ca="1" si="110"/>
        <v>0</v>
      </c>
      <c r="L71" s="2169">
        <f t="shared" ca="1" si="110"/>
        <v>0</v>
      </c>
      <c r="M71" s="2169">
        <f t="shared" ca="1" si="110"/>
        <v>0</v>
      </c>
      <c r="N71" s="2169">
        <f t="shared" ca="1" si="110"/>
        <v>0</v>
      </c>
      <c r="O71" s="2169">
        <f t="shared" ref="O71:R76" ca="1" si="111">(VLOOKUP($B71,RawData,O$4,FALSE)*VLOOKUP(O$3,ConversionFactors,2,FALSE))*1</f>
        <v>0</v>
      </c>
      <c r="P71" s="2169">
        <f t="shared" ca="1" si="111"/>
        <v>0</v>
      </c>
      <c r="Q71" s="2169">
        <f t="shared" ca="1" si="111"/>
        <v>0</v>
      </c>
      <c r="R71" s="2169">
        <f t="shared" ca="1" si="111"/>
        <v>0</v>
      </c>
      <c r="S71" s="2170">
        <v>0</v>
      </c>
      <c r="T71" s="2169">
        <f t="shared" ref="T71:V76" ca="1" si="112">VLOOKUP($B71,RawData,T$4,FALSE)*VLOOKUP(T$3,ConversionFactors,$D71,FALSE)/1000</f>
        <v>0</v>
      </c>
      <c r="U71" s="2169">
        <f t="shared" ca="1" si="112"/>
        <v>0</v>
      </c>
      <c r="V71" s="2169">
        <f t="shared" ca="1" si="112"/>
        <v>0</v>
      </c>
      <c r="W71" s="2161">
        <f t="shared" ref="W71:AB76" ca="1" si="113">VLOOKUP($B71,RawData,W$4,FALSE)*VLOOKUP(W$3,ConversionFactors,2,FALSE)/1000</f>
        <v>0</v>
      </c>
      <c r="X71" s="2161">
        <f t="shared" ca="1" si="113"/>
        <v>0</v>
      </c>
      <c r="Y71" s="2161">
        <f t="shared" ca="1" si="113"/>
        <v>0</v>
      </c>
      <c r="Z71" s="2161">
        <f t="shared" ca="1" si="113"/>
        <v>0</v>
      </c>
      <c r="AA71" s="2161">
        <f t="shared" ca="1" si="113"/>
        <v>0</v>
      </c>
      <c r="AB71" s="2161">
        <f t="shared" ca="1" si="113"/>
        <v>0</v>
      </c>
      <c r="AC71" s="2161">
        <f t="shared" ref="AC71:AM76" ca="1" si="114">VLOOKUP($B71,RawData,AC$4,FALSE)*VLOOKUP(AC$3,ConversionFactors,2,FALSE)/1000000</f>
        <v>0</v>
      </c>
      <c r="AD71" s="2161">
        <f t="shared" ca="1" si="114"/>
        <v>353.14265775000001</v>
      </c>
      <c r="AE71" s="2161">
        <f t="shared" ca="1" si="114"/>
        <v>245492.36932500001</v>
      </c>
      <c r="AF71" s="2161">
        <f t="shared" ca="1" si="114"/>
        <v>0</v>
      </c>
      <c r="AG71" s="2161">
        <f t="shared" ca="1" si="114"/>
        <v>0</v>
      </c>
      <c r="AH71" s="2161">
        <f t="shared" ca="1" si="114"/>
        <v>0</v>
      </c>
      <c r="AI71" s="2161">
        <f t="shared" ca="1" si="114"/>
        <v>0</v>
      </c>
      <c r="AJ71" s="2161">
        <f t="shared" ca="1" si="114"/>
        <v>218453.16937799999</v>
      </c>
      <c r="AK71" s="2161">
        <f t="shared" ca="1" si="114"/>
        <v>711.96381555468747</v>
      </c>
      <c r="AL71" s="2161">
        <f t="shared" ca="1" si="114"/>
        <v>0</v>
      </c>
      <c r="AM71" s="2161">
        <f t="shared" ca="1" si="114"/>
        <v>0</v>
      </c>
      <c r="AN71" s="2161">
        <f t="shared" ref="AN71:AR76" ca="1" si="115">VLOOKUP($B71,RawData,AN$4,FALSE)*VLOOKUP(AN$3,ConversionFactors,2,FALSE)/1000</f>
        <v>0</v>
      </c>
      <c r="AO71" s="2161">
        <f t="shared" ca="1" si="115"/>
        <v>0</v>
      </c>
      <c r="AP71" s="2161">
        <f t="shared" ca="1" si="115"/>
        <v>0</v>
      </c>
      <c r="AQ71" s="2161">
        <f t="shared" ca="1" si="115"/>
        <v>0</v>
      </c>
      <c r="AR71" s="2171">
        <f t="shared" ca="1" si="115"/>
        <v>0</v>
      </c>
      <c r="AS71" s="2172">
        <f t="shared" ref="AS71:AS76" ca="1" si="116">VLOOKUP($B71,RawData,AS$4,FALSE)*VLOOKUP(AS$3,ConversionFactors,2,FALSE)*1</f>
        <v>0</v>
      </c>
      <c r="AT71" s="2173">
        <f t="shared" ref="AT71:AX76" si="117">VLOOKUP($B71,RawData,AT$4,FALSE)*1</f>
        <v>0</v>
      </c>
      <c r="AU71" s="2173">
        <f t="shared" si="117"/>
        <v>0</v>
      </c>
      <c r="AV71" s="2173">
        <f t="shared" si="117"/>
        <v>0</v>
      </c>
      <c r="AW71" s="2173">
        <f t="shared" si="117"/>
        <v>0</v>
      </c>
      <c r="AX71" s="2173">
        <f t="shared" si="117"/>
        <v>0</v>
      </c>
      <c r="AY71" s="2173">
        <f t="shared" ref="AY71:BB76" ca="1" si="118">VLOOKUP($B71,RawData,AY$4,FALSE)*VLOOKUP(AY$3,ConversionFactors,2,FALSE)/1000</f>
        <v>0</v>
      </c>
      <c r="AZ71" s="2173">
        <f t="shared" ca="1" si="118"/>
        <v>0</v>
      </c>
      <c r="BA71" s="2173">
        <f t="shared" ca="1" si="118"/>
        <v>0</v>
      </c>
      <c r="BB71" s="2173">
        <f t="shared" ca="1" si="118"/>
        <v>0</v>
      </c>
      <c r="BC71" s="2173">
        <f t="shared" ref="BC71:BC76" si="119">VLOOKUP($B71,RawData,BC$4,FALSE)*1</f>
        <v>0</v>
      </c>
      <c r="BD71" s="2174">
        <f t="shared" ref="BD71:BD76" ca="1" si="120">VLOOKUP($B71,RawData,BD$4,FALSE)*VLOOKUP(BD$3,ConversionFactors,2,FALSE)/1000</f>
        <v>0</v>
      </c>
      <c r="BE71" s="2170">
        <v>0</v>
      </c>
      <c r="BF71" s="2170">
        <v>0</v>
      </c>
      <c r="BG71" s="2167">
        <f t="shared" ref="BG71:BG76" si="121">VLOOKUP($B71,RawData,BG$4,FALSE)*1</f>
        <v>0</v>
      </c>
      <c r="BH71" s="2170">
        <v>0</v>
      </c>
      <c r="BI71" s="2167">
        <f t="shared" ref="BI71:BI76" si="122">VLOOKUP($B71,RawData,BI$4,FALSE)*1</f>
        <v>0</v>
      </c>
      <c r="BJ71" s="2170">
        <v>0</v>
      </c>
      <c r="BK71" s="2170">
        <v>0</v>
      </c>
      <c r="BL71" s="2167">
        <v>0</v>
      </c>
      <c r="BM71" s="2167">
        <f t="shared" ref="BM71:BM76" si="123">VLOOKUP($B71,RawData,BM$4,FALSE)*3.6</f>
        <v>193.34880000000001</v>
      </c>
      <c r="BN71" s="2167">
        <f t="shared" ref="BN71:BN76" si="124">VLOOKUP($B71,RawData,BN$4,FALSE)*1</f>
        <v>0</v>
      </c>
      <c r="BO71" s="2170">
        <v>0</v>
      </c>
      <c r="BP71" s="2168">
        <f t="shared" ca="1" si="106"/>
        <v>465203.99397630466</v>
      </c>
      <c r="BQ71" s="648"/>
      <c r="CA71" s="555" t="s">
        <v>1304</v>
      </c>
      <c r="CB71" s="20" t="s">
        <v>5358</v>
      </c>
      <c r="CC71" s="20" t="s">
        <v>5359</v>
      </c>
      <c r="CD71" s="20" t="s">
        <v>5360</v>
      </c>
      <c r="CE71" s="20" t="s">
        <v>5361</v>
      </c>
      <c r="CF71" s="20" t="s">
        <v>5362</v>
      </c>
      <c r="CG71" s="20" t="s">
        <v>5363</v>
      </c>
      <c r="CH71" s="20" t="s">
        <v>5364</v>
      </c>
      <c r="CI71" s="20" t="s">
        <v>5365</v>
      </c>
      <c r="CJ71" s="20" t="s">
        <v>5366</v>
      </c>
      <c r="CK71" s="20" t="s">
        <v>5367</v>
      </c>
      <c r="CL71" s="20" t="s">
        <v>5368</v>
      </c>
      <c r="CM71" s="20" t="s">
        <v>5369</v>
      </c>
      <c r="CN71" s="20" t="s">
        <v>5370</v>
      </c>
      <c r="CO71" s="20" t="s">
        <v>5371</v>
      </c>
      <c r="CP71" s="20">
        <v>0</v>
      </c>
      <c r="CQ71" s="20" t="s">
        <v>5372</v>
      </c>
      <c r="CR71" s="20" t="s">
        <v>5373</v>
      </c>
      <c r="CS71" s="20" t="s">
        <v>5374</v>
      </c>
      <c r="CT71" s="20" t="s">
        <v>5375</v>
      </c>
      <c r="CU71" s="20" t="s">
        <v>5376</v>
      </c>
      <c r="CV71" s="20" t="s">
        <v>5377</v>
      </c>
      <c r="CW71" s="20" t="s">
        <v>5378</v>
      </c>
      <c r="CX71" s="20" t="s">
        <v>5379</v>
      </c>
      <c r="CY71" s="20" t="s">
        <v>5380</v>
      </c>
      <c r="CZ71" s="20" t="s">
        <v>5381</v>
      </c>
      <c r="DA71" s="20" t="s">
        <v>5382</v>
      </c>
      <c r="DB71" s="20" t="s">
        <v>5383</v>
      </c>
      <c r="DC71" s="20" t="s">
        <v>5384</v>
      </c>
      <c r="DD71" s="20" t="s">
        <v>5385</v>
      </c>
      <c r="DE71" s="20" t="s">
        <v>5386</v>
      </c>
      <c r="DF71" s="20" t="s">
        <v>5387</v>
      </c>
      <c r="DG71" s="20" t="s">
        <v>5388</v>
      </c>
      <c r="DH71" s="20" t="s">
        <v>5389</v>
      </c>
      <c r="DI71" s="20" t="s">
        <v>5390</v>
      </c>
      <c r="DJ71" s="20" t="s">
        <v>5391</v>
      </c>
      <c r="DK71" s="20" t="s">
        <v>5392</v>
      </c>
      <c r="DL71" s="20" t="s">
        <v>5393</v>
      </c>
      <c r="DM71" s="20" t="s">
        <v>5394</v>
      </c>
      <c r="DN71" s="20" t="s">
        <v>5395</v>
      </c>
      <c r="DO71" s="20" t="s">
        <v>5396</v>
      </c>
      <c r="DP71" s="20" t="s">
        <v>5397</v>
      </c>
      <c r="DQ71" s="20" t="s">
        <v>5398</v>
      </c>
      <c r="DR71" s="20" t="s">
        <v>5399</v>
      </c>
      <c r="DS71" s="20" t="s">
        <v>5400</v>
      </c>
      <c r="DT71" s="20" t="s">
        <v>5401</v>
      </c>
      <c r="DU71" s="20" t="s">
        <v>5402</v>
      </c>
      <c r="DV71" s="20" t="s">
        <v>5403</v>
      </c>
      <c r="DW71" s="20" t="s">
        <v>5404</v>
      </c>
      <c r="DX71" s="20" t="s">
        <v>5405</v>
      </c>
      <c r="DY71" s="20" t="s">
        <v>5406</v>
      </c>
      <c r="DZ71" s="20" t="s">
        <v>5407</v>
      </c>
      <c r="EA71" s="20" t="s">
        <v>5408</v>
      </c>
      <c r="EB71" s="20">
        <v>0</v>
      </c>
      <c r="EC71" s="20">
        <v>0</v>
      </c>
      <c r="ED71" s="20" t="s">
        <v>5409</v>
      </c>
      <c r="EE71" s="20">
        <v>0</v>
      </c>
      <c r="EF71" s="20" t="s">
        <v>5410</v>
      </c>
      <c r="EG71" s="20">
        <v>0</v>
      </c>
      <c r="EH71" s="20">
        <v>0</v>
      </c>
      <c r="EI71" s="20">
        <v>0</v>
      </c>
      <c r="EJ71" s="20" t="s">
        <v>5411</v>
      </c>
      <c r="EK71" s="20" t="s">
        <v>5412</v>
      </c>
      <c r="EL71" s="20">
        <v>0</v>
      </c>
    </row>
    <row r="72" spans="1:142" s="20" customFormat="1" ht="11.25" x14ac:dyDescent="0.2">
      <c r="A72" s="904" t="str">
        <f>DOMESAIR</f>
        <v>Domestic aviation</v>
      </c>
      <c r="B72" s="230" t="s">
        <v>1311</v>
      </c>
      <c r="C72" s="230" t="s">
        <v>1653</v>
      </c>
      <c r="D72" s="221">
        <f t="shared" si="109"/>
        <v>16</v>
      </c>
      <c r="E72" s="2169">
        <f t="shared" ca="1" si="110"/>
        <v>0</v>
      </c>
      <c r="F72" s="2169">
        <f t="shared" ca="1" si="110"/>
        <v>0</v>
      </c>
      <c r="G72" s="2169">
        <f t="shared" ca="1" si="110"/>
        <v>0</v>
      </c>
      <c r="H72" s="2169">
        <f t="shared" ca="1" si="110"/>
        <v>0</v>
      </c>
      <c r="I72" s="2169">
        <f t="shared" ca="1" si="110"/>
        <v>0</v>
      </c>
      <c r="J72" s="2169">
        <f t="shared" ca="1" si="110"/>
        <v>0</v>
      </c>
      <c r="K72" s="2169">
        <f t="shared" ca="1" si="110"/>
        <v>0</v>
      </c>
      <c r="L72" s="2169">
        <f t="shared" ca="1" si="110"/>
        <v>0</v>
      </c>
      <c r="M72" s="2169">
        <f t="shared" ca="1" si="110"/>
        <v>0</v>
      </c>
      <c r="N72" s="2169">
        <f t="shared" ca="1" si="110"/>
        <v>0</v>
      </c>
      <c r="O72" s="2169">
        <f t="shared" ca="1" si="111"/>
        <v>0</v>
      </c>
      <c r="P72" s="2169">
        <f t="shared" ca="1" si="111"/>
        <v>0</v>
      </c>
      <c r="Q72" s="2169">
        <f t="shared" ca="1" si="111"/>
        <v>0</v>
      </c>
      <c r="R72" s="2169">
        <f t="shared" ca="1" si="111"/>
        <v>0</v>
      </c>
      <c r="S72" s="2170">
        <v>0</v>
      </c>
      <c r="T72" s="2169">
        <f t="shared" ca="1" si="112"/>
        <v>0</v>
      </c>
      <c r="U72" s="2169">
        <f t="shared" ca="1" si="112"/>
        <v>0</v>
      </c>
      <c r="V72" s="2169">
        <f t="shared" ca="1" si="112"/>
        <v>0</v>
      </c>
      <c r="W72" s="2161">
        <f t="shared" ca="1" si="113"/>
        <v>0</v>
      </c>
      <c r="X72" s="2161">
        <f t="shared" ca="1" si="113"/>
        <v>0</v>
      </c>
      <c r="Y72" s="2161">
        <f t="shared" ca="1" si="113"/>
        <v>0</v>
      </c>
      <c r="Z72" s="2161">
        <f t="shared" ca="1" si="113"/>
        <v>0</v>
      </c>
      <c r="AA72" s="2161">
        <f t="shared" ca="1" si="113"/>
        <v>0</v>
      </c>
      <c r="AB72" s="2161">
        <f t="shared" ca="1" si="113"/>
        <v>0</v>
      </c>
      <c r="AC72" s="2161">
        <f t="shared" ca="1" si="114"/>
        <v>0</v>
      </c>
      <c r="AD72" s="2161">
        <f t="shared" ca="1" si="114"/>
        <v>0</v>
      </c>
      <c r="AE72" s="2161">
        <f t="shared" ca="1" si="114"/>
        <v>0</v>
      </c>
      <c r="AF72" s="2161">
        <f t="shared" ca="1" si="114"/>
        <v>15783.215758750001</v>
      </c>
      <c r="AG72" s="2161">
        <f t="shared" ca="1" si="114"/>
        <v>58.087259325439454</v>
      </c>
      <c r="AH72" s="2161">
        <f t="shared" ca="1" si="114"/>
        <v>0</v>
      </c>
      <c r="AI72" s="2161">
        <f t="shared" ca="1" si="114"/>
        <v>0</v>
      </c>
      <c r="AJ72" s="2161">
        <f t="shared" ca="1" si="114"/>
        <v>0</v>
      </c>
      <c r="AK72" s="2161">
        <f t="shared" ca="1" si="114"/>
        <v>0</v>
      </c>
      <c r="AL72" s="2161">
        <f t="shared" ca="1" si="114"/>
        <v>0</v>
      </c>
      <c r="AM72" s="2161">
        <f t="shared" ca="1" si="114"/>
        <v>0</v>
      </c>
      <c r="AN72" s="2161">
        <f t="shared" ca="1" si="115"/>
        <v>0</v>
      </c>
      <c r="AO72" s="2161">
        <f t="shared" ca="1" si="115"/>
        <v>0</v>
      </c>
      <c r="AP72" s="2161">
        <f t="shared" ca="1" si="115"/>
        <v>0</v>
      </c>
      <c r="AQ72" s="2161">
        <f t="shared" ca="1" si="115"/>
        <v>0</v>
      </c>
      <c r="AR72" s="2171">
        <f t="shared" ca="1" si="115"/>
        <v>0</v>
      </c>
      <c r="AS72" s="2172">
        <f t="shared" ca="1" si="116"/>
        <v>0</v>
      </c>
      <c r="AT72" s="2173">
        <f t="shared" si="117"/>
        <v>0</v>
      </c>
      <c r="AU72" s="2173">
        <f t="shared" si="117"/>
        <v>0</v>
      </c>
      <c r="AV72" s="2173">
        <f t="shared" si="117"/>
        <v>0</v>
      </c>
      <c r="AW72" s="2173">
        <f t="shared" si="117"/>
        <v>0</v>
      </c>
      <c r="AX72" s="2173">
        <f t="shared" si="117"/>
        <v>0</v>
      </c>
      <c r="AY72" s="2173">
        <f t="shared" ca="1" si="118"/>
        <v>0</v>
      </c>
      <c r="AZ72" s="2173">
        <f t="shared" ca="1" si="118"/>
        <v>0</v>
      </c>
      <c r="BA72" s="2173">
        <f t="shared" ca="1" si="118"/>
        <v>0</v>
      </c>
      <c r="BB72" s="2173">
        <f t="shared" ca="1" si="118"/>
        <v>0</v>
      </c>
      <c r="BC72" s="2173">
        <f t="shared" si="119"/>
        <v>0</v>
      </c>
      <c r="BD72" s="2174">
        <f t="shared" ca="1" si="120"/>
        <v>0</v>
      </c>
      <c r="BE72" s="2170">
        <v>0</v>
      </c>
      <c r="BF72" s="2170">
        <v>0</v>
      </c>
      <c r="BG72" s="2167">
        <f t="shared" si="121"/>
        <v>0</v>
      </c>
      <c r="BH72" s="2170">
        <v>0</v>
      </c>
      <c r="BI72" s="2167">
        <f t="shared" si="122"/>
        <v>0</v>
      </c>
      <c r="BJ72" s="2170">
        <v>0</v>
      </c>
      <c r="BK72" s="2170">
        <v>0</v>
      </c>
      <c r="BL72" s="2167">
        <v>0</v>
      </c>
      <c r="BM72" s="2167">
        <f t="shared" si="123"/>
        <v>246.96360000000001</v>
      </c>
      <c r="BN72" s="2167">
        <f t="shared" si="124"/>
        <v>0</v>
      </c>
      <c r="BO72" s="2170">
        <v>0</v>
      </c>
      <c r="BP72" s="2168">
        <f t="shared" ca="1" si="106"/>
        <v>16088.266618075439</v>
      </c>
      <c r="BQ72" s="648"/>
      <c r="CA72" s="555" t="s">
        <v>1311</v>
      </c>
      <c r="CB72" s="20" t="s">
        <v>5413</v>
      </c>
      <c r="CC72" s="20" t="s">
        <v>5414</v>
      </c>
      <c r="CD72" s="20" t="s">
        <v>5415</v>
      </c>
      <c r="CE72" s="20" t="s">
        <v>5416</v>
      </c>
      <c r="CF72" s="20" t="s">
        <v>5417</v>
      </c>
      <c r="CG72" s="20" t="s">
        <v>5418</v>
      </c>
      <c r="CH72" s="20" t="s">
        <v>5419</v>
      </c>
      <c r="CI72" s="20" t="s">
        <v>5420</v>
      </c>
      <c r="CJ72" s="20" t="s">
        <v>5421</v>
      </c>
      <c r="CK72" s="20" t="s">
        <v>5422</v>
      </c>
      <c r="CL72" s="20" t="s">
        <v>5423</v>
      </c>
      <c r="CM72" s="20" t="s">
        <v>5424</v>
      </c>
      <c r="CN72" s="20" t="s">
        <v>5425</v>
      </c>
      <c r="CO72" s="20" t="s">
        <v>5426</v>
      </c>
      <c r="CP72" s="20">
        <v>0</v>
      </c>
      <c r="CQ72" s="20" t="s">
        <v>5427</v>
      </c>
      <c r="CR72" s="20" t="s">
        <v>5428</v>
      </c>
      <c r="CS72" s="20" t="s">
        <v>5429</v>
      </c>
      <c r="CT72" s="20" t="s">
        <v>5430</v>
      </c>
      <c r="CU72" s="20" t="s">
        <v>5431</v>
      </c>
      <c r="CV72" s="20" t="s">
        <v>5432</v>
      </c>
      <c r="CW72" s="20" t="s">
        <v>5433</v>
      </c>
      <c r="CX72" s="20" t="s">
        <v>5434</v>
      </c>
      <c r="CY72" s="20" t="s">
        <v>5435</v>
      </c>
      <c r="CZ72" s="20" t="s">
        <v>5436</v>
      </c>
      <c r="DA72" s="20" t="s">
        <v>5437</v>
      </c>
      <c r="DB72" s="20" t="s">
        <v>5438</v>
      </c>
      <c r="DC72" s="20" t="s">
        <v>5439</v>
      </c>
      <c r="DD72" s="20" t="s">
        <v>5440</v>
      </c>
      <c r="DE72" s="20" t="s">
        <v>5441</v>
      </c>
      <c r="DF72" s="20" t="s">
        <v>5442</v>
      </c>
      <c r="DG72" s="20" t="s">
        <v>5443</v>
      </c>
      <c r="DH72" s="20" t="s">
        <v>5444</v>
      </c>
      <c r="DI72" s="20" t="s">
        <v>5445</v>
      </c>
      <c r="DJ72" s="20" t="s">
        <v>5446</v>
      </c>
      <c r="DK72" s="20" t="s">
        <v>5447</v>
      </c>
      <c r="DL72" s="20" t="s">
        <v>5448</v>
      </c>
      <c r="DM72" s="20" t="s">
        <v>5449</v>
      </c>
      <c r="DN72" s="20" t="s">
        <v>5450</v>
      </c>
      <c r="DO72" s="20" t="s">
        <v>5451</v>
      </c>
      <c r="DP72" s="20" t="s">
        <v>5452</v>
      </c>
      <c r="DQ72" s="20" t="s">
        <v>5453</v>
      </c>
      <c r="DR72" s="20" t="s">
        <v>5454</v>
      </c>
      <c r="DS72" s="20" t="s">
        <v>5455</v>
      </c>
      <c r="DT72" s="20" t="s">
        <v>5456</v>
      </c>
      <c r="DU72" s="20" t="s">
        <v>5457</v>
      </c>
      <c r="DV72" s="20" t="s">
        <v>5458</v>
      </c>
      <c r="DW72" s="20" t="s">
        <v>5459</v>
      </c>
      <c r="DX72" s="20" t="s">
        <v>5460</v>
      </c>
      <c r="DY72" s="20" t="s">
        <v>5461</v>
      </c>
      <c r="DZ72" s="20" t="s">
        <v>5462</v>
      </c>
      <c r="EA72" s="20" t="s">
        <v>5463</v>
      </c>
      <c r="EB72" s="20">
        <v>0</v>
      </c>
      <c r="EC72" s="20">
        <v>0</v>
      </c>
      <c r="ED72" s="20" t="s">
        <v>5464</v>
      </c>
      <c r="EE72" s="20">
        <v>0</v>
      </c>
      <c r="EF72" s="20" t="s">
        <v>5465</v>
      </c>
      <c r="EG72" s="20">
        <v>0</v>
      </c>
      <c r="EH72" s="20">
        <v>0</v>
      </c>
      <c r="EI72" s="20">
        <v>0</v>
      </c>
      <c r="EJ72" s="20" t="s">
        <v>5466</v>
      </c>
      <c r="EK72" s="20" t="s">
        <v>5467</v>
      </c>
      <c r="EL72" s="20">
        <v>0</v>
      </c>
    </row>
    <row r="73" spans="1:142" s="20" customFormat="1" ht="11.25" x14ac:dyDescent="0.2">
      <c r="A73" s="904" t="str">
        <f>RAIL</f>
        <v>Rail</v>
      </c>
      <c r="B73" s="230" t="s">
        <v>1318</v>
      </c>
      <c r="C73" s="230" t="s">
        <v>1653</v>
      </c>
      <c r="D73" s="221">
        <f t="shared" si="109"/>
        <v>16</v>
      </c>
      <c r="E73" s="2169">
        <f t="shared" ca="1" si="110"/>
        <v>0</v>
      </c>
      <c r="F73" s="2169">
        <f t="shared" ca="1" si="110"/>
        <v>0</v>
      </c>
      <c r="G73" s="2169">
        <f t="shared" ca="1" si="110"/>
        <v>0</v>
      </c>
      <c r="H73" s="2169">
        <f t="shared" ca="1" si="110"/>
        <v>0</v>
      </c>
      <c r="I73" s="2169">
        <f t="shared" ca="1" si="110"/>
        <v>0</v>
      </c>
      <c r="J73" s="2169">
        <f t="shared" ca="1" si="110"/>
        <v>0</v>
      </c>
      <c r="K73" s="2169">
        <f t="shared" ca="1" si="110"/>
        <v>0</v>
      </c>
      <c r="L73" s="2169">
        <f t="shared" ca="1" si="110"/>
        <v>0</v>
      </c>
      <c r="M73" s="2169">
        <f t="shared" ca="1" si="110"/>
        <v>0</v>
      </c>
      <c r="N73" s="2169">
        <f t="shared" ca="1" si="110"/>
        <v>0</v>
      </c>
      <c r="O73" s="2169">
        <f t="shared" ca="1" si="111"/>
        <v>0</v>
      </c>
      <c r="P73" s="2169">
        <f t="shared" ca="1" si="111"/>
        <v>0</v>
      </c>
      <c r="Q73" s="2169">
        <f t="shared" ca="1" si="111"/>
        <v>0</v>
      </c>
      <c r="R73" s="2169">
        <f t="shared" ca="1" si="111"/>
        <v>0</v>
      </c>
      <c r="S73" s="2170">
        <v>0</v>
      </c>
      <c r="T73" s="2169">
        <f t="shared" ca="1" si="112"/>
        <v>0</v>
      </c>
      <c r="U73" s="2169">
        <f t="shared" ca="1" si="112"/>
        <v>0</v>
      </c>
      <c r="V73" s="2169">
        <f t="shared" ca="1" si="112"/>
        <v>0</v>
      </c>
      <c r="W73" s="2161">
        <f t="shared" ca="1" si="113"/>
        <v>0</v>
      </c>
      <c r="X73" s="2161">
        <f t="shared" ca="1" si="113"/>
        <v>0</v>
      </c>
      <c r="Y73" s="2161">
        <f t="shared" ca="1" si="113"/>
        <v>0</v>
      </c>
      <c r="Z73" s="2161">
        <f t="shared" ca="1" si="113"/>
        <v>0</v>
      </c>
      <c r="AA73" s="2161">
        <f t="shared" ca="1" si="113"/>
        <v>0</v>
      </c>
      <c r="AB73" s="2161">
        <f t="shared" ca="1" si="113"/>
        <v>0</v>
      </c>
      <c r="AC73" s="2161">
        <f t="shared" ca="1" si="114"/>
        <v>0</v>
      </c>
      <c r="AD73" s="2161">
        <f t="shared" ca="1" si="114"/>
        <v>3.5364951621093752</v>
      </c>
      <c r="AE73" s="2161">
        <f t="shared" ca="1" si="114"/>
        <v>19.09598014416504</v>
      </c>
      <c r="AF73" s="2161">
        <f t="shared" ca="1" si="114"/>
        <v>0</v>
      </c>
      <c r="AG73" s="2161">
        <f t="shared" ca="1" si="114"/>
        <v>0</v>
      </c>
      <c r="AH73" s="2161">
        <f t="shared" ca="1" si="114"/>
        <v>0</v>
      </c>
      <c r="AI73" s="2161">
        <f t="shared" ca="1" si="114"/>
        <v>0</v>
      </c>
      <c r="AJ73" s="2161">
        <f t="shared" ca="1" si="114"/>
        <v>4163.2447460859375</v>
      </c>
      <c r="AK73" s="2161">
        <f t="shared" ca="1" si="114"/>
        <v>40.423677005126954</v>
      </c>
      <c r="AL73" s="2161">
        <f t="shared" ca="1" si="114"/>
        <v>0</v>
      </c>
      <c r="AM73" s="2161">
        <f t="shared" ca="1" si="114"/>
        <v>0</v>
      </c>
      <c r="AN73" s="2161">
        <f t="shared" ca="1" si="115"/>
        <v>0</v>
      </c>
      <c r="AO73" s="2161">
        <f t="shared" ca="1" si="115"/>
        <v>0</v>
      </c>
      <c r="AP73" s="2161">
        <f t="shared" ca="1" si="115"/>
        <v>0</v>
      </c>
      <c r="AQ73" s="2161">
        <f t="shared" ca="1" si="115"/>
        <v>0</v>
      </c>
      <c r="AR73" s="2171">
        <f t="shared" ca="1" si="115"/>
        <v>0</v>
      </c>
      <c r="AS73" s="2172">
        <f t="shared" ca="1" si="116"/>
        <v>0</v>
      </c>
      <c r="AT73" s="2173">
        <f t="shared" si="117"/>
        <v>0</v>
      </c>
      <c r="AU73" s="2173">
        <f t="shared" si="117"/>
        <v>0</v>
      </c>
      <c r="AV73" s="2173">
        <f t="shared" si="117"/>
        <v>0</v>
      </c>
      <c r="AW73" s="2173">
        <f t="shared" si="117"/>
        <v>0</v>
      </c>
      <c r="AX73" s="2173">
        <f t="shared" si="117"/>
        <v>0</v>
      </c>
      <c r="AY73" s="2173">
        <f t="shared" ca="1" si="118"/>
        <v>0</v>
      </c>
      <c r="AZ73" s="2173">
        <f t="shared" ca="1" si="118"/>
        <v>0</v>
      </c>
      <c r="BA73" s="2173">
        <f t="shared" ca="1" si="118"/>
        <v>0</v>
      </c>
      <c r="BB73" s="2173">
        <f t="shared" ca="1" si="118"/>
        <v>0</v>
      </c>
      <c r="BC73" s="2173">
        <f t="shared" si="119"/>
        <v>0</v>
      </c>
      <c r="BD73" s="2174">
        <f t="shared" ca="1" si="120"/>
        <v>0</v>
      </c>
      <c r="BE73" s="2170">
        <v>0</v>
      </c>
      <c r="BF73" s="2170">
        <v>0</v>
      </c>
      <c r="BG73" s="2167">
        <f t="shared" si="121"/>
        <v>0</v>
      </c>
      <c r="BH73" s="2170">
        <v>0</v>
      </c>
      <c r="BI73" s="2167">
        <f t="shared" si="122"/>
        <v>0</v>
      </c>
      <c r="BJ73" s="2170">
        <v>0</v>
      </c>
      <c r="BK73" s="2170">
        <v>0</v>
      </c>
      <c r="BL73" s="2167">
        <v>0</v>
      </c>
      <c r="BM73" s="2167">
        <f t="shared" si="123"/>
        <v>9580.8780000000006</v>
      </c>
      <c r="BN73" s="2167">
        <f t="shared" si="124"/>
        <v>0</v>
      </c>
      <c r="BO73" s="2170">
        <v>0</v>
      </c>
      <c r="BP73" s="2168">
        <f t="shared" ca="1" si="106"/>
        <v>13807.178898397338</v>
      </c>
      <c r="BQ73" s="648"/>
      <c r="CA73" s="555" t="s">
        <v>1318</v>
      </c>
      <c r="CB73" s="20" t="s">
        <v>5468</v>
      </c>
      <c r="CC73" s="20" t="s">
        <v>5469</v>
      </c>
      <c r="CD73" s="20" t="s">
        <v>5470</v>
      </c>
      <c r="CE73" s="20" t="s">
        <v>5471</v>
      </c>
      <c r="CF73" s="20" t="s">
        <v>5472</v>
      </c>
      <c r="CG73" s="20" t="s">
        <v>5473</v>
      </c>
      <c r="CH73" s="20" t="s">
        <v>5474</v>
      </c>
      <c r="CI73" s="20" t="s">
        <v>5475</v>
      </c>
      <c r="CJ73" s="20" t="s">
        <v>5476</v>
      </c>
      <c r="CK73" s="20" t="s">
        <v>5477</v>
      </c>
      <c r="CL73" s="20" t="s">
        <v>5478</v>
      </c>
      <c r="CM73" s="20" t="s">
        <v>5479</v>
      </c>
      <c r="CN73" s="20" t="s">
        <v>5480</v>
      </c>
      <c r="CO73" s="20" t="s">
        <v>5481</v>
      </c>
      <c r="CP73" s="20">
        <v>0</v>
      </c>
      <c r="CQ73" s="20" t="s">
        <v>5482</v>
      </c>
      <c r="CR73" s="20" t="s">
        <v>5483</v>
      </c>
      <c r="CS73" s="20" t="s">
        <v>5484</v>
      </c>
      <c r="CT73" s="20" t="s">
        <v>5485</v>
      </c>
      <c r="CU73" s="20" t="s">
        <v>5486</v>
      </c>
      <c r="CV73" s="20" t="s">
        <v>5487</v>
      </c>
      <c r="CW73" s="20" t="s">
        <v>5488</v>
      </c>
      <c r="CX73" s="20" t="s">
        <v>5489</v>
      </c>
      <c r="CY73" s="20" t="s">
        <v>5490</v>
      </c>
      <c r="CZ73" s="20" t="s">
        <v>5491</v>
      </c>
      <c r="DA73" s="20" t="s">
        <v>5492</v>
      </c>
      <c r="DB73" s="20" t="s">
        <v>5493</v>
      </c>
      <c r="DC73" s="20" t="s">
        <v>5494</v>
      </c>
      <c r="DD73" s="20" t="s">
        <v>5495</v>
      </c>
      <c r="DE73" s="20" t="s">
        <v>5496</v>
      </c>
      <c r="DF73" s="20" t="s">
        <v>5497</v>
      </c>
      <c r="DG73" s="20" t="s">
        <v>5498</v>
      </c>
      <c r="DH73" s="20" t="s">
        <v>5499</v>
      </c>
      <c r="DI73" s="20" t="s">
        <v>5500</v>
      </c>
      <c r="DJ73" s="20" t="s">
        <v>5501</v>
      </c>
      <c r="DK73" s="20" t="s">
        <v>5502</v>
      </c>
      <c r="DL73" s="20" t="s">
        <v>5503</v>
      </c>
      <c r="DM73" s="20" t="s">
        <v>5504</v>
      </c>
      <c r="DN73" s="20" t="s">
        <v>5505</v>
      </c>
      <c r="DO73" s="20" t="s">
        <v>5506</v>
      </c>
      <c r="DP73" s="20" t="s">
        <v>5507</v>
      </c>
      <c r="DQ73" s="20" t="s">
        <v>5508</v>
      </c>
      <c r="DR73" s="20" t="s">
        <v>5509</v>
      </c>
      <c r="DS73" s="20" t="s">
        <v>5510</v>
      </c>
      <c r="DT73" s="20" t="s">
        <v>5511</v>
      </c>
      <c r="DU73" s="20" t="s">
        <v>5512</v>
      </c>
      <c r="DV73" s="20" t="s">
        <v>5513</v>
      </c>
      <c r="DW73" s="20" t="s">
        <v>5514</v>
      </c>
      <c r="DX73" s="20" t="s">
        <v>5515</v>
      </c>
      <c r="DY73" s="20" t="s">
        <v>5516</v>
      </c>
      <c r="DZ73" s="20" t="s">
        <v>5517</v>
      </c>
      <c r="EA73" s="20" t="s">
        <v>5518</v>
      </c>
      <c r="EB73" s="20">
        <v>0</v>
      </c>
      <c r="EC73" s="20">
        <v>0</v>
      </c>
      <c r="ED73" s="20" t="s">
        <v>5519</v>
      </c>
      <c r="EE73" s="20">
        <v>0</v>
      </c>
      <c r="EF73" s="20" t="s">
        <v>5520</v>
      </c>
      <c r="EG73" s="20">
        <v>0</v>
      </c>
      <c r="EH73" s="20">
        <v>0</v>
      </c>
      <c r="EI73" s="20">
        <v>0</v>
      </c>
      <c r="EJ73" s="20" t="s">
        <v>5521</v>
      </c>
      <c r="EK73" s="20" t="s">
        <v>5522</v>
      </c>
      <c r="EL73" s="20">
        <v>0</v>
      </c>
    </row>
    <row r="74" spans="1:142" s="20" customFormat="1" ht="11.25" x14ac:dyDescent="0.2">
      <c r="A74" s="904" t="str">
        <f>PIPELINE</f>
        <v>Pipeline transport</v>
      </c>
      <c r="B74" s="230" t="s">
        <v>1325</v>
      </c>
      <c r="C74" s="230" t="s">
        <v>1653</v>
      </c>
      <c r="D74" s="221">
        <f t="shared" si="109"/>
        <v>16</v>
      </c>
      <c r="E74" s="2169">
        <f t="shared" ca="1" si="110"/>
        <v>0</v>
      </c>
      <c r="F74" s="2169">
        <f t="shared" ca="1" si="110"/>
        <v>0</v>
      </c>
      <c r="G74" s="2169">
        <f t="shared" ca="1" si="110"/>
        <v>0</v>
      </c>
      <c r="H74" s="2169">
        <f t="shared" ca="1" si="110"/>
        <v>0</v>
      </c>
      <c r="I74" s="2169">
        <f t="shared" ca="1" si="110"/>
        <v>0</v>
      </c>
      <c r="J74" s="2169">
        <f t="shared" ca="1" si="110"/>
        <v>0</v>
      </c>
      <c r="K74" s="2169">
        <f t="shared" ca="1" si="110"/>
        <v>0</v>
      </c>
      <c r="L74" s="2169">
        <f t="shared" ca="1" si="110"/>
        <v>0</v>
      </c>
      <c r="M74" s="2169">
        <f t="shared" ca="1" si="110"/>
        <v>0</v>
      </c>
      <c r="N74" s="2169">
        <f t="shared" ca="1" si="110"/>
        <v>0</v>
      </c>
      <c r="O74" s="2169">
        <f t="shared" ca="1" si="111"/>
        <v>0</v>
      </c>
      <c r="P74" s="2169">
        <f t="shared" ca="1" si="111"/>
        <v>0</v>
      </c>
      <c r="Q74" s="2169">
        <f t="shared" ca="1" si="111"/>
        <v>0</v>
      </c>
      <c r="R74" s="2169">
        <f t="shared" ca="1" si="111"/>
        <v>0</v>
      </c>
      <c r="S74" s="2170">
        <v>0</v>
      </c>
      <c r="T74" s="2169">
        <f t="shared" ca="1" si="112"/>
        <v>0</v>
      </c>
      <c r="U74" s="2169">
        <f t="shared" ca="1" si="112"/>
        <v>0</v>
      </c>
      <c r="V74" s="2169">
        <f t="shared" ca="1" si="112"/>
        <v>0</v>
      </c>
      <c r="W74" s="2161">
        <f t="shared" ca="1" si="113"/>
        <v>0</v>
      </c>
      <c r="X74" s="2161">
        <f t="shared" ca="1" si="113"/>
        <v>0</v>
      </c>
      <c r="Y74" s="2161">
        <f t="shared" ca="1" si="113"/>
        <v>0</v>
      </c>
      <c r="Z74" s="2161">
        <f t="shared" ca="1" si="113"/>
        <v>0</v>
      </c>
      <c r="AA74" s="2161">
        <f t="shared" ca="1" si="113"/>
        <v>0</v>
      </c>
      <c r="AB74" s="2161">
        <f t="shared" ca="1" si="113"/>
        <v>0</v>
      </c>
      <c r="AC74" s="2161">
        <f t="shared" ca="1" si="114"/>
        <v>0</v>
      </c>
      <c r="AD74" s="2161">
        <f t="shared" ca="1" si="114"/>
        <v>0</v>
      </c>
      <c r="AE74" s="2161">
        <f t="shared" ca="1" si="114"/>
        <v>0.36175499999999999</v>
      </c>
      <c r="AF74" s="2161">
        <f t="shared" ca="1" si="114"/>
        <v>0</v>
      </c>
      <c r="AG74" s="2161">
        <f t="shared" ca="1" si="114"/>
        <v>0</v>
      </c>
      <c r="AH74" s="2161">
        <f t="shared" ca="1" si="114"/>
        <v>0</v>
      </c>
      <c r="AI74" s="2161">
        <f t="shared" ca="1" si="114"/>
        <v>0</v>
      </c>
      <c r="AJ74" s="2161">
        <f t="shared" ca="1" si="114"/>
        <v>538.46299744531245</v>
      </c>
      <c r="AK74" s="2161">
        <f t="shared" ca="1" si="114"/>
        <v>2936.1576549375</v>
      </c>
      <c r="AL74" s="2161">
        <f t="shared" ca="1" si="114"/>
        <v>0</v>
      </c>
      <c r="AM74" s="2161">
        <f t="shared" ca="1" si="114"/>
        <v>0</v>
      </c>
      <c r="AN74" s="2161">
        <f t="shared" ca="1" si="115"/>
        <v>0</v>
      </c>
      <c r="AO74" s="2161">
        <f t="shared" ca="1" si="115"/>
        <v>0</v>
      </c>
      <c r="AP74" s="2161">
        <f t="shared" ca="1" si="115"/>
        <v>0</v>
      </c>
      <c r="AQ74" s="2161">
        <f t="shared" ca="1" si="115"/>
        <v>0</v>
      </c>
      <c r="AR74" s="2171">
        <f t="shared" ca="1" si="115"/>
        <v>0</v>
      </c>
      <c r="AS74" s="2172">
        <f t="shared" ca="1" si="116"/>
        <v>0</v>
      </c>
      <c r="AT74" s="2173">
        <f t="shared" si="117"/>
        <v>0</v>
      </c>
      <c r="AU74" s="2173">
        <f t="shared" si="117"/>
        <v>0</v>
      </c>
      <c r="AV74" s="2173">
        <f t="shared" si="117"/>
        <v>0</v>
      </c>
      <c r="AW74" s="2173">
        <f t="shared" si="117"/>
        <v>0</v>
      </c>
      <c r="AX74" s="2173">
        <f t="shared" si="117"/>
        <v>0</v>
      </c>
      <c r="AY74" s="2173">
        <f t="shared" ca="1" si="118"/>
        <v>0</v>
      </c>
      <c r="AZ74" s="2173">
        <f t="shared" ca="1" si="118"/>
        <v>0</v>
      </c>
      <c r="BA74" s="2173">
        <f t="shared" ca="1" si="118"/>
        <v>0</v>
      </c>
      <c r="BB74" s="2173">
        <f t="shared" ca="1" si="118"/>
        <v>0</v>
      </c>
      <c r="BC74" s="2173">
        <f t="shared" si="119"/>
        <v>0</v>
      </c>
      <c r="BD74" s="2174">
        <f t="shared" ca="1" si="120"/>
        <v>0</v>
      </c>
      <c r="BE74" s="2170">
        <v>0</v>
      </c>
      <c r="BF74" s="2170">
        <v>0</v>
      </c>
      <c r="BG74" s="2167">
        <f t="shared" si="121"/>
        <v>0</v>
      </c>
      <c r="BH74" s="2170">
        <v>0</v>
      </c>
      <c r="BI74" s="2167">
        <f t="shared" si="122"/>
        <v>0</v>
      </c>
      <c r="BJ74" s="2170">
        <v>0</v>
      </c>
      <c r="BK74" s="2170">
        <v>0</v>
      </c>
      <c r="BL74" s="2167">
        <v>0</v>
      </c>
      <c r="BM74" s="2167">
        <f t="shared" si="123"/>
        <v>263.99880000000002</v>
      </c>
      <c r="BN74" s="2167">
        <f t="shared" si="124"/>
        <v>0</v>
      </c>
      <c r="BO74" s="2170">
        <v>0</v>
      </c>
      <c r="BP74" s="2168">
        <f t="shared" ca="1" si="106"/>
        <v>3738.981207382812</v>
      </c>
      <c r="BQ74" s="648"/>
      <c r="CA74" s="555" t="s">
        <v>1325</v>
      </c>
      <c r="CB74" s="20" t="s">
        <v>5523</v>
      </c>
      <c r="CC74" s="20" t="s">
        <v>5524</v>
      </c>
      <c r="CD74" s="20" t="s">
        <v>5525</v>
      </c>
      <c r="CE74" s="20" t="s">
        <v>5526</v>
      </c>
      <c r="CF74" s="20" t="s">
        <v>5527</v>
      </c>
      <c r="CG74" s="20" t="s">
        <v>5528</v>
      </c>
      <c r="CH74" s="20" t="s">
        <v>5529</v>
      </c>
      <c r="CI74" s="20" t="s">
        <v>5530</v>
      </c>
      <c r="CJ74" s="20" t="s">
        <v>5531</v>
      </c>
      <c r="CK74" s="20" t="s">
        <v>5532</v>
      </c>
      <c r="CL74" s="20" t="s">
        <v>5533</v>
      </c>
      <c r="CM74" s="20" t="s">
        <v>5534</v>
      </c>
      <c r="CN74" s="20" t="s">
        <v>5535</v>
      </c>
      <c r="CO74" s="20" t="s">
        <v>5536</v>
      </c>
      <c r="CP74" s="20">
        <v>0</v>
      </c>
      <c r="CQ74" s="20" t="s">
        <v>5537</v>
      </c>
      <c r="CR74" s="20" t="s">
        <v>5538</v>
      </c>
      <c r="CS74" s="20" t="s">
        <v>5539</v>
      </c>
      <c r="CT74" s="20" t="s">
        <v>5540</v>
      </c>
      <c r="CU74" s="20" t="s">
        <v>5541</v>
      </c>
      <c r="CV74" s="20" t="s">
        <v>5542</v>
      </c>
      <c r="CW74" s="20" t="s">
        <v>5543</v>
      </c>
      <c r="CX74" s="20" t="s">
        <v>5544</v>
      </c>
      <c r="CY74" s="20" t="s">
        <v>5545</v>
      </c>
      <c r="CZ74" s="20" t="s">
        <v>5546</v>
      </c>
      <c r="DA74" s="20" t="s">
        <v>5547</v>
      </c>
      <c r="DB74" s="20" t="s">
        <v>5548</v>
      </c>
      <c r="DC74" s="20" t="s">
        <v>5549</v>
      </c>
      <c r="DD74" s="20" t="s">
        <v>5550</v>
      </c>
      <c r="DE74" s="20" t="s">
        <v>5551</v>
      </c>
      <c r="DF74" s="20" t="s">
        <v>5552</v>
      </c>
      <c r="DG74" s="20" t="s">
        <v>5553</v>
      </c>
      <c r="DH74" s="20" t="s">
        <v>5554</v>
      </c>
      <c r="DI74" s="20" t="s">
        <v>5555</v>
      </c>
      <c r="DJ74" s="20" t="s">
        <v>5556</v>
      </c>
      <c r="DK74" s="20" t="s">
        <v>5557</v>
      </c>
      <c r="DL74" s="20" t="s">
        <v>5558</v>
      </c>
      <c r="DM74" s="20" t="s">
        <v>5559</v>
      </c>
      <c r="DN74" s="20" t="s">
        <v>5560</v>
      </c>
      <c r="DO74" s="20" t="s">
        <v>5561</v>
      </c>
      <c r="DP74" s="20" t="s">
        <v>5562</v>
      </c>
      <c r="DQ74" s="20" t="s">
        <v>5563</v>
      </c>
      <c r="DR74" s="20" t="s">
        <v>5564</v>
      </c>
      <c r="DS74" s="20" t="s">
        <v>5565</v>
      </c>
      <c r="DT74" s="20" t="s">
        <v>5566</v>
      </c>
      <c r="DU74" s="20" t="s">
        <v>5567</v>
      </c>
      <c r="DV74" s="20" t="s">
        <v>5568</v>
      </c>
      <c r="DW74" s="20" t="s">
        <v>5569</v>
      </c>
      <c r="DX74" s="20" t="s">
        <v>5570</v>
      </c>
      <c r="DY74" s="20" t="s">
        <v>5571</v>
      </c>
      <c r="DZ74" s="20" t="s">
        <v>5572</v>
      </c>
      <c r="EA74" s="20" t="s">
        <v>5573</v>
      </c>
      <c r="EB74" s="20">
        <v>0</v>
      </c>
      <c r="EC74" s="20">
        <v>0</v>
      </c>
      <c r="ED74" s="20" t="s">
        <v>5574</v>
      </c>
      <c r="EE74" s="20">
        <v>0</v>
      </c>
      <c r="EF74" s="20" t="s">
        <v>5575</v>
      </c>
      <c r="EG74" s="20">
        <v>0</v>
      </c>
      <c r="EH74" s="20">
        <v>0</v>
      </c>
      <c r="EI74" s="20">
        <v>0</v>
      </c>
      <c r="EJ74" s="20" t="s">
        <v>5576</v>
      </c>
      <c r="EK74" s="20" t="s">
        <v>5577</v>
      </c>
      <c r="EL74" s="20">
        <v>0</v>
      </c>
    </row>
    <row r="75" spans="1:142" s="20" customFormat="1" ht="11.25" x14ac:dyDescent="0.2">
      <c r="A75" s="904" t="str">
        <f>DOMESNAV</f>
        <v>Domestic navigation</v>
      </c>
      <c r="B75" s="230" t="s">
        <v>1332</v>
      </c>
      <c r="C75" s="230" t="s">
        <v>1653</v>
      </c>
      <c r="D75" s="221">
        <f t="shared" si="109"/>
        <v>16</v>
      </c>
      <c r="E75" s="2169">
        <f t="shared" ca="1" si="110"/>
        <v>0</v>
      </c>
      <c r="F75" s="2169">
        <f t="shared" ca="1" si="110"/>
        <v>0</v>
      </c>
      <c r="G75" s="2169">
        <f t="shared" ca="1" si="110"/>
        <v>0</v>
      </c>
      <c r="H75" s="2169">
        <f t="shared" ca="1" si="110"/>
        <v>0</v>
      </c>
      <c r="I75" s="2169">
        <f t="shared" ca="1" si="110"/>
        <v>0</v>
      </c>
      <c r="J75" s="2169">
        <f t="shared" ca="1" si="110"/>
        <v>0</v>
      </c>
      <c r="K75" s="2169">
        <f t="shared" ca="1" si="110"/>
        <v>0</v>
      </c>
      <c r="L75" s="2169">
        <f t="shared" ca="1" si="110"/>
        <v>0</v>
      </c>
      <c r="M75" s="2169">
        <f t="shared" ca="1" si="110"/>
        <v>0</v>
      </c>
      <c r="N75" s="2169">
        <f t="shared" ca="1" si="110"/>
        <v>0</v>
      </c>
      <c r="O75" s="2169">
        <f t="shared" ca="1" si="111"/>
        <v>0</v>
      </c>
      <c r="P75" s="2169">
        <f t="shared" ca="1" si="111"/>
        <v>0</v>
      </c>
      <c r="Q75" s="2169">
        <f t="shared" ca="1" si="111"/>
        <v>0</v>
      </c>
      <c r="R75" s="2169">
        <f t="shared" ca="1" si="111"/>
        <v>0</v>
      </c>
      <c r="S75" s="2170">
        <v>0</v>
      </c>
      <c r="T75" s="2169">
        <f t="shared" ca="1" si="112"/>
        <v>0</v>
      </c>
      <c r="U75" s="2169">
        <f t="shared" ca="1" si="112"/>
        <v>0</v>
      </c>
      <c r="V75" s="2169">
        <f t="shared" ca="1" si="112"/>
        <v>0</v>
      </c>
      <c r="W75" s="2161">
        <f t="shared" ca="1" si="113"/>
        <v>0</v>
      </c>
      <c r="X75" s="2161">
        <f t="shared" ca="1" si="113"/>
        <v>0</v>
      </c>
      <c r="Y75" s="2161">
        <f t="shared" ca="1" si="113"/>
        <v>0</v>
      </c>
      <c r="Z75" s="2161">
        <f t="shared" ca="1" si="113"/>
        <v>0</v>
      </c>
      <c r="AA75" s="2161">
        <f t="shared" ca="1" si="113"/>
        <v>0</v>
      </c>
      <c r="AB75" s="2161">
        <f t="shared" ca="1" si="113"/>
        <v>0</v>
      </c>
      <c r="AC75" s="2161">
        <f t="shared" ca="1" si="114"/>
        <v>0</v>
      </c>
      <c r="AD75" s="2161">
        <f t="shared" ca="1" si="114"/>
        <v>0</v>
      </c>
      <c r="AE75" s="2161">
        <f t="shared" ca="1" si="114"/>
        <v>55.010812232666012</v>
      </c>
      <c r="AF75" s="2161">
        <f t="shared" ca="1" si="114"/>
        <v>0</v>
      </c>
      <c r="AG75" s="2161">
        <f t="shared" ca="1" si="114"/>
        <v>43626.716468999999</v>
      </c>
      <c r="AH75" s="2161">
        <f t="shared" ca="1" si="114"/>
        <v>0</v>
      </c>
      <c r="AI75" s="2161">
        <f t="shared" ca="1" si="114"/>
        <v>0</v>
      </c>
      <c r="AJ75" s="2161">
        <f t="shared" ca="1" si="114"/>
        <v>256.94582534716795</v>
      </c>
      <c r="AK75" s="2161">
        <f t="shared" ca="1" si="114"/>
        <v>5.7945313317260743</v>
      </c>
      <c r="AL75" s="2161">
        <f t="shared" ca="1" si="114"/>
        <v>0</v>
      </c>
      <c r="AM75" s="2161">
        <f t="shared" ca="1" si="114"/>
        <v>0</v>
      </c>
      <c r="AN75" s="2161">
        <f t="shared" ca="1" si="115"/>
        <v>0</v>
      </c>
      <c r="AO75" s="2161">
        <f t="shared" ca="1" si="115"/>
        <v>0</v>
      </c>
      <c r="AP75" s="2161">
        <f t="shared" ca="1" si="115"/>
        <v>0</v>
      </c>
      <c r="AQ75" s="2161">
        <f t="shared" ca="1" si="115"/>
        <v>0</v>
      </c>
      <c r="AR75" s="2171">
        <f t="shared" ca="1" si="115"/>
        <v>0</v>
      </c>
      <c r="AS75" s="2172">
        <f t="shared" ca="1" si="116"/>
        <v>0</v>
      </c>
      <c r="AT75" s="2173">
        <f t="shared" si="117"/>
        <v>0</v>
      </c>
      <c r="AU75" s="2173">
        <f t="shared" si="117"/>
        <v>0</v>
      </c>
      <c r="AV75" s="2173">
        <f t="shared" si="117"/>
        <v>0</v>
      </c>
      <c r="AW75" s="2173">
        <f t="shared" si="117"/>
        <v>0</v>
      </c>
      <c r="AX75" s="2173">
        <f t="shared" si="117"/>
        <v>0</v>
      </c>
      <c r="AY75" s="2173">
        <f t="shared" ca="1" si="118"/>
        <v>0</v>
      </c>
      <c r="AZ75" s="2173">
        <f t="shared" ca="1" si="118"/>
        <v>0</v>
      </c>
      <c r="BA75" s="2173">
        <f t="shared" ca="1" si="118"/>
        <v>0</v>
      </c>
      <c r="BB75" s="2173">
        <f t="shared" ca="1" si="118"/>
        <v>0</v>
      </c>
      <c r="BC75" s="2173">
        <f t="shared" si="119"/>
        <v>0</v>
      </c>
      <c r="BD75" s="2174">
        <f t="shared" ca="1" si="120"/>
        <v>0</v>
      </c>
      <c r="BE75" s="2170">
        <v>0</v>
      </c>
      <c r="BF75" s="2170">
        <v>0</v>
      </c>
      <c r="BG75" s="2167">
        <f t="shared" si="121"/>
        <v>0</v>
      </c>
      <c r="BH75" s="2170">
        <v>0</v>
      </c>
      <c r="BI75" s="2167">
        <f t="shared" si="122"/>
        <v>0</v>
      </c>
      <c r="BJ75" s="2170">
        <v>0</v>
      </c>
      <c r="BK75" s="2170">
        <v>0</v>
      </c>
      <c r="BL75" s="2167">
        <v>0</v>
      </c>
      <c r="BM75" s="2167">
        <f t="shared" si="123"/>
        <v>0</v>
      </c>
      <c r="BN75" s="2167">
        <f t="shared" si="124"/>
        <v>0</v>
      </c>
      <c r="BO75" s="2170">
        <v>0</v>
      </c>
      <c r="BP75" s="2168">
        <f t="shared" ca="1" si="106"/>
        <v>43944.467637911555</v>
      </c>
      <c r="BQ75" s="648"/>
      <c r="CA75" s="555" t="s">
        <v>1332</v>
      </c>
      <c r="CB75" s="20" t="s">
        <v>5578</v>
      </c>
      <c r="CC75" s="20" t="s">
        <v>5579</v>
      </c>
      <c r="CD75" s="20" t="s">
        <v>5580</v>
      </c>
      <c r="CE75" s="20" t="s">
        <v>5581</v>
      </c>
      <c r="CF75" s="20" t="s">
        <v>5582</v>
      </c>
      <c r="CG75" s="20" t="s">
        <v>5583</v>
      </c>
      <c r="CH75" s="20" t="s">
        <v>5584</v>
      </c>
      <c r="CI75" s="20" t="s">
        <v>5585</v>
      </c>
      <c r="CJ75" s="20" t="s">
        <v>5586</v>
      </c>
      <c r="CK75" s="20" t="s">
        <v>5587</v>
      </c>
      <c r="CL75" s="20" t="s">
        <v>5588</v>
      </c>
      <c r="CM75" s="20" t="s">
        <v>5589</v>
      </c>
      <c r="CN75" s="20" t="s">
        <v>5590</v>
      </c>
      <c r="CO75" s="20" t="s">
        <v>5591</v>
      </c>
      <c r="CP75" s="20">
        <v>0</v>
      </c>
      <c r="CQ75" s="20" t="s">
        <v>5592</v>
      </c>
      <c r="CR75" s="20" t="s">
        <v>5593</v>
      </c>
      <c r="CS75" s="20" t="s">
        <v>5594</v>
      </c>
      <c r="CT75" s="20" t="s">
        <v>5595</v>
      </c>
      <c r="CU75" s="20" t="s">
        <v>5596</v>
      </c>
      <c r="CV75" s="20" t="s">
        <v>5597</v>
      </c>
      <c r="CW75" s="20" t="s">
        <v>5598</v>
      </c>
      <c r="CX75" s="20" t="s">
        <v>5599</v>
      </c>
      <c r="CY75" s="20" t="s">
        <v>5600</v>
      </c>
      <c r="CZ75" s="20" t="s">
        <v>5601</v>
      </c>
      <c r="DA75" s="20" t="s">
        <v>5602</v>
      </c>
      <c r="DB75" s="20" t="s">
        <v>5603</v>
      </c>
      <c r="DC75" s="20" t="s">
        <v>5604</v>
      </c>
      <c r="DD75" s="20" t="s">
        <v>5605</v>
      </c>
      <c r="DE75" s="20" t="s">
        <v>5606</v>
      </c>
      <c r="DF75" s="20" t="s">
        <v>5607</v>
      </c>
      <c r="DG75" s="20" t="s">
        <v>5608</v>
      </c>
      <c r="DH75" s="20" t="s">
        <v>5609</v>
      </c>
      <c r="DI75" s="20" t="s">
        <v>5610</v>
      </c>
      <c r="DJ75" s="20" t="s">
        <v>5611</v>
      </c>
      <c r="DK75" s="20" t="s">
        <v>5612</v>
      </c>
      <c r="DL75" s="20" t="s">
        <v>5613</v>
      </c>
      <c r="DM75" s="20" t="s">
        <v>5614</v>
      </c>
      <c r="DN75" s="20" t="s">
        <v>5615</v>
      </c>
      <c r="DO75" s="20" t="s">
        <v>5616</v>
      </c>
      <c r="DP75" s="20" t="s">
        <v>5617</v>
      </c>
      <c r="DQ75" s="20" t="s">
        <v>5618</v>
      </c>
      <c r="DR75" s="20" t="s">
        <v>5619</v>
      </c>
      <c r="DS75" s="20" t="s">
        <v>5620</v>
      </c>
      <c r="DT75" s="20" t="s">
        <v>5621</v>
      </c>
      <c r="DU75" s="20" t="s">
        <v>5622</v>
      </c>
      <c r="DV75" s="20" t="s">
        <v>5623</v>
      </c>
      <c r="DW75" s="20" t="s">
        <v>5624</v>
      </c>
      <c r="DX75" s="20" t="s">
        <v>5625</v>
      </c>
      <c r="DY75" s="20" t="s">
        <v>5626</v>
      </c>
      <c r="DZ75" s="20" t="s">
        <v>5627</v>
      </c>
      <c r="EA75" s="20" t="s">
        <v>5628</v>
      </c>
      <c r="EB75" s="20">
        <v>0</v>
      </c>
      <c r="EC75" s="20">
        <v>0</v>
      </c>
      <c r="ED75" s="20" t="s">
        <v>5629</v>
      </c>
      <c r="EE75" s="20">
        <v>0</v>
      </c>
      <c r="EF75" s="20" t="s">
        <v>5630</v>
      </c>
      <c r="EG75" s="20">
        <v>0</v>
      </c>
      <c r="EH75" s="20">
        <v>0</v>
      </c>
      <c r="EI75" s="20">
        <v>0</v>
      </c>
      <c r="EJ75" s="20" t="s">
        <v>5631</v>
      </c>
      <c r="EK75" s="20" t="s">
        <v>5632</v>
      </c>
      <c r="EL75" s="20">
        <v>0</v>
      </c>
    </row>
    <row r="76" spans="1:142" s="20" customFormat="1" ht="11.25" x14ac:dyDescent="0.2">
      <c r="A76" s="904" t="str">
        <f>TRNONSPE</f>
        <v>Non-specified (transport)</v>
      </c>
      <c r="B76" s="230" t="s">
        <v>1339</v>
      </c>
      <c r="C76" s="230" t="s">
        <v>1653</v>
      </c>
      <c r="D76" s="221">
        <f t="shared" si="109"/>
        <v>16</v>
      </c>
      <c r="E76" s="2169">
        <f t="shared" ca="1" si="110"/>
        <v>0</v>
      </c>
      <c r="F76" s="2169">
        <f t="shared" ca="1" si="110"/>
        <v>0</v>
      </c>
      <c r="G76" s="2169">
        <f t="shared" ca="1" si="110"/>
        <v>0</v>
      </c>
      <c r="H76" s="2169">
        <f t="shared" ca="1" si="110"/>
        <v>0</v>
      </c>
      <c r="I76" s="2169">
        <f t="shared" ca="1" si="110"/>
        <v>0</v>
      </c>
      <c r="J76" s="2169">
        <f t="shared" ca="1" si="110"/>
        <v>0</v>
      </c>
      <c r="K76" s="2169">
        <f t="shared" ca="1" si="110"/>
        <v>0</v>
      </c>
      <c r="L76" s="2169">
        <f t="shared" ca="1" si="110"/>
        <v>0</v>
      </c>
      <c r="M76" s="2169">
        <f t="shared" ca="1" si="110"/>
        <v>0</v>
      </c>
      <c r="N76" s="2169">
        <f t="shared" ca="1" si="110"/>
        <v>0</v>
      </c>
      <c r="O76" s="2169">
        <f t="shared" ca="1" si="111"/>
        <v>0</v>
      </c>
      <c r="P76" s="2169">
        <f t="shared" ca="1" si="111"/>
        <v>0</v>
      </c>
      <c r="Q76" s="2169">
        <f t="shared" ca="1" si="111"/>
        <v>0</v>
      </c>
      <c r="R76" s="2169">
        <f t="shared" ca="1" si="111"/>
        <v>0</v>
      </c>
      <c r="S76" s="2170">
        <v>0</v>
      </c>
      <c r="T76" s="2169">
        <f t="shared" ca="1" si="112"/>
        <v>0</v>
      </c>
      <c r="U76" s="2169">
        <f t="shared" ca="1" si="112"/>
        <v>0</v>
      </c>
      <c r="V76" s="2169">
        <f t="shared" ca="1" si="112"/>
        <v>0</v>
      </c>
      <c r="W76" s="2161">
        <f t="shared" ca="1" si="113"/>
        <v>0</v>
      </c>
      <c r="X76" s="2161">
        <f t="shared" ca="1" si="113"/>
        <v>0</v>
      </c>
      <c r="Y76" s="2161">
        <f t="shared" ca="1" si="113"/>
        <v>0</v>
      </c>
      <c r="Z76" s="2161">
        <f t="shared" ca="1" si="113"/>
        <v>0</v>
      </c>
      <c r="AA76" s="2161">
        <f t="shared" ca="1" si="113"/>
        <v>0</v>
      </c>
      <c r="AB76" s="2161">
        <f t="shared" ca="1" si="113"/>
        <v>0</v>
      </c>
      <c r="AC76" s="2161">
        <f t="shared" ca="1" si="114"/>
        <v>0</v>
      </c>
      <c r="AD76" s="2161">
        <f t="shared" ca="1" si="114"/>
        <v>4.5697327851562504</v>
      </c>
      <c r="AE76" s="2161">
        <f t="shared" ca="1" si="114"/>
        <v>71.658537104736325</v>
      </c>
      <c r="AF76" s="2161">
        <f t="shared" ca="1" si="114"/>
        <v>0</v>
      </c>
      <c r="AG76" s="2161">
        <f t="shared" ca="1" si="114"/>
        <v>0</v>
      </c>
      <c r="AH76" s="2161">
        <f t="shared" ca="1" si="114"/>
        <v>0</v>
      </c>
      <c r="AI76" s="2161">
        <f t="shared" ca="1" si="114"/>
        <v>2047.0998533125878</v>
      </c>
      <c r="AJ76" s="2161">
        <f t="shared" ca="1" si="114"/>
        <v>457.9468903720703</v>
      </c>
      <c r="AK76" s="2161">
        <f t="shared" ca="1" si="114"/>
        <v>6.3741543113708499</v>
      </c>
      <c r="AL76" s="2161">
        <f t="shared" ca="1" si="114"/>
        <v>0</v>
      </c>
      <c r="AM76" s="2161">
        <f t="shared" ca="1" si="114"/>
        <v>0</v>
      </c>
      <c r="AN76" s="2161">
        <f t="shared" ca="1" si="115"/>
        <v>0</v>
      </c>
      <c r="AO76" s="2161">
        <f t="shared" ca="1" si="115"/>
        <v>0</v>
      </c>
      <c r="AP76" s="2161">
        <f t="shared" ca="1" si="115"/>
        <v>0</v>
      </c>
      <c r="AQ76" s="2161">
        <f t="shared" ca="1" si="115"/>
        <v>0</v>
      </c>
      <c r="AR76" s="2171">
        <f t="shared" ca="1" si="115"/>
        <v>0</v>
      </c>
      <c r="AS76" s="2172">
        <f t="shared" ca="1" si="116"/>
        <v>0</v>
      </c>
      <c r="AT76" s="2173">
        <f t="shared" si="117"/>
        <v>0</v>
      </c>
      <c r="AU76" s="2173">
        <f t="shared" si="117"/>
        <v>0</v>
      </c>
      <c r="AV76" s="2173">
        <f t="shared" si="117"/>
        <v>0</v>
      </c>
      <c r="AW76" s="2173">
        <f t="shared" si="117"/>
        <v>0</v>
      </c>
      <c r="AX76" s="2173">
        <f t="shared" si="117"/>
        <v>0</v>
      </c>
      <c r="AY76" s="2173">
        <f t="shared" ca="1" si="118"/>
        <v>0</v>
      </c>
      <c r="AZ76" s="2173">
        <f t="shared" ca="1" si="118"/>
        <v>0</v>
      </c>
      <c r="BA76" s="2173">
        <f t="shared" ca="1" si="118"/>
        <v>0</v>
      </c>
      <c r="BB76" s="2173">
        <f t="shared" ca="1" si="118"/>
        <v>0</v>
      </c>
      <c r="BC76" s="2173">
        <f t="shared" si="119"/>
        <v>0</v>
      </c>
      <c r="BD76" s="2174">
        <f t="shared" ca="1" si="120"/>
        <v>0</v>
      </c>
      <c r="BE76" s="2170">
        <v>0</v>
      </c>
      <c r="BF76" s="2170">
        <v>0</v>
      </c>
      <c r="BG76" s="2167">
        <f t="shared" si="121"/>
        <v>0</v>
      </c>
      <c r="BH76" s="2170">
        <v>0</v>
      </c>
      <c r="BI76" s="2167">
        <f t="shared" si="122"/>
        <v>0</v>
      </c>
      <c r="BJ76" s="2170">
        <v>0</v>
      </c>
      <c r="BK76" s="2170">
        <v>0</v>
      </c>
      <c r="BL76" s="2167">
        <v>0</v>
      </c>
      <c r="BM76" s="2167">
        <f t="shared" si="123"/>
        <v>1241.316</v>
      </c>
      <c r="BN76" s="2167">
        <f t="shared" si="124"/>
        <v>0</v>
      </c>
      <c r="BO76" s="2170">
        <v>0</v>
      </c>
      <c r="BP76" s="2168">
        <f t="shared" ca="1" si="106"/>
        <v>3828.9651678859218</v>
      </c>
      <c r="BQ76" s="648"/>
      <c r="CA76" s="555" t="s">
        <v>1339</v>
      </c>
      <c r="CB76" s="20" t="s">
        <v>5633</v>
      </c>
      <c r="CC76" s="20" t="s">
        <v>5634</v>
      </c>
      <c r="CD76" s="20" t="s">
        <v>5635</v>
      </c>
      <c r="CE76" s="20" t="s">
        <v>5636</v>
      </c>
      <c r="CF76" s="20" t="s">
        <v>5637</v>
      </c>
      <c r="CG76" s="20" t="s">
        <v>5638</v>
      </c>
      <c r="CH76" s="20" t="s">
        <v>5639</v>
      </c>
      <c r="CI76" s="20" t="s">
        <v>5640</v>
      </c>
      <c r="CJ76" s="20" t="s">
        <v>5641</v>
      </c>
      <c r="CK76" s="20" t="s">
        <v>5642</v>
      </c>
      <c r="CL76" s="20" t="s">
        <v>5643</v>
      </c>
      <c r="CM76" s="20" t="s">
        <v>5644</v>
      </c>
      <c r="CN76" s="20" t="s">
        <v>5645</v>
      </c>
      <c r="CO76" s="20" t="s">
        <v>5646</v>
      </c>
      <c r="CP76" s="20">
        <v>0</v>
      </c>
      <c r="CQ76" s="20" t="s">
        <v>5647</v>
      </c>
      <c r="CR76" s="20" t="s">
        <v>5648</v>
      </c>
      <c r="CS76" s="20" t="s">
        <v>5649</v>
      </c>
      <c r="CT76" s="20" t="s">
        <v>5650</v>
      </c>
      <c r="CU76" s="20" t="s">
        <v>5651</v>
      </c>
      <c r="CV76" s="20" t="s">
        <v>5652</v>
      </c>
      <c r="CW76" s="20" t="s">
        <v>5653</v>
      </c>
      <c r="CX76" s="20" t="s">
        <v>5654</v>
      </c>
      <c r="CY76" s="20" t="s">
        <v>5655</v>
      </c>
      <c r="CZ76" s="20" t="s">
        <v>5656</v>
      </c>
      <c r="DA76" s="20" t="s">
        <v>5657</v>
      </c>
      <c r="DB76" s="20" t="s">
        <v>5658</v>
      </c>
      <c r="DC76" s="20" t="s">
        <v>5659</v>
      </c>
      <c r="DD76" s="20" t="s">
        <v>5660</v>
      </c>
      <c r="DE76" s="20" t="s">
        <v>5661</v>
      </c>
      <c r="DF76" s="20" t="s">
        <v>5662</v>
      </c>
      <c r="DG76" s="20" t="s">
        <v>5663</v>
      </c>
      <c r="DH76" s="20" t="s">
        <v>5664</v>
      </c>
      <c r="DI76" s="20" t="s">
        <v>5665</v>
      </c>
      <c r="DJ76" s="20" t="s">
        <v>5666</v>
      </c>
      <c r="DK76" s="20" t="s">
        <v>5667</v>
      </c>
      <c r="DL76" s="20" t="s">
        <v>5668</v>
      </c>
      <c r="DM76" s="20" t="s">
        <v>5669</v>
      </c>
      <c r="DN76" s="20" t="s">
        <v>5670</v>
      </c>
      <c r="DO76" s="20" t="s">
        <v>5671</v>
      </c>
      <c r="DP76" s="20" t="s">
        <v>5672</v>
      </c>
      <c r="DQ76" s="20" t="s">
        <v>5673</v>
      </c>
      <c r="DR76" s="20" t="s">
        <v>5674</v>
      </c>
      <c r="DS76" s="20" t="s">
        <v>5675</v>
      </c>
      <c r="DT76" s="20" t="s">
        <v>5676</v>
      </c>
      <c r="DU76" s="20" t="s">
        <v>5677</v>
      </c>
      <c r="DV76" s="20" t="s">
        <v>5678</v>
      </c>
      <c r="DW76" s="20" t="s">
        <v>5679</v>
      </c>
      <c r="DX76" s="20" t="s">
        <v>5680</v>
      </c>
      <c r="DY76" s="20" t="s">
        <v>5681</v>
      </c>
      <c r="DZ76" s="20" t="s">
        <v>5682</v>
      </c>
      <c r="EA76" s="20" t="s">
        <v>5683</v>
      </c>
      <c r="EB76" s="20">
        <v>0</v>
      </c>
      <c r="EC76" s="20">
        <v>0</v>
      </c>
      <c r="ED76" s="20" t="s">
        <v>5684</v>
      </c>
      <c r="EE76" s="20">
        <v>0</v>
      </c>
      <c r="EF76" s="20" t="s">
        <v>5685</v>
      </c>
      <c r="EG76" s="20">
        <v>0</v>
      </c>
      <c r="EH76" s="20">
        <v>0</v>
      </c>
      <c r="EI76" s="20">
        <v>0</v>
      </c>
      <c r="EJ76" s="20" t="s">
        <v>5686</v>
      </c>
      <c r="EK76" s="20" t="s">
        <v>5687</v>
      </c>
      <c r="EL76" s="20">
        <v>0</v>
      </c>
    </row>
    <row r="77" spans="1:142" s="259" customFormat="1" ht="11.25" x14ac:dyDescent="0.2">
      <c r="A77" s="876" t="str">
        <f>TOTOTHER</f>
        <v>Other</v>
      </c>
      <c r="B77" s="554" t="s">
        <v>1346</v>
      </c>
      <c r="C77" s="877"/>
      <c r="D77" s="878"/>
      <c r="E77" s="2175">
        <f t="shared" ref="E77:R77" ca="1" si="125">SUM(E78:E82)</f>
        <v>2940.377324</v>
      </c>
      <c r="F77" s="2175">
        <f t="shared" ca="1" si="125"/>
        <v>0</v>
      </c>
      <c r="G77" s="2175">
        <f t="shared" ca="1" si="125"/>
        <v>35013.488047999999</v>
      </c>
      <c r="H77" s="2175">
        <f t="shared" ca="1" si="125"/>
        <v>0</v>
      </c>
      <c r="I77" s="2175">
        <f t="shared" ca="1" si="125"/>
        <v>0</v>
      </c>
      <c r="J77" s="2175">
        <f t="shared" ca="1" si="125"/>
        <v>0</v>
      </c>
      <c r="K77" s="2175">
        <f t="shared" ca="1" si="125"/>
        <v>0</v>
      </c>
      <c r="L77" s="2175">
        <f t="shared" ca="1" si="125"/>
        <v>0</v>
      </c>
      <c r="M77" s="2175">
        <f t="shared" ca="1" si="125"/>
        <v>0</v>
      </c>
      <c r="N77" s="2175">
        <f t="shared" ca="1" si="125"/>
        <v>0</v>
      </c>
      <c r="O77" s="2175">
        <f t="shared" ca="1" si="125"/>
        <v>0</v>
      </c>
      <c r="P77" s="2175">
        <f t="shared" ca="1" si="125"/>
        <v>0</v>
      </c>
      <c r="Q77" s="2175">
        <f t="shared" ca="1" si="125"/>
        <v>0</v>
      </c>
      <c r="R77" s="2175">
        <f t="shared" ca="1" si="125"/>
        <v>0</v>
      </c>
      <c r="S77" s="2175">
        <v>0</v>
      </c>
      <c r="T77" s="2175">
        <f t="shared" ref="T77:BD77" ca="1" si="126">SUM(T78:T82)</f>
        <v>0</v>
      </c>
      <c r="U77" s="2175">
        <f t="shared" ca="1" si="126"/>
        <v>0</v>
      </c>
      <c r="V77" s="2175">
        <f t="shared" ca="1" si="126"/>
        <v>0</v>
      </c>
      <c r="W77" s="2175">
        <f t="shared" ca="1" si="126"/>
        <v>0</v>
      </c>
      <c r="X77" s="2175">
        <f t="shared" ca="1" si="126"/>
        <v>0</v>
      </c>
      <c r="Y77" s="2175">
        <f t="shared" ca="1" si="126"/>
        <v>0</v>
      </c>
      <c r="Z77" s="2175">
        <f t="shared" ca="1" si="126"/>
        <v>0</v>
      </c>
      <c r="AA77" s="2175">
        <f t="shared" ca="1" si="126"/>
        <v>0</v>
      </c>
      <c r="AB77" s="2175">
        <f t="shared" ca="1" si="126"/>
        <v>0</v>
      </c>
      <c r="AC77" s="2175">
        <f t="shared" ca="1" si="126"/>
        <v>0</v>
      </c>
      <c r="AD77" s="2175">
        <f t="shared" ca="1" si="126"/>
        <v>4130.1416598796804</v>
      </c>
      <c r="AE77" s="2175">
        <f t="shared" ca="1" si="126"/>
        <v>24994.890844257898</v>
      </c>
      <c r="AF77" s="2175">
        <f t="shared" ca="1" si="126"/>
        <v>0</v>
      </c>
      <c r="AG77" s="2175">
        <f t="shared" ca="1" si="126"/>
        <v>4970.9203893359991</v>
      </c>
      <c r="AH77" s="2175">
        <f t="shared" ca="1" si="126"/>
        <v>0</v>
      </c>
      <c r="AI77" s="2175">
        <f t="shared" ca="1" si="126"/>
        <v>15844.6741362786</v>
      </c>
      <c r="AJ77" s="2175">
        <f t="shared" ca="1" si="126"/>
        <v>172107.22153313365</v>
      </c>
      <c r="AK77" s="2175">
        <f t="shared" ca="1" si="126"/>
        <v>12195.080400538141</v>
      </c>
      <c r="AL77" s="2175">
        <f t="shared" ca="1" si="126"/>
        <v>24.197912669999997</v>
      </c>
      <c r="AM77" s="2175">
        <f t="shared" ca="1" si="126"/>
        <v>0</v>
      </c>
      <c r="AN77" s="2175">
        <f t="shared" ca="1" si="126"/>
        <v>0</v>
      </c>
      <c r="AO77" s="2175">
        <f t="shared" ca="1" si="126"/>
        <v>0</v>
      </c>
      <c r="AP77" s="2175">
        <f t="shared" ca="1" si="126"/>
        <v>0</v>
      </c>
      <c r="AQ77" s="2175">
        <f t="shared" ca="1" si="126"/>
        <v>0</v>
      </c>
      <c r="AR77" s="2176">
        <f t="shared" ca="1" si="126"/>
        <v>0</v>
      </c>
      <c r="AS77" s="2177">
        <f t="shared" ca="1" si="126"/>
        <v>1319.3369934082032</v>
      </c>
      <c r="AT77" s="2175">
        <f t="shared" si="126"/>
        <v>0</v>
      </c>
      <c r="AU77" s="2175">
        <f t="shared" si="126"/>
        <v>0</v>
      </c>
      <c r="AV77" s="2175">
        <f t="shared" si="126"/>
        <v>0</v>
      </c>
      <c r="AW77" s="2175">
        <f t="shared" si="126"/>
        <v>344246.09</v>
      </c>
      <c r="AX77" s="2175">
        <f t="shared" si="126"/>
        <v>0</v>
      </c>
      <c r="AY77" s="2175">
        <f t="shared" ca="1" si="126"/>
        <v>0</v>
      </c>
      <c r="AZ77" s="2175">
        <f t="shared" ca="1" si="126"/>
        <v>0</v>
      </c>
      <c r="BA77" s="2175">
        <f t="shared" ca="1" si="126"/>
        <v>0</v>
      </c>
      <c r="BB77" s="2175">
        <f t="shared" ca="1" si="126"/>
        <v>0</v>
      </c>
      <c r="BC77" s="2175">
        <f t="shared" si="126"/>
        <v>0</v>
      </c>
      <c r="BD77" s="2176">
        <f t="shared" ca="1" si="126"/>
        <v>0</v>
      </c>
      <c r="BE77" s="2175">
        <v>0</v>
      </c>
      <c r="BF77" s="2175">
        <v>0</v>
      </c>
      <c r="BG77" s="2175">
        <f>SUM(BG78:BG82)</f>
        <v>0</v>
      </c>
      <c r="BH77" s="2175">
        <v>0</v>
      </c>
      <c r="BI77" s="2175">
        <f>SUM(BI78:BI82)</f>
        <v>0</v>
      </c>
      <c r="BJ77" s="2175">
        <v>0</v>
      </c>
      <c r="BK77" s="2175">
        <v>0</v>
      </c>
      <c r="BL77" s="2175">
        <f>SUM(BL78:BL82)</f>
        <v>0</v>
      </c>
      <c r="BM77" s="2175">
        <f>SUM(BM78:BM82)</f>
        <v>332053.2</v>
      </c>
      <c r="BN77" s="2175">
        <f>SUM(BN78:BN82)</f>
        <v>0</v>
      </c>
      <c r="BO77" s="2175">
        <v>0</v>
      </c>
      <c r="BP77" s="2178">
        <f t="shared" ca="1" si="106"/>
        <v>949839.61924150214</v>
      </c>
      <c r="BQ77" s="666"/>
      <c r="CA77" s="561" t="s">
        <v>1346</v>
      </c>
      <c r="CB77" s="20" t="s">
        <v>5688</v>
      </c>
      <c r="CC77" s="20" t="s">
        <v>5689</v>
      </c>
      <c r="CD77" s="20" t="s">
        <v>5690</v>
      </c>
      <c r="CE77" s="20" t="s">
        <v>5691</v>
      </c>
      <c r="CF77" s="20" t="s">
        <v>5692</v>
      </c>
      <c r="CG77" s="20" t="s">
        <v>5693</v>
      </c>
      <c r="CH77" s="20" t="s">
        <v>5694</v>
      </c>
      <c r="CI77" s="20" t="s">
        <v>5695</v>
      </c>
      <c r="CJ77" s="20" t="s">
        <v>5696</v>
      </c>
      <c r="CK77" s="20" t="s">
        <v>5697</v>
      </c>
      <c r="CL77" s="20" t="s">
        <v>5698</v>
      </c>
      <c r="CM77" s="20" t="s">
        <v>5699</v>
      </c>
      <c r="CN77" s="20" t="s">
        <v>5700</v>
      </c>
      <c r="CO77" s="20" t="s">
        <v>5701</v>
      </c>
      <c r="CP77" s="20">
        <v>0</v>
      </c>
      <c r="CQ77" s="20" t="s">
        <v>5702</v>
      </c>
      <c r="CR77" s="20" t="s">
        <v>5703</v>
      </c>
      <c r="CS77" s="20" t="s">
        <v>5704</v>
      </c>
      <c r="CT77" s="20" t="s">
        <v>5705</v>
      </c>
      <c r="CU77" s="20" t="s">
        <v>5706</v>
      </c>
      <c r="CV77" s="20" t="s">
        <v>5707</v>
      </c>
      <c r="CW77" s="20" t="s">
        <v>5708</v>
      </c>
      <c r="CX77" s="20" t="s">
        <v>5709</v>
      </c>
      <c r="CY77" s="20" t="s">
        <v>5710</v>
      </c>
      <c r="CZ77" s="20" t="s">
        <v>5711</v>
      </c>
      <c r="DA77" s="20" t="s">
        <v>5712</v>
      </c>
      <c r="DB77" s="20" t="s">
        <v>5713</v>
      </c>
      <c r="DC77" s="20" t="s">
        <v>5714</v>
      </c>
      <c r="DD77" s="20" t="s">
        <v>5715</v>
      </c>
      <c r="DE77" s="20" t="s">
        <v>5716</v>
      </c>
      <c r="DF77" s="20" t="s">
        <v>5717</v>
      </c>
      <c r="DG77" s="20" t="s">
        <v>5718</v>
      </c>
      <c r="DH77" s="20" t="s">
        <v>5719</v>
      </c>
      <c r="DI77" s="20" t="s">
        <v>5720</v>
      </c>
      <c r="DJ77" s="20" t="s">
        <v>5721</v>
      </c>
      <c r="DK77" s="20" t="s">
        <v>5722</v>
      </c>
      <c r="DL77" s="20" t="s">
        <v>5723</v>
      </c>
      <c r="DM77" s="20" t="s">
        <v>5724</v>
      </c>
      <c r="DN77" s="20" t="s">
        <v>5725</v>
      </c>
      <c r="DO77" s="20" t="s">
        <v>5726</v>
      </c>
      <c r="DP77" s="20" t="s">
        <v>5727</v>
      </c>
      <c r="DQ77" s="20" t="s">
        <v>5728</v>
      </c>
      <c r="DR77" s="20" t="s">
        <v>5729</v>
      </c>
      <c r="DS77" s="20" t="s">
        <v>5730</v>
      </c>
      <c r="DT77" s="20" t="s">
        <v>5731</v>
      </c>
      <c r="DU77" s="20" t="s">
        <v>5732</v>
      </c>
      <c r="DV77" s="20" t="s">
        <v>5733</v>
      </c>
      <c r="DW77" s="20" t="s">
        <v>5734</v>
      </c>
      <c r="DX77" s="20" t="s">
        <v>5735</v>
      </c>
      <c r="DY77" s="20" t="s">
        <v>5736</v>
      </c>
      <c r="DZ77" s="20" t="s">
        <v>5737</v>
      </c>
      <c r="EA77" s="20" t="s">
        <v>5738</v>
      </c>
      <c r="EB77" s="20">
        <v>0</v>
      </c>
      <c r="EC77" s="20">
        <v>0</v>
      </c>
      <c r="ED77" s="20" t="s">
        <v>5739</v>
      </c>
      <c r="EE77" s="20">
        <v>0</v>
      </c>
      <c r="EF77" s="20" t="s">
        <v>5740</v>
      </c>
      <c r="EG77" s="20">
        <v>0</v>
      </c>
      <c r="EH77" s="20">
        <v>0</v>
      </c>
      <c r="EI77" s="20" t="s">
        <v>5741</v>
      </c>
      <c r="EJ77" s="20" t="s">
        <v>5742</v>
      </c>
      <c r="EK77" s="20" t="s">
        <v>5743</v>
      </c>
      <c r="EL77" s="20">
        <v>0</v>
      </c>
    </row>
    <row r="78" spans="1:142" s="20" customFormat="1" ht="11.25" x14ac:dyDescent="0.2">
      <c r="A78" s="904" t="str">
        <f>RESIDENT</f>
        <v>Residential</v>
      </c>
      <c r="B78" s="230" t="s">
        <v>1353</v>
      </c>
      <c r="C78" s="230" t="s">
        <v>1653</v>
      </c>
      <c r="D78" s="221">
        <f>MATCH(C78,CFHeadings,0)</f>
        <v>16</v>
      </c>
      <c r="E78" s="2169">
        <f t="shared" ref="E78:N82" ca="1" si="127">VLOOKUP($B78,RawData,E$4,FALSE)*VLOOKUP(E$3,ConversionFactors,$D78,FALSE)/1000</f>
        <v>1036.619404</v>
      </c>
      <c r="F78" s="2169">
        <f t="shared" ca="1" si="127"/>
        <v>0</v>
      </c>
      <c r="G78" s="2169">
        <f t="shared" ca="1" si="127"/>
        <v>17157.307799999999</v>
      </c>
      <c r="H78" s="2169">
        <f t="shared" ca="1" si="127"/>
        <v>0</v>
      </c>
      <c r="I78" s="2169">
        <f t="shared" ca="1" si="127"/>
        <v>0</v>
      </c>
      <c r="J78" s="2169">
        <f t="shared" ca="1" si="127"/>
        <v>0</v>
      </c>
      <c r="K78" s="2169">
        <f t="shared" ca="1" si="127"/>
        <v>0</v>
      </c>
      <c r="L78" s="2169">
        <f t="shared" ca="1" si="127"/>
        <v>0</v>
      </c>
      <c r="M78" s="2169">
        <f t="shared" ca="1" si="127"/>
        <v>0</v>
      </c>
      <c r="N78" s="2169">
        <f t="shared" ca="1" si="127"/>
        <v>0</v>
      </c>
      <c r="O78" s="2169">
        <f t="shared" ref="O78:R82" ca="1" si="128">(VLOOKUP($B78,RawData,O$4,FALSE)*VLOOKUP(O$3,ConversionFactors,2,FALSE))*1</f>
        <v>0</v>
      </c>
      <c r="P78" s="2169">
        <f t="shared" ca="1" si="128"/>
        <v>0</v>
      </c>
      <c r="Q78" s="2169">
        <f t="shared" ca="1" si="128"/>
        <v>0</v>
      </c>
      <c r="R78" s="2169">
        <f t="shared" ca="1" si="128"/>
        <v>0</v>
      </c>
      <c r="S78" s="2170">
        <v>0</v>
      </c>
      <c r="T78" s="2169">
        <f t="shared" ref="T78:V82" ca="1" si="129">VLOOKUP($B78,RawData,T$4,FALSE)*VLOOKUP(T$3,ConversionFactors,$D78,FALSE)/1000</f>
        <v>0</v>
      </c>
      <c r="U78" s="2169">
        <f t="shared" ca="1" si="129"/>
        <v>0</v>
      </c>
      <c r="V78" s="2169">
        <f t="shared" ca="1" si="129"/>
        <v>0</v>
      </c>
      <c r="W78" s="2161">
        <f t="shared" ref="W78:AB82" ca="1" si="130">VLOOKUP($B78,RawData,W$4,FALSE)*VLOOKUP(W$3,ConversionFactors,2,FALSE)/1000</f>
        <v>0</v>
      </c>
      <c r="X78" s="2161">
        <f t="shared" ca="1" si="130"/>
        <v>0</v>
      </c>
      <c r="Y78" s="2161">
        <f t="shared" ca="1" si="130"/>
        <v>0</v>
      </c>
      <c r="Z78" s="2161">
        <f t="shared" ca="1" si="130"/>
        <v>0</v>
      </c>
      <c r="AA78" s="2161">
        <f t="shared" ca="1" si="130"/>
        <v>0</v>
      </c>
      <c r="AB78" s="2161">
        <f t="shared" ca="1" si="130"/>
        <v>0</v>
      </c>
      <c r="AC78" s="2161">
        <f t="shared" ref="AC78:AM82" ca="1" si="131">VLOOKUP($B78,RawData,AC$4,FALSE)*VLOOKUP(AC$3,ConversionFactors,2,FALSE)/1000000</f>
        <v>0</v>
      </c>
      <c r="AD78" s="2161">
        <f t="shared" ca="1" si="131"/>
        <v>15.346786183679999</v>
      </c>
      <c r="AE78" s="2161">
        <f t="shared" ca="1" si="131"/>
        <v>0.20745443400000002</v>
      </c>
      <c r="AF78" s="2161">
        <f t="shared" ca="1" si="131"/>
        <v>0</v>
      </c>
      <c r="AG78" s="2161">
        <f t="shared" ca="1" si="131"/>
        <v>0</v>
      </c>
      <c r="AH78" s="2161">
        <f t="shared" ca="1" si="131"/>
        <v>0</v>
      </c>
      <c r="AI78" s="2161">
        <f t="shared" ca="1" si="131"/>
        <v>44.069291405999998</v>
      </c>
      <c r="AJ78" s="2161">
        <f t="shared" ca="1" si="131"/>
        <v>27.006695786659996</v>
      </c>
      <c r="AK78" s="2161">
        <f t="shared" ca="1" si="131"/>
        <v>0</v>
      </c>
      <c r="AL78" s="2161">
        <f t="shared" ca="1" si="131"/>
        <v>0</v>
      </c>
      <c r="AM78" s="2161">
        <f t="shared" ca="1" si="131"/>
        <v>0</v>
      </c>
      <c r="AN78" s="2161">
        <f t="shared" ref="AN78:AR82" ca="1" si="132">VLOOKUP($B78,RawData,AN$4,FALSE)*VLOOKUP(AN$3,ConversionFactors,2,FALSE)/1000</f>
        <v>0</v>
      </c>
      <c r="AO78" s="2161">
        <f t="shared" ca="1" si="132"/>
        <v>0</v>
      </c>
      <c r="AP78" s="2161">
        <f t="shared" ca="1" si="132"/>
        <v>0</v>
      </c>
      <c r="AQ78" s="2161">
        <f t="shared" ca="1" si="132"/>
        <v>0</v>
      </c>
      <c r="AR78" s="2171">
        <f t="shared" ca="1" si="132"/>
        <v>0</v>
      </c>
      <c r="AS78" s="2172">
        <f ca="1">VLOOKUP($B78,RawData,AS$4,FALSE)*VLOOKUP(AS$3,ConversionFactors,2,FALSE)*1</f>
        <v>208.73699340820312</v>
      </c>
      <c r="AT78" s="2173">
        <f t="shared" ref="AT78:AX82" si="133">VLOOKUP($B78,RawData,AT$4,FALSE)*1</f>
        <v>0</v>
      </c>
      <c r="AU78" s="2173">
        <f t="shared" si="133"/>
        <v>0</v>
      </c>
      <c r="AV78" s="2173">
        <f t="shared" si="133"/>
        <v>0</v>
      </c>
      <c r="AW78" s="2173">
        <f t="shared" si="133"/>
        <v>344246.09</v>
      </c>
      <c r="AX78" s="2173">
        <f t="shared" si="133"/>
        <v>0</v>
      </c>
      <c r="AY78" s="2173">
        <f t="shared" ref="AY78:BB82" ca="1" si="134">VLOOKUP($B78,RawData,AY$4,FALSE)*VLOOKUP(AY$3,ConversionFactors,2,FALSE)/1000</f>
        <v>0</v>
      </c>
      <c r="AZ78" s="2173">
        <f t="shared" ca="1" si="134"/>
        <v>0</v>
      </c>
      <c r="BA78" s="2173">
        <f t="shared" ca="1" si="134"/>
        <v>0</v>
      </c>
      <c r="BB78" s="2173">
        <f t="shared" ca="1" si="134"/>
        <v>0</v>
      </c>
      <c r="BC78" s="2173">
        <f>VLOOKUP($B78,RawData,BC$4,FALSE)*1</f>
        <v>0</v>
      </c>
      <c r="BD78" s="2174">
        <f ca="1">VLOOKUP($B78,RawData,BD$4,FALSE)*VLOOKUP(BD$3,ConversionFactors,2,FALSE)/1000</f>
        <v>0</v>
      </c>
      <c r="BE78" s="2170">
        <v>0</v>
      </c>
      <c r="BF78" s="2170">
        <v>0</v>
      </c>
      <c r="BG78" s="2167">
        <f>VLOOKUP($B78,RawData,BG$4,FALSE)*1</f>
        <v>0</v>
      </c>
      <c r="BH78" s="2170">
        <v>0</v>
      </c>
      <c r="BI78" s="2167">
        <f>VLOOKUP($B78,RawData,BI$4,FALSE)*1</f>
        <v>0</v>
      </c>
      <c r="BJ78" s="2170">
        <v>0</v>
      </c>
      <c r="BK78" s="2170">
        <v>0</v>
      </c>
      <c r="BL78" s="2167">
        <v>0</v>
      </c>
      <c r="BM78" s="2167">
        <f>VLOOKUP($B78,RawData,BM$4,FALSE)*3.6</f>
        <v>174682.80000000002</v>
      </c>
      <c r="BN78" s="2167">
        <f>VLOOKUP($B78,RawData,BN$4,FALSE)*1</f>
        <v>0</v>
      </c>
      <c r="BO78" s="2170">
        <v>0</v>
      </c>
      <c r="BP78" s="2168">
        <f t="shared" ca="1" si="106"/>
        <v>537418.18442521861</v>
      </c>
      <c r="BQ78" s="648"/>
      <c r="CA78" s="555" t="s">
        <v>1353</v>
      </c>
      <c r="CB78" s="20" t="s">
        <v>5744</v>
      </c>
      <c r="CC78" s="20" t="s">
        <v>5745</v>
      </c>
      <c r="CD78" s="20" t="s">
        <v>5746</v>
      </c>
      <c r="CE78" s="20" t="s">
        <v>5747</v>
      </c>
      <c r="CF78" s="20" t="s">
        <v>5748</v>
      </c>
      <c r="CG78" s="20" t="s">
        <v>5749</v>
      </c>
      <c r="CH78" s="20" t="s">
        <v>5750</v>
      </c>
      <c r="CI78" s="20" t="s">
        <v>5751</v>
      </c>
      <c r="CJ78" s="20" t="s">
        <v>5752</v>
      </c>
      <c r="CK78" s="20" t="s">
        <v>5753</v>
      </c>
      <c r="CL78" s="20" t="s">
        <v>5754</v>
      </c>
      <c r="CM78" s="20" t="s">
        <v>5755</v>
      </c>
      <c r="CN78" s="20" t="s">
        <v>5756</v>
      </c>
      <c r="CO78" s="20" t="s">
        <v>5757</v>
      </c>
      <c r="CP78" s="20">
        <v>0</v>
      </c>
      <c r="CQ78" s="20" t="s">
        <v>5758</v>
      </c>
      <c r="CR78" s="20" t="s">
        <v>5759</v>
      </c>
      <c r="CS78" s="20" t="s">
        <v>5760</v>
      </c>
      <c r="CT78" s="20" t="s">
        <v>5761</v>
      </c>
      <c r="CU78" s="20" t="s">
        <v>5762</v>
      </c>
      <c r="CV78" s="20" t="s">
        <v>5763</v>
      </c>
      <c r="CW78" s="20" t="s">
        <v>5764</v>
      </c>
      <c r="CX78" s="20" t="s">
        <v>5765</v>
      </c>
      <c r="CY78" s="20" t="s">
        <v>5766</v>
      </c>
      <c r="CZ78" s="20" t="s">
        <v>5767</v>
      </c>
      <c r="DA78" s="20" t="s">
        <v>5768</v>
      </c>
      <c r="DB78" s="20" t="s">
        <v>5769</v>
      </c>
      <c r="DC78" s="20" t="s">
        <v>5770</v>
      </c>
      <c r="DD78" s="20" t="s">
        <v>5771</v>
      </c>
      <c r="DE78" s="20" t="s">
        <v>5772</v>
      </c>
      <c r="DF78" s="20" t="s">
        <v>5773</v>
      </c>
      <c r="DG78" s="20" t="s">
        <v>5774</v>
      </c>
      <c r="DH78" s="20" t="s">
        <v>5775</v>
      </c>
      <c r="DI78" s="20" t="s">
        <v>5776</v>
      </c>
      <c r="DJ78" s="20" t="s">
        <v>5777</v>
      </c>
      <c r="DK78" s="20" t="s">
        <v>5778</v>
      </c>
      <c r="DL78" s="20" t="s">
        <v>5779</v>
      </c>
      <c r="DM78" s="20" t="s">
        <v>5780</v>
      </c>
      <c r="DN78" s="20" t="s">
        <v>5781</v>
      </c>
      <c r="DO78" s="20" t="s">
        <v>5782</v>
      </c>
      <c r="DP78" s="20" t="s">
        <v>5783</v>
      </c>
      <c r="DQ78" s="20" t="s">
        <v>5784</v>
      </c>
      <c r="DR78" s="20" t="s">
        <v>5785</v>
      </c>
      <c r="DS78" s="20" t="s">
        <v>5786</v>
      </c>
      <c r="DT78" s="20" t="s">
        <v>5787</v>
      </c>
      <c r="DU78" s="20" t="s">
        <v>5788</v>
      </c>
      <c r="DV78" s="20" t="s">
        <v>5789</v>
      </c>
      <c r="DW78" s="20" t="s">
        <v>5790</v>
      </c>
      <c r="DX78" s="20" t="s">
        <v>5791</v>
      </c>
      <c r="DY78" s="20" t="s">
        <v>5792</v>
      </c>
      <c r="DZ78" s="20" t="s">
        <v>5793</v>
      </c>
      <c r="EA78" s="20" t="s">
        <v>5794</v>
      </c>
      <c r="EB78" s="20">
        <v>0</v>
      </c>
      <c r="EC78" s="20">
        <v>0</v>
      </c>
      <c r="ED78" s="20" t="s">
        <v>5795</v>
      </c>
      <c r="EE78" s="20">
        <v>0</v>
      </c>
      <c r="EF78" s="20" t="s">
        <v>5796</v>
      </c>
      <c r="EG78" s="20">
        <v>0</v>
      </c>
      <c r="EH78" s="20">
        <v>0</v>
      </c>
      <c r="EI78" s="20">
        <v>0</v>
      </c>
      <c r="EJ78" s="20" t="s">
        <v>5797</v>
      </c>
      <c r="EK78" s="20" t="s">
        <v>5798</v>
      </c>
      <c r="EL78" s="20">
        <v>0</v>
      </c>
    </row>
    <row r="79" spans="1:142" s="20" customFormat="1" ht="11.25" x14ac:dyDescent="0.2">
      <c r="A79" s="904" t="str">
        <f>COMMPUB</f>
        <v>Commercial and public services</v>
      </c>
      <c r="B79" s="230" t="s">
        <v>1360</v>
      </c>
      <c r="C79" s="230" t="s">
        <v>1653</v>
      </c>
      <c r="D79" s="221">
        <f>MATCH(C79,CFHeadings,0)</f>
        <v>16</v>
      </c>
      <c r="E79" s="2169">
        <f t="shared" ca="1" si="127"/>
        <v>0</v>
      </c>
      <c r="F79" s="2169">
        <f t="shared" ca="1" si="127"/>
        <v>0</v>
      </c>
      <c r="G79" s="2169">
        <f t="shared" ca="1" si="127"/>
        <v>17157.307799999999</v>
      </c>
      <c r="H79" s="2169">
        <f t="shared" ca="1" si="127"/>
        <v>0</v>
      </c>
      <c r="I79" s="2169">
        <f t="shared" ca="1" si="127"/>
        <v>0</v>
      </c>
      <c r="J79" s="2169">
        <f t="shared" ca="1" si="127"/>
        <v>0</v>
      </c>
      <c r="K79" s="2169">
        <f t="shared" ca="1" si="127"/>
        <v>0</v>
      </c>
      <c r="L79" s="2169">
        <f t="shared" ca="1" si="127"/>
        <v>0</v>
      </c>
      <c r="M79" s="2169">
        <f t="shared" ca="1" si="127"/>
        <v>0</v>
      </c>
      <c r="N79" s="2169">
        <f t="shared" ca="1" si="127"/>
        <v>0</v>
      </c>
      <c r="O79" s="2169">
        <f t="shared" ca="1" si="128"/>
        <v>0</v>
      </c>
      <c r="P79" s="2169">
        <f t="shared" ca="1" si="128"/>
        <v>0</v>
      </c>
      <c r="Q79" s="2169">
        <f t="shared" ca="1" si="128"/>
        <v>0</v>
      </c>
      <c r="R79" s="2169">
        <f t="shared" ca="1" si="128"/>
        <v>0</v>
      </c>
      <c r="S79" s="2170">
        <v>0</v>
      </c>
      <c r="T79" s="2169">
        <f t="shared" ca="1" si="129"/>
        <v>0</v>
      </c>
      <c r="U79" s="2169">
        <f t="shared" ca="1" si="129"/>
        <v>0</v>
      </c>
      <c r="V79" s="2169">
        <f t="shared" ca="1" si="129"/>
        <v>0</v>
      </c>
      <c r="W79" s="2161">
        <f t="shared" ca="1" si="130"/>
        <v>0</v>
      </c>
      <c r="X79" s="2161">
        <f t="shared" ca="1" si="130"/>
        <v>0</v>
      </c>
      <c r="Y79" s="2161">
        <f t="shared" ca="1" si="130"/>
        <v>0</v>
      </c>
      <c r="Z79" s="2161">
        <f t="shared" ca="1" si="130"/>
        <v>0</v>
      </c>
      <c r="AA79" s="2161">
        <f t="shared" ca="1" si="130"/>
        <v>0</v>
      </c>
      <c r="AB79" s="2161">
        <f t="shared" ca="1" si="130"/>
        <v>0</v>
      </c>
      <c r="AC79" s="2161">
        <f t="shared" ca="1" si="131"/>
        <v>0</v>
      </c>
      <c r="AD79" s="2161">
        <f t="shared" ca="1" si="131"/>
        <v>4108.9944849600006</v>
      </c>
      <c r="AE79" s="2161">
        <f t="shared" ca="1" si="131"/>
        <v>21750.6152376633</v>
      </c>
      <c r="AF79" s="2161">
        <f t="shared" ca="1" si="131"/>
        <v>0</v>
      </c>
      <c r="AG79" s="2161">
        <f t="shared" ca="1" si="131"/>
        <v>4970.9203893359991</v>
      </c>
      <c r="AH79" s="2161">
        <f t="shared" ca="1" si="131"/>
        <v>0</v>
      </c>
      <c r="AI79" s="2161">
        <f t="shared" ca="1" si="131"/>
        <v>11504.1849436836</v>
      </c>
      <c r="AJ79" s="2161">
        <f t="shared" ca="1" si="131"/>
        <v>130285.356514556</v>
      </c>
      <c r="AK79" s="2161">
        <f t="shared" ca="1" si="131"/>
        <v>10601.7821084028</v>
      </c>
      <c r="AL79" s="2161">
        <f t="shared" ca="1" si="131"/>
        <v>24.197912669999997</v>
      </c>
      <c r="AM79" s="2161">
        <f t="shared" ca="1" si="131"/>
        <v>0</v>
      </c>
      <c r="AN79" s="2161">
        <f t="shared" ca="1" si="132"/>
        <v>0</v>
      </c>
      <c r="AO79" s="2161">
        <f t="shared" ca="1" si="132"/>
        <v>0</v>
      </c>
      <c r="AP79" s="2161">
        <f t="shared" ca="1" si="132"/>
        <v>0</v>
      </c>
      <c r="AQ79" s="2161">
        <f t="shared" ca="1" si="132"/>
        <v>0</v>
      </c>
      <c r="AR79" s="2171">
        <f t="shared" ca="1" si="132"/>
        <v>0</v>
      </c>
      <c r="AS79" s="2172">
        <f ca="1">VLOOKUP($B79,RawData,AS$4,FALSE)*VLOOKUP(AS$3,ConversionFactors,2,FALSE)*1</f>
        <v>1110.6000000000001</v>
      </c>
      <c r="AT79" s="2173">
        <f t="shared" si="133"/>
        <v>0</v>
      </c>
      <c r="AU79" s="2173">
        <f t="shared" si="133"/>
        <v>0</v>
      </c>
      <c r="AV79" s="2173">
        <f t="shared" si="133"/>
        <v>0</v>
      </c>
      <c r="AW79" s="2173">
        <f t="shared" si="133"/>
        <v>0</v>
      </c>
      <c r="AX79" s="2173">
        <f t="shared" si="133"/>
        <v>0</v>
      </c>
      <c r="AY79" s="2173">
        <f t="shared" ca="1" si="134"/>
        <v>0</v>
      </c>
      <c r="AZ79" s="2173">
        <f t="shared" ca="1" si="134"/>
        <v>0</v>
      </c>
      <c r="BA79" s="2173">
        <f t="shared" ca="1" si="134"/>
        <v>0</v>
      </c>
      <c r="BB79" s="2173">
        <f t="shared" ca="1" si="134"/>
        <v>0</v>
      </c>
      <c r="BC79" s="2173">
        <f>VLOOKUP($B79,RawData,BC$4,FALSE)*1</f>
        <v>0</v>
      </c>
      <c r="BD79" s="2174">
        <f ca="1">VLOOKUP($B79,RawData,BD$4,FALSE)*VLOOKUP(BD$3,ConversionFactors,2,FALSE)/1000</f>
        <v>0</v>
      </c>
      <c r="BE79" s="2170">
        <v>0</v>
      </c>
      <c r="BF79" s="2170">
        <v>0</v>
      </c>
      <c r="BG79" s="2167">
        <f>VLOOKUP($B79,RawData,BG$4,FALSE)*1</f>
        <v>0</v>
      </c>
      <c r="BH79" s="2170">
        <v>0</v>
      </c>
      <c r="BI79" s="2167">
        <f>VLOOKUP($B79,RawData,BI$4,FALSE)*1</f>
        <v>0</v>
      </c>
      <c r="BJ79" s="2170">
        <v>0</v>
      </c>
      <c r="BK79" s="2170">
        <v>0</v>
      </c>
      <c r="BL79" s="2167">
        <v>0</v>
      </c>
      <c r="BM79" s="2167">
        <f>VLOOKUP($B79,RawData,BM$4,FALSE)*3.6</f>
        <v>133200</v>
      </c>
      <c r="BN79" s="2167">
        <f>VLOOKUP($B79,RawData,BN$4,FALSE)*1</f>
        <v>0</v>
      </c>
      <c r="BO79" s="2170">
        <v>0</v>
      </c>
      <c r="BP79" s="2168">
        <f t="shared" ca="1" si="106"/>
        <v>334713.9593912717</v>
      </c>
      <c r="BQ79" s="648"/>
      <c r="CA79" s="555" t="s">
        <v>1360</v>
      </c>
      <c r="CB79" s="20" t="s">
        <v>5799</v>
      </c>
      <c r="CC79" s="20" t="s">
        <v>5800</v>
      </c>
      <c r="CD79" s="20" t="s">
        <v>5801</v>
      </c>
      <c r="CE79" s="20" t="s">
        <v>5802</v>
      </c>
      <c r="CF79" s="20" t="s">
        <v>5803</v>
      </c>
      <c r="CG79" s="20" t="s">
        <v>5804</v>
      </c>
      <c r="CH79" s="20" t="s">
        <v>5805</v>
      </c>
      <c r="CI79" s="20" t="s">
        <v>5806</v>
      </c>
      <c r="CJ79" s="20" t="s">
        <v>5807</v>
      </c>
      <c r="CK79" s="20" t="s">
        <v>5808</v>
      </c>
      <c r="CL79" s="20" t="s">
        <v>5809</v>
      </c>
      <c r="CM79" s="20" t="s">
        <v>5810</v>
      </c>
      <c r="CN79" s="20" t="s">
        <v>5811</v>
      </c>
      <c r="CO79" s="20" t="s">
        <v>5812</v>
      </c>
      <c r="CP79" s="20">
        <v>0</v>
      </c>
      <c r="CQ79" s="20" t="s">
        <v>5813</v>
      </c>
      <c r="CR79" s="20" t="s">
        <v>5814</v>
      </c>
      <c r="CS79" s="20" t="s">
        <v>5815</v>
      </c>
      <c r="CT79" s="20" t="s">
        <v>5816</v>
      </c>
      <c r="CU79" s="20" t="s">
        <v>5817</v>
      </c>
      <c r="CV79" s="20" t="s">
        <v>5818</v>
      </c>
      <c r="CW79" s="20" t="s">
        <v>5819</v>
      </c>
      <c r="CX79" s="20" t="s">
        <v>5820</v>
      </c>
      <c r="CY79" s="20" t="s">
        <v>5821</v>
      </c>
      <c r="CZ79" s="20" t="s">
        <v>5822</v>
      </c>
      <c r="DA79" s="20" t="s">
        <v>5823</v>
      </c>
      <c r="DB79" s="20" t="s">
        <v>5824</v>
      </c>
      <c r="DC79" s="20" t="s">
        <v>5825</v>
      </c>
      <c r="DD79" s="20" t="s">
        <v>5826</v>
      </c>
      <c r="DE79" s="20" t="s">
        <v>5827</v>
      </c>
      <c r="DF79" s="20" t="s">
        <v>5828</v>
      </c>
      <c r="DG79" s="20" t="s">
        <v>5829</v>
      </c>
      <c r="DH79" s="20" t="s">
        <v>5830</v>
      </c>
      <c r="DI79" s="20" t="s">
        <v>5831</v>
      </c>
      <c r="DJ79" s="20" t="s">
        <v>5832</v>
      </c>
      <c r="DK79" s="20" t="s">
        <v>5833</v>
      </c>
      <c r="DL79" s="20" t="s">
        <v>5834</v>
      </c>
      <c r="DM79" s="20" t="s">
        <v>5835</v>
      </c>
      <c r="DN79" s="20" t="s">
        <v>5836</v>
      </c>
      <c r="DO79" s="20" t="s">
        <v>5837</v>
      </c>
      <c r="DP79" s="20" t="s">
        <v>5838</v>
      </c>
      <c r="DQ79" s="20" t="s">
        <v>5839</v>
      </c>
      <c r="DR79" s="20" t="s">
        <v>5840</v>
      </c>
      <c r="DS79" s="20" t="s">
        <v>5841</v>
      </c>
      <c r="DT79" s="20" t="s">
        <v>5842</v>
      </c>
      <c r="DU79" s="20" t="s">
        <v>5843</v>
      </c>
      <c r="DV79" s="20" t="s">
        <v>5844</v>
      </c>
      <c r="DW79" s="20" t="s">
        <v>5845</v>
      </c>
      <c r="DX79" s="20" t="s">
        <v>5846</v>
      </c>
      <c r="DY79" s="20" t="s">
        <v>5847</v>
      </c>
      <c r="DZ79" s="20" t="s">
        <v>5848</v>
      </c>
      <c r="EA79" s="20" t="s">
        <v>5849</v>
      </c>
      <c r="EB79" s="20">
        <v>0</v>
      </c>
      <c r="EC79" s="20">
        <v>0</v>
      </c>
      <c r="ED79" s="20" t="s">
        <v>5850</v>
      </c>
      <c r="EE79" s="20">
        <v>0</v>
      </c>
      <c r="EF79" s="20" t="s">
        <v>5851</v>
      </c>
      <c r="EG79" s="20">
        <v>0</v>
      </c>
      <c r="EH79" s="20">
        <v>0</v>
      </c>
      <c r="EI79" s="20">
        <v>0</v>
      </c>
      <c r="EJ79" s="20" t="s">
        <v>5852</v>
      </c>
      <c r="EK79" s="20" t="s">
        <v>5853</v>
      </c>
      <c r="EL79" s="20">
        <v>0</v>
      </c>
    </row>
    <row r="80" spans="1:142" s="20" customFormat="1" ht="11.25" x14ac:dyDescent="0.2">
      <c r="A80" s="904" t="str">
        <f>AGRICULT</f>
        <v>Agriculture/forestry</v>
      </c>
      <c r="B80" s="230" t="s">
        <v>1367</v>
      </c>
      <c r="C80" s="230" t="s">
        <v>1653</v>
      </c>
      <c r="D80" s="221">
        <f>MATCH(C80,CFHeadings,0)</f>
        <v>16</v>
      </c>
      <c r="E80" s="2169">
        <f t="shared" ca="1" si="127"/>
        <v>0</v>
      </c>
      <c r="F80" s="2169">
        <f t="shared" ca="1" si="127"/>
        <v>0</v>
      </c>
      <c r="G80" s="2169">
        <f t="shared" ca="1" si="127"/>
        <v>698.87244800000008</v>
      </c>
      <c r="H80" s="2169">
        <f t="shared" ca="1" si="127"/>
        <v>0</v>
      </c>
      <c r="I80" s="2169">
        <f t="shared" ca="1" si="127"/>
        <v>0</v>
      </c>
      <c r="J80" s="2169">
        <f t="shared" ca="1" si="127"/>
        <v>0</v>
      </c>
      <c r="K80" s="2169">
        <f t="shared" ca="1" si="127"/>
        <v>0</v>
      </c>
      <c r="L80" s="2169">
        <f t="shared" ca="1" si="127"/>
        <v>0</v>
      </c>
      <c r="M80" s="2169">
        <f t="shared" ca="1" si="127"/>
        <v>0</v>
      </c>
      <c r="N80" s="2169">
        <f t="shared" ca="1" si="127"/>
        <v>0</v>
      </c>
      <c r="O80" s="2169">
        <f t="shared" ca="1" si="128"/>
        <v>0</v>
      </c>
      <c r="P80" s="2169">
        <f t="shared" ca="1" si="128"/>
        <v>0</v>
      </c>
      <c r="Q80" s="2169">
        <f t="shared" ca="1" si="128"/>
        <v>0</v>
      </c>
      <c r="R80" s="2169">
        <f t="shared" ca="1" si="128"/>
        <v>0</v>
      </c>
      <c r="S80" s="2170">
        <v>0</v>
      </c>
      <c r="T80" s="2169">
        <f t="shared" ca="1" si="129"/>
        <v>0</v>
      </c>
      <c r="U80" s="2169">
        <f t="shared" ca="1" si="129"/>
        <v>0</v>
      </c>
      <c r="V80" s="2169">
        <f t="shared" ca="1" si="129"/>
        <v>0</v>
      </c>
      <c r="W80" s="2161">
        <f t="shared" ca="1" si="130"/>
        <v>0</v>
      </c>
      <c r="X80" s="2161">
        <f t="shared" ca="1" si="130"/>
        <v>0</v>
      </c>
      <c r="Y80" s="2161">
        <f t="shared" ca="1" si="130"/>
        <v>0</v>
      </c>
      <c r="Z80" s="2161">
        <f t="shared" ca="1" si="130"/>
        <v>0</v>
      </c>
      <c r="AA80" s="2161">
        <f t="shared" ca="1" si="130"/>
        <v>0</v>
      </c>
      <c r="AB80" s="2161">
        <f t="shared" ca="1" si="130"/>
        <v>0</v>
      </c>
      <c r="AC80" s="2161">
        <f t="shared" ca="1" si="131"/>
        <v>0</v>
      </c>
      <c r="AD80" s="2161">
        <f t="shared" ca="1" si="131"/>
        <v>0</v>
      </c>
      <c r="AE80" s="2161">
        <f t="shared" ca="1" si="131"/>
        <v>2995.4798835455999</v>
      </c>
      <c r="AF80" s="2161">
        <f t="shared" ca="1" si="131"/>
        <v>0</v>
      </c>
      <c r="AG80" s="2161">
        <f t="shared" ca="1" si="131"/>
        <v>0</v>
      </c>
      <c r="AH80" s="2161">
        <f t="shared" ca="1" si="131"/>
        <v>0</v>
      </c>
      <c r="AI80" s="2161">
        <f t="shared" ca="1" si="131"/>
        <v>4296.0771734760001</v>
      </c>
      <c r="AJ80" s="2161">
        <f t="shared" ca="1" si="131"/>
        <v>35132.119055985</v>
      </c>
      <c r="AK80" s="2161">
        <f t="shared" ca="1" si="131"/>
        <v>1526.8505554793401</v>
      </c>
      <c r="AL80" s="2161">
        <f t="shared" ca="1" si="131"/>
        <v>0</v>
      </c>
      <c r="AM80" s="2161">
        <f t="shared" ca="1" si="131"/>
        <v>0</v>
      </c>
      <c r="AN80" s="2161">
        <f t="shared" ca="1" si="132"/>
        <v>0</v>
      </c>
      <c r="AO80" s="2161">
        <f t="shared" ca="1" si="132"/>
        <v>0</v>
      </c>
      <c r="AP80" s="2161">
        <f t="shared" ca="1" si="132"/>
        <v>0</v>
      </c>
      <c r="AQ80" s="2161">
        <f t="shared" ca="1" si="132"/>
        <v>0</v>
      </c>
      <c r="AR80" s="2171">
        <f t="shared" ca="1" si="132"/>
        <v>0</v>
      </c>
      <c r="AS80" s="2172">
        <f ca="1">VLOOKUP($B80,RawData,AS$4,FALSE)*VLOOKUP(AS$3,ConversionFactors,2,FALSE)*1</f>
        <v>0</v>
      </c>
      <c r="AT80" s="2173">
        <f t="shared" si="133"/>
        <v>0</v>
      </c>
      <c r="AU80" s="2173">
        <f t="shared" si="133"/>
        <v>0</v>
      </c>
      <c r="AV80" s="2173">
        <f t="shared" si="133"/>
        <v>0</v>
      </c>
      <c r="AW80" s="2173">
        <f t="shared" si="133"/>
        <v>0</v>
      </c>
      <c r="AX80" s="2173">
        <f t="shared" si="133"/>
        <v>0</v>
      </c>
      <c r="AY80" s="2173">
        <f t="shared" ca="1" si="134"/>
        <v>0</v>
      </c>
      <c r="AZ80" s="2173">
        <f t="shared" ca="1" si="134"/>
        <v>0</v>
      </c>
      <c r="BA80" s="2173">
        <f t="shared" ca="1" si="134"/>
        <v>0</v>
      </c>
      <c r="BB80" s="2173">
        <f t="shared" ca="1" si="134"/>
        <v>0</v>
      </c>
      <c r="BC80" s="2173">
        <f>VLOOKUP($B80,RawData,BC$4,FALSE)*1</f>
        <v>0</v>
      </c>
      <c r="BD80" s="2174">
        <f ca="1">VLOOKUP($B80,RawData,BD$4,FALSE)*VLOOKUP(BD$3,ConversionFactors,2,FALSE)/1000</f>
        <v>0</v>
      </c>
      <c r="BE80" s="2170">
        <v>0</v>
      </c>
      <c r="BF80" s="2170">
        <v>0</v>
      </c>
      <c r="BG80" s="2167">
        <f>VLOOKUP($B80,RawData,BG$4,FALSE)*1</f>
        <v>0</v>
      </c>
      <c r="BH80" s="2170">
        <v>0</v>
      </c>
      <c r="BI80" s="2167">
        <f>VLOOKUP($B80,RawData,BI$4,FALSE)*1</f>
        <v>0</v>
      </c>
      <c r="BJ80" s="2170">
        <v>0</v>
      </c>
      <c r="BK80" s="2170">
        <v>0</v>
      </c>
      <c r="BL80" s="2167">
        <v>0</v>
      </c>
      <c r="BM80" s="2167">
        <f>VLOOKUP($B80,RawData,BM$4,FALSE)*3.6</f>
        <v>21484.799999999999</v>
      </c>
      <c r="BN80" s="2167">
        <f>VLOOKUP($B80,RawData,BN$4,FALSE)*1</f>
        <v>0</v>
      </c>
      <c r="BO80" s="2170">
        <v>0</v>
      </c>
      <c r="BP80" s="2168">
        <f t="shared" ca="1" si="106"/>
        <v>66134.199116485936</v>
      </c>
      <c r="BQ80" s="648"/>
      <c r="CA80" s="555" t="s">
        <v>1367</v>
      </c>
      <c r="CB80" s="20" t="s">
        <v>5854</v>
      </c>
      <c r="CC80" s="20" t="s">
        <v>5855</v>
      </c>
      <c r="CD80" s="20" t="s">
        <v>5856</v>
      </c>
      <c r="CE80" s="20" t="s">
        <v>5857</v>
      </c>
      <c r="CF80" s="20" t="s">
        <v>5858</v>
      </c>
      <c r="CG80" s="20" t="s">
        <v>5859</v>
      </c>
      <c r="CH80" s="20" t="s">
        <v>5860</v>
      </c>
      <c r="CI80" s="20" t="s">
        <v>5861</v>
      </c>
      <c r="CJ80" s="20" t="s">
        <v>5862</v>
      </c>
      <c r="CK80" s="20" t="s">
        <v>5863</v>
      </c>
      <c r="CL80" s="20" t="s">
        <v>5864</v>
      </c>
      <c r="CM80" s="20" t="s">
        <v>5865</v>
      </c>
      <c r="CN80" s="20" t="s">
        <v>5866</v>
      </c>
      <c r="CO80" s="20" t="s">
        <v>5867</v>
      </c>
      <c r="CP80" s="20">
        <v>0</v>
      </c>
      <c r="CQ80" s="20" t="s">
        <v>5868</v>
      </c>
      <c r="CR80" s="20" t="s">
        <v>5869</v>
      </c>
      <c r="CS80" s="20" t="s">
        <v>5870</v>
      </c>
      <c r="CT80" s="20" t="s">
        <v>5871</v>
      </c>
      <c r="CU80" s="20" t="s">
        <v>5872</v>
      </c>
      <c r="CV80" s="20" t="s">
        <v>5873</v>
      </c>
      <c r="CW80" s="20" t="s">
        <v>5874</v>
      </c>
      <c r="CX80" s="20" t="s">
        <v>5875</v>
      </c>
      <c r="CY80" s="20" t="s">
        <v>5876</v>
      </c>
      <c r="CZ80" s="20" t="s">
        <v>5877</v>
      </c>
      <c r="DA80" s="20" t="s">
        <v>5878</v>
      </c>
      <c r="DB80" s="20" t="s">
        <v>5879</v>
      </c>
      <c r="DC80" s="20" t="s">
        <v>5880</v>
      </c>
      <c r="DD80" s="20" t="s">
        <v>5881</v>
      </c>
      <c r="DE80" s="20" t="s">
        <v>5882</v>
      </c>
      <c r="DF80" s="20" t="s">
        <v>5883</v>
      </c>
      <c r="DG80" s="20" t="s">
        <v>5884</v>
      </c>
      <c r="DH80" s="20" t="s">
        <v>5885</v>
      </c>
      <c r="DI80" s="20" t="s">
        <v>5886</v>
      </c>
      <c r="DJ80" s="20" t="s">
        <v>5887</v>
      </c>
      <c r="DK80" s="20" t="s">
        <v>5888</v>
      </c>
      <c r="DL80" s="20" t="s">
        <v>5889</v>
      </c>
      <c r="DM80" s="20" t="s">
        <v>5890</v>
      </c>
      <c r="DN80" s="20" t="s">
        <v>5891</v>
      </c>
      <c r="DO80" s="20" t="s">
        <v>5892</v>
      </c>
      <c r="DP80" s="20" t="s">
        <v>5893</v>
      </c>
      <c r="DQ80" s="20" t="s">
        <v>5894</v>
      </c>
      <c r="DR80" s="20" t="s">
        <v>5895</v>
      </c>
      <c r="DS80" s="20" t="s">
        <v>5896</v>
      </c>
      <c r="DT80" s="20" t="s">
        <v>5897</v>
      </c>
      <c r="DU80" s="20" t="s">
        <v>5898</v>
      </c>
      <c r="DV80" s="20" t="s">
        <v>5899</v>
      </c>
      <c r="DW80" s="20" t="s">
        <v>5900</v>
      </c>
      <c r="DX80" s="20" t="s">
        <v>5901</v>
      </c>
      <c r="DY80" s="20" t="s">
        <v>5902</v>
      </c>
      <c r="DZ80" s="20" t="s">
        <v>5903</v>
      </c>
      <c r="EA80" s="20" t="s">
        <v>5904</v>
      </c>
      <c r="EB80" s="20">
        <v>0</v>
      </c>
      <c r="EC80" s="20">
        <v>0</v>
      </c>
      <c r="ED80" s="20" t="s">
        <v>5905</v>
      </c>
      <c r="EE80" s="20">
        <v>0</v>
      </c>
      <c r="EF80" s="20" t="s">
        <v>5906</v>
      </c>
      <c r="EG80" s="20">
        <v>0</v>
      </c>
      <c r="EH80" s="20">
        <v>0</v>
      </c>
      <c r="EI80" s="20">
        <v>0</v>
      </c>
      <c r="EJ80" s="20" t="s">
        <v>5907</v>
      </c>
      <c r="EK80" s="20" t="s">
        <v>5908</v>
      </c>
      <c r="EL80" s="20">
        <v>0</v>
      </c>
    </row>
    <row r="81" spans="1:142" s="20" customFormat="1" ht="11.25" x14ac:dyDescent="0.2">
      <c r="A81" s="904" t="str">
        <f>FISHING</f>
        <v>Fishing</v>
      </c>
      <c r="B81" s="230" t="s">
        <v>1374</v>
      </c>
      <c r="C81" s="230" t="s">
        <v>1653</v>
      </c>
      <c r="D81" s="221">
        <f>MATCH(C81,CFHeadings,0)</f>
        <v>16</v>
      </c>
      <c r="E81" s="2169">
        <f t="shared" ca="1" si="127"/>
        <v>0</v>
      </c>
      <c r="F81" s="2169">
        <f t="shared" ca="1" si="127"/>
        <v>0</v>
      </c>
      <c r="G81" s="2169">
        <f t="shared" ca="1" si="127"/>
        <v>0</v>
      </c>
      <c r="H81" s="2169">
        <f t="shared" ca="1" si="127"/>
        <v>0</v>
      </c>
      <c r="I81" s="2169">
        <f t="shared" ca="1" si="127"/>
        <v>0</v>
      </c>
      <c r="J81" s="2169">
        <f t="shared" ca="1" si="127"/>
        <v>0</v>
      </c>
      <c r="K81" s="2169">
        <f t="shared" ca="1" si="127"/>
        <v>0</v>
      </c>
      <c r="L81" s="2169">
        <f t="shared" ca="1" si="127"/>
        <v>0</v>
      </c>
      <c r="M81" s="2169">
        <f t="shared" ca="1" si="127"/>
        <v>0</v>
      </c>
      <c r="N81" s="2169">
        <f t="shared" ca="1" si="127"/>
        <v>0</v>
      </c>
      <c r="O81" s="2169">
        <f t="shared" ca="1" si="128"/>
        <v>0</v>
      </c>
      <c r="P81" s="2169">
        <f t="shared" ca="1" si="128"/>
        <v>0</v>
      </c>
      <c r="Q81" s="2169">
        <f t="shared" ca="1" si="128"/>
        <v>0</v>
      </c>
      <c r="R81" s="2169">
        <f t="shared" ca="1" si="128"/>
        <v>0</v>
      </c>
      <c r="S81" s="2170">
        <v>0</v>
      </c>
      <c r="T81" s="2169">
        <f t="shared" ca="1" si="129"/>
        <v>0</v>
      </c>
      <c r="U81" s="2169">
        <f t="shared" ca="1" si="129"/>
        <v>0</v>
      </c>
      <c r="V81" s="2169">
        <f t="shared" ca="1" si="129"/>
        <v>0</v>
      </c>
      <c r="W81" s="2161">
        <f t="shared" ca="1" si="130"/>
        <v>0</v>
      </c>
      <c r="X81" s="2161">
        <f t="shared" ca="1" si="130"/>
        <v>0</v>
      </c>
      <c r="Y81" s="2161">
        <f t="shared" ca="1" si="130"/>
        <v>0</v>
      </c>
      <c r="Z81" s="2161">
        <f t="shared" ca="1" si="130"/>
        <v>0</v>
      </c>
      <c r="AA81" s="2161">
        <f t="shared" ca="1" si="130"/>
        <v>0</v>
      </c>
      <c r="AB81" s="2161">
        <f t="shared" ca="1" si="130"/>
        <v>0</v>
      </c>
      <c r="AC81" s="2161">
        <f t="shared" ca="1" si="131"/>
        <v>0</v>
      </c>
      <c r="AD81" s="2161">
        <f t="shared" ca="1" si="131"/>
        <v>0</v>
      </c>
      <c r="AE81" s="2161">
        <f t="shared" ca="1" si="131"/>
        <v>0</v>
      </c>
      <c r="AF81" s="2161">
        <f t="shared" ca="1" si="131"/>
        <v>0</v>
      </c>
      <c r="AG81" s="2161">
        <f t="shared" ca="1" si="131"/>
        <v>0</v>
      </c>
      <c r="AH81" s="2161">
        <f t="shared" ca="1" si="131"/>
        <v>0</v>
      </c>
      <c r="AI81" s="2161">
        <f t="shared" ca="1" si="131"/>
        <v>0</v>
      </c>
      <c r="AJ81" s="2161">
        <f t="shared" ca="1" si="131"/>
        <v>0</v>
      </c>
      <c r="AK81" s="2161">
        <f t="shared" ca="1" si="131"/>
        <v>0</v>
      </c>
      <c r="AL81" s="2161">
        <f t="shared" ca="1" si="131"/>
        <v>0</v>
      </c>
      <c r="AM81" s="2161">
        <f t="shared" ca="1" si="131"/>
        <v>0</v>
      </c>
      <c r="AN81" s="2161">
        <f t="shared" ca="1" si="132"/>
        <v>0</v>
      </c>
      <c r="AO81" s="2161">
        <f t="shared" ca="1" si="132"/>
        <v>0</v>
      </c>
      <c r="AP81" s="2161">
        <f t="shared" ca="1" si="132"/>
        <v>0</v>
      </c>
      <c r="AQ81" s="2161">
        <f t="shared" ca="1" si="132"/>
        <v>0</v>
      </c>
      <c r="AR81" s="2171">
        <f t="shared" ca="1" si="132"/>
        <v>0</v>
      </c>
      <c r="AS81" s="2172">
        <f ca="1">VLOOKUP($B81,RawData,AS$4,FALSE)*VLOOKUP(AS$3,ConversionFactors,2,FALSE)*1</f>
        <v>0</v>
      </c>
      <c r="AT81" s="2173">
        <f t="shared" si="133"/>
        <v>0</v>
      </c>
      <c r="AU81" s="2173">
        <f t="shared" si="133"/>
        <v>0</v>
      </c>
      <c r="AV81" s="2173">
        <f t="shared" si="133"/>
        <v>0</v>
      </c>
      <c r="AW81" s="2173">
        <f t="shared" si="133"/>
        <v>0</v>
      </c>
      <c r="AX81" s="2173">
        <f t="shared" si="133"/>
        <v>0</v>
      </c>
      <c r="AY81" s="2173">
        <f t="shared" ca="1" si="134"/>
        <v>0</v>
      </c>
      <c r="AZ81" s="2173">
        <f t="shared" ca="1" si="134"/>
        <v>0</v>
      </c>
      <c r="BA81" s="2173">
        <f t="shared" ca="1" si="134"/>
        <v>0</v>
      </c>
      <c r="BB81" s="2173">
        <f t="shared" ca="1" si="134"/>
        <v>0</v>
      </c>
      <c r="BC81" s="2173">
        <f>VLOOKUP($B81,RawData,BC$4,FALSE)*1</f>
        <v>0</v>
      </c>
      <c r="BD81" s="2174">
        <f ca="1">VLOOKUP($B81,RawData,BD$4,FALSE)*VLOOKUP(BD$3,ConversionFactors,2,FALSE)/1000</f>
        <v>0</v>
      </c>
      <c r="BE81" s="2170">
        <v>0</v>
      </c>
      <c r="BF81" s="2170">
        <v>0</v>
      </c>
      <c r="BG81" s="2167">
        <f>VLOOKUP($B81,RawData,BG$4,FALSE)*1</f>
        <v>0</v>
      </c>
      <c r="BH81" s="2170">
        <v>0</v>
      </c>
      <c r="BI81" s="2167">
        <f>VLOOKUP($B81,RawData,BI$4,FALSE)*1</f>
        <v>0</v>
      </c>
      <c r="BJ81" s="2170">
        <v>0</v>
      </c>
      <c r="BK81" s="2170">
        <v>0</v>
      </c>
      <c r="BL81" s="2167">
        <v>0</v>
      </c>
      <c r="BM81" s="2167">
        <f>VLOOKUP($B81,RawData,BM$4,FALSE)*3.6</f>
        <v>0</v>
      </c>
      <c r="BN81" s="2167">
        <f>VLOOKUP($B81,RawData,BN$4,FALSE)*1</f>
        <v>0</v>
      </c>
      <c r="BO81" s="2170">
        <v>0</v>
      </c>
      <c r="BP81" s="2168">
        <f t="shared" ca="1" si="106"/>
        <v>0</v>
      </c>
      <c r="BQ81" s="648"/>
      <c r="CA81" s="555" t="s">
        <v>1374</v>
      </c>
      <c r="CB81" s="20" t="s">
        <v>5909</v>
      </c>
      <c r="CC81" s="20" t="s">
        <v>5910</v>
      </c>
      <c r="CD81" s="20" t="s">
        <v>5911</v>
      </c>
      <c r="CE81" s="20" t="s">
        <v>5912</v>
      </c>
      <c r="CF81" s="20" t="s">
        <v>5913</v>
      </c>
      <c r="CG81" s="20" t="s">
        <v>5914</v>
      </c>
      <c r="CH81" s="20" t="s">
        <v>5915</v>
      </c>
      <c r="CI81" s="20" t="s">
        <v>5916</v>
      </c>
      <c r="CJ81" s="20" t="s">
        <v>5917</v>
      </c>
      <c r="CK81" s="20" t="s">
        <v>5918</v>
      </c>
      <c r="CL81" s="20" t="s">
        <v>5919</v>
      </c>
      <c r="CM81" s="20" t="s">
        <v>5920</v>
      </c>
      <c r="CN81" s="20" t="s">
        <v>5921</v>
      </c>
      <c r="CO81" s="20" t="s">
        <v>5922</v>
      </c>
      <c r="CP81" s="20">
        <v>0</v>
      </c>
      <c r="CQ81" s="20" t="s">
        <v>5923</v>
      </c>
      <c r="CR81" s="20" t="s">
        <v>5924</v>
      </c>
      <c r="CS81" s="20" t="s">
        <v>5925</v>
      </c>
      <c r="CT81" s="20" t="s">
        <v>5926</v>
      </c>
      <c r="CU81" s="20" t="s">
        <v>5927</v>
      </c>
      <c r="CV81" s="20" t="s">
        <v>5928</v>
      </c>
      <c r="CW81" s="20" t="s">
        <v>5929</v>
      </c>
      <c r="CX81" s="20" t="s">
        <v>5930</v>
      </c>
      <c r="CY81" s="20" t="s">
        <v>5931</v>
      </c>
      <c r="CZ81" s="20" t="s">
        <v>5932</v>
      </c>
      <c r="DA81" s="20" t="s">
        <v>5933</v>
      </c>
      <c r="DB81" s="20" t="s">
        <v>5934</v>
      </c>
      <c r="DC81" s="20" t="s">
        <v>5935</v>
      </c>
      <c r="DD81" s="20" t="s">
        <v>5936</v>
      </c>
      <c r="DE81" s="20" t="s">
        <v>5937</v>
      </c>
      <c r="DF81" s="20" t="s">
        <v>5938</v>
      </c>
      <c r="DG81" s="20" t="s">
        <v>5939</v>
      </c>
      <c r="DH81" s="20" t="s">
        <v>5940</v>
      </c>
      <c r="DI81" s="20" t="s">
        <v>5941</v>
      </c>
      <c r="DJ81" s="20" t="s">
        <v>5942</v>
      </c>
      <c r="DK81" s="20" t="s">
        <v>5943</v>
      </c>
      <c r="DL81" s="20" t="s">
        <v>5944</v>
      </c>
      <c r="DM81" s="20" t="s">
        <v>5945</v>
      </c>
      <c r="DN81" s="20" t="s">
        <v>5946</v>
      </c>
      <c r="DO81" s="20" t="s">
        <v>5947</v>
      </c>
      <c r="DP81" s="20" t="s">
        <v>5948</v>
      </c>
      <c r="DQ81" s="20" t="s">
        <v>5949</v>
      </c>
      <c r="DR81" s="20" t="s">
        <v>5950</v>
      </c>
      <c r="DS81" s="20" t="s">
        <v>5951</v>
      </c>
      <c r="DT81" s="20" t="s">
        <v>5952</v>
      </c>
      <c r="DU81" s="20" t="s">
        <v>5953</v>
      </c>
      <c r="DV81" s="20" t="s">
        <v>5954</v>
      </c>
      <c r="DW81" s="20" t="s">
        <v>5955</v>
      </c>
      <c r="DX81" s="20" t="s">
        <v>5956</v>
      </c>
      <c r="DY81" s="20" t="s">
        <v>5957</v>
      </c>
      <c r="DZ81" s="20" t="s">
        <v>5958</v>
      </c>
      <c r="EA81" s="20" t="s">
        <v>5959</v>
      </c>
      <c r="EB81" s="20">
        <v>0</v>
      </c>
      <c r="EC81" s="20">
        <v>0</v>
      </c>
      <c r="ED81" s="20" t="s">
        <v>5960</v>
      </c>
      <c r="EE81" s="20">
        <v>0</v>
      </c>
      <c r="EF81" s="20" t="s">
        <v>5961</v>
      </c>
      <c r="EG81" s="20">
        <v>0</v>
      </c>
      <c r="EH81" s="20">
        <v>0</v>
      </c>
      <c r="EI81" s="20">
        <v>0</v>
      </c>
      <c r="EJ81" s="20" t="s">
        <v>5962</v>
      </c>
      <c r="EK81" s="20" t="s">
        <v>5963</v>
      </c>
      <c r="EL81" s="20">
        <v>0</v>
      </c>
    </row>
    <row r="82" spans="1:142" s="20" customFormat="1" ht="11.25" x14ac:dyDescent="0.2">
      <c r="A82" s="904" t="str">
        <f>OTHNONSPEC</f>
        <v>Non-specified (other)</v>
      </c>
      <c r="B82" s="230" t="s">
        <v>643</v>
      </c>
      <c r="C82" s="230" t="s">
        <v>1653</v>
      </c>
      <c r="D82" s="221">
        <f>MATCH(C82,CFHeadings,0)</f>
        <v>16</v>
      </c>
      <c r="E82" s="2169">
        <f t="shared" ca="1" si="127"/>
        <v>1903.75792</v>
      </c>
      <c r="F82" s="2169">
        <f t="shared" ca="1" si="127"/>
        <v>0</v>
      </c>
      <c r="G82" s="2169">
        <f t="shared" ca="1" si="127"/>
        <v>0</v>
      </c>
      <c r="H82" s="2169">
        <f t="shared" ca="1" si="127"/>
        <v>0</v>
      </c>
      <c r="I82" s="2169">
        <f t="shared" ca="1" si="127"/>
        <v>0</v>
      </c>
      <c r="J82" s="2169">
        <f t="shared" ca="1" si="127"/>
        <v>0</v>
      </c>
      <c r="K82" s="2169">
        <f t="shared" ca="1" si="127"/>
        <v>0</v>
      </c>
      <c r="L82" s="2169">
        <f t="shared" ca="1" si="127"/>
        <v>0</v>
      </c>
      <c r="M82" s="2169">
        <f t="shared" ca="1" si="127"/>
        <v>0</v>
      </c>
      <c r="N82" s="2169">
        <f t="shared" ca="1" si="127"/>
        <v>0</v>
      </c>
      <c r="O82" s="2169">
        <f t="shared" ca="1" si="128"/>
        <v>0</v>
      </c>
      <c r="P82" s="2169">
        <f t="shared" ca="1" si="128"/>
        <v>0</v>
      </c>
      <c r="Q82" s="2169">
        <f t="shared" ca="1" si="128"/>
        <v>0</v>
      </c>
      <c r="R82" s="2169">
        <f t="shared" ca="1" si="128"/>
        <v>0</v>
      </c>
      <c r="S82" s="2170">
        <v>0</v>
      </c>
      <c r="T82" s="2169">
        <f t="shared" ca="1" si="129"/>
        <v>0</v>
      </c>
      <c r="U82" s="2169">
        <f t="shared" ca="1" si="129"/>
        <v>0</v>
      </c>
      <c r="V82" s="2169">
        <f t="shared" ca="1" si="129"/>
        <v>0</v>
      </c>
      <c r="W82" s="2161">
        <f t="shared" ca="1" si="130"/>
        <v>0</v>
      </c>
      <c r="X82" s="2161">
        <f t="shared" ca="1" si="130"/>
        <v>0</v>
      </c>
      <c r="Y82" s="2161">
        <f t="shared" ca="1" si="130"/>
        <v>0</v>
      </c>
      <c r="Z82" s="2161">
        <f t="shared" ca="1" si="130"/>
        <v>0</v>
      </c>
      <c r="AA82" s="2161">
        <f t="shared" ca="1" si="130"/>
        <v>0</v>
      </c>
      <c r="AB82" s="2161">
        <f t="shared" ca="1" si="130"/>
        <v>0</v>
      </c>
      <c r="AC82" s="2161">
        <f t="shared" ca="1" si="131"/>
        <v>0</v>
      </c>
      <c r="AD82" s="2161">
        <f t="shared" ca="1" si="131"/>
        <v>5.8003887359999995</v>
      </c>
      <c r="AE82" s="2161">
        <f t="shared" ca="1" si="131"/>
        <v>248.58826861499998</v>
      </c>
      <c r="AF82" s="2161">
        <f t="shared" ca="1" si="131"/>
        <v>0</v>
      </c>
      <c r="AG82" s="2161">
        <f t="shared" ca="1" si="131"/>
        <v>0</v>
      </c>
      <c r="AH82" s="2161">
        <f t="shared" ca="1" si="131"/>
        <v>0</v>
      </c>
      <c r="AI82" s="2161">
        <f t="shared" ca="1" si="131"/>
        <v>0.34272771299999999</v>
      </c>
      <c r="AJ82" s="2161">
        <f t="shared" ca="1" si="131"/>
        <v>6662.7392668060002</v>
      </c>
      <c r="AK82" s="2161">
        <f t="shared" ca="1" si="131"/>
        <v>66.447736656000004</v>
      </c>
      <c r="AL82" s="2161">
        <f t="shared" ca="1" si="131"/>
        <v>0</v>
      </c>
      <c r="AM82" s="2161">
        <f t="shared" ca="1" si="131"/>
        <v>0</v>
      </c>
      <c r="AN82" s="2161">
        <f t="shared" ca="1" si="132"/>
        <v>0</v>
      </c>
      <c r="AO82" s="2161">
        <f t="shared" ca="1" si="132"/>
        <v>0</v>
      </c>
      <c r="AP82" s="2161">
        <f t="shared" ca="1" si="132"/>
        <v>0</v>
      </c>
      <c r="AQ82" s="2161">
        <f t="shared" ca="1" si="132"/>
        <v>0</v>
      </c>
      <c r="AR82" s="2171">
        <f t="shared" ca="1" si="132"/>
        <v>0</v>
      </c>
      <c r="AS82" s="2172">
        <f ca="1">VLOOKUP($B82,RawData,AS$4,FALSE)*VLOOKUP(AS$3,ConversionFactors,2,FALSE)*1</f>
        <v>0</v>
      </c>
      <c r="AT82" s="2173">
        <f t="shared" si="133"/>
        <v>0</v>
      </c>
      <c r="AU82" s="2173">
        <f t="shared" si="133"/>
        <v>0</v>
      </c>
      <c r="AV82" s="2173">
        <f t="shared" si="133"/>
        <v>0</v>
      </c>
      <c r="AW82" s="2173">
        <f t="shared" si="133"/>
        <v>0</v>
      </c>
      <c r="AX82" s="2173">
        <f t="shared" si="133"/>
        <v>0</v>
      </c>
      <c r="AY82" s="2173">
        <f t="shared" ca="1" si="134"/>
        <v>0</v>
      </c>
      <c r="AZ82" s="2173">
        <f t="shared" ca="1" si="134"/>
        <v>0</v>
      </c>
      <c r="BA82" s="2173">
        <f t="shared" ca="1" si="134"/>
        <v>0</v>
      </c>
      <c r="BB82" s="2173">
        <f t="shared" ca="1" si="134"/>
        <v>0</v>
      </c>
      <c r="BC82" s="2173">
        <f>VLOOKUP($B82,RawData,BC$4,FALSE)*1</f>
        <v>0</v>
      </c>
      <c r="BD82" s="2174">
        <f ca="1">VLOOKUP($B82,RawData,BD$4,FALSE)*VLOOKUP(BD$3,ConversionFactors,2,FALSE)/1000</f>
        <v>0</v>
      </c>
      <c r="BE82" s="2170">
        <v>0</v>
      </c>
      <c r="BF82" s="2170">
        <v>0</v>
      </c>
      <c r="BG82" s="2167">
        <f>VLOOKUP($B82,RawData,BG$4,FALSE)*1</f>
        <v>0</v>
      </c>
      <c r="BH82" s="2170">
        <v>0</v>
      </c>
      <c r="BI82" s="2167">
        <f>VLOOKUP($B82,RawData,BI$4,FALSE)*1</f>
        <v>0</v>
      </c>
      <c r="BJ82" s="2170">
        <v>0</v>
      </c>
      <c r="BK82" s="2170">
        <v>0</v>
      </c>
      <c r="BL82" s="2167">
        <v>0</v>
      </c>
      <c r="BM82" s="2167">
        <f>VLOOKUP($B82,RawData,BM$4,FALSE)*3.6</f>
        <v>2685.6</v>
      </c>
      <c r="BN82" s="2167">
        <f>VLOOKUP($B82,RawData,BN$4,FALSE)*1</f>
        <v>0</v>
      </c>
      <c r="BO82" s="2170">
        <v>0</v>
      </c>
      <c r="BP82" s="2168">
        <f t="shared" ca="1" si="106"/>
        <v>11573.276308526001</v>
      </c>
      <c r="BQ82" s="648"/>
      <c r="CA82" s="555" t="s">
        <v>643</v>
      </c>
      <c r="CB82" s="20" t="s">
        <v>5964</v>
      </c>
      <c r="CC82" s="20" t="s">
        <v>5965</v>
      </c>
      <c r="CD82" s="20" t="s">
        <v>5966</v>
      </c>
      <c r="CE82" s="20" t="s">
        <v>5967</v>
      </c>
      <c r="CF82" s="20" t="s">
        <v>5968</v>
      </c>
      <c r="CG82" s="20" t="s">
        <v>5969</v>
      </c>
      <c r="CH82" s="20" t="s">
        <v>5970</v>
      </c>
      <c r="CI82" s="20" t="s">
        <v>5971</v>
      </c>
      <c r="CJ82" s="20" t="s">
        <v>5972</v>
      </c>
      <c r="CK82" s="20" t="s">
        <v>5973</v>
      </c>
      <c r="CL82" s="20" t="s">
        <v>5974</v>
      </c>
      <c r="CM82" s="20" t="s">
        <v>5975</v>
      </c>
      <c r="CN82" s="20" t="s">
        <v>5976</v>
      </c>
      <c r="CO82" s="20" t="s">
        <v>5977</v>
      </c>
      <c r="CP82" s="20">
        <v>0</v>
      </c>
      <c r="CQ82" s="20" t="s">
        <v>5978</v>
      </c>
      <c r="CR82" s="20" t="s">
        <v>5979</v>
      </c>
      <c r="CS82" s="20" t="s">
        <v>5980</v>
      </c>
      <c r="CT82" s="20" t="s">
        <v>5981</v>
      </c>
      <c r="CU82" s="20" t="s">
        <v>5982</v>
      </c>
      <c r="CV82" s="20" t="s">
        <v>5983</v>
      </c>
      <c r="CW82" s="20" t="s">
        <v>5984</v>
      </c>
      <c r="CX82" s="20" t="s">
        <v>5985</v>
      </c>
      <c r="CY82" s="20" t="s">
        <v>5986</v>
      </c>
      <c r="CZ82" s="20" t="s">
        <v>5987</v>
      </c>
      <c r="DA82" s="20" t="s">
        <v>5988</v>
      </c>
      <c r="DB82" s="20" t="s">
        <v>5989</v>
      </c>
      <c r="DC82" s="20" t="s">
        <v>5990</v>
      </c>
      <c r="DD82" s="20" t="s">
        <v>5991</v>
      </c>
      <c r="DE82" s="20" t="s">
        <v>5992</v>
      </c>
      <c r="DF82" s="20" t="s">
        <v>5993</v>
      </c>
      <c r="DG82" s="20" t="s">
        <v>5994</v>
      </c>
      <c r="DH82" s="20" t="s">
        <v>5995</v>
      </c>
      <c r="DI82" s="20" t="s">
        <v>5996</v>
      </c>
      <c r="DJ82" s="20" t="s">
        <v>5997</v>
      </c>
      <c r="DK82" s="20" t="s">
        <v>5998</v>
      </c>
      <c r="DL82" s="20" t="s">
        <v>5999</v>
      </c>
      <c r="DM82" s="20" t="s">
        <v>6000</v>
      </c>
      <c r="DN82" s="20" t="s">
        <v>6001</v>
      </c>
      <c r="DO82" s="20" t="s">
        <v>6002</v>
      </c>
      <c r="DP82" s="20" t="s">
        <v>6003</v>
      </c>
      <c r="DQ82" s="20" t="s">
        <v>6004</v>
      </c>
      <c r="DR82" s="20" t="s">
        <v>6005</v>
      </c>
      <c r="DS82" s="20" t="s">
        <v>6006</v>
      </c>
      <c r="DT82" s="20" t="s">
        <v>6007</v>
      </c>
      <c r="DU82" s="20" t="s">
        <v>6008</v>
      </c>
      <c r="DV82" s="20" t="s">
        <v>6009</v>
      </c>
      <c r="DW82" s="20" t="s">
        <v>6010</v>
      </c>
      <c r="DX82" s="20" t="s">
        <v>6011</v>
      </c>
      <c r="DY82" s="20" t="s">
        <v>6012</v>
      </c>
      <c r="DZ82" s="20" t="s">
        <v>6013</v>
      </c>
      <c r="EA82" s="20" t="s">
        <v>6014</v>
      </c>
      <c r="EB82" s="20">
        <v>0</v>
      </c>
      <c r="EC82" s="20">
        <v>0</v>
      </c>
      <c r="ED82" s="20" t="s">
        <v>6015</v>
      </c>
      <c r="EE82" s="20">
        <v>0</v>
      </c>
      <c r="EF82" s="20" t="s">
        <v>6016</v>
      </c>
      <c r="EG82" s="20">
        <v>0</v>
      </c>
      <c r="EH82" s="20">
        <v>0</v>
      </c>
      <c r="EI82" s="20">
        <v>0</v>
      </c>
      <c r="EJ82" s="20" t="s">
        <v>6017</v>
      </c>
      <c r="EK82" s="20" t="s">
        <v>6018</v>
      </c>
      <c r="EL82" s="20">
        <v>0</v>
      </c>
    </row>
    <row r="83" spans="1:142" s="259" customFormat="1" ht="11.25" x14ac:dyDescent="0.2">
      <c r="A83" s="876" t="str">
        <f>NONENUSE</f>
        <v>Non-energy use</v>
      </c>
      <c r="B83" s="554" t="s">
        <v>1387</v>
      </c>
      <c r="C83" s="877"/>
      <c r="D83" s="878"/>
      <c r="E83" s="2175">
        <f t="shared" ref="E83:R83" ca="1" si="135">SUM(E84:E86)</f>
        <v>0</v>
      </c>
      <c r="F83" s="2175">
        <f t="shared" ca="1" si="135"/>
        <v>0</v>
      </c>
      <c r="G83" s="2175">
        <f t="shared" ca="1" si="135"/>
        <v>0</v>
      </c>
      <c r="H83" s="2175">
        <f t="shared" ca="1" si="135"/>
        <v>0</v>
      </c>
      <c r="I83" s="2175">
        <f t="shared" ca="1" si="135"/>
        <v>0</v>
      </c>
      <c r="J83" s="2175">
        <f t="shared" ca="1" si="135"/>
        <v>0</v>
      </c>
      <c r="K83" s="2175">
        <f t="shared" ca="1" si="135"/>
        <v>0</v>
      </c>
      <c r="L83" s="2175">
        <f t="shared" ca="1" si="135"/>
        <v>0</v>
      </c>
      <c r="M83" s="2175">
        <f t="shared" ca="1" si="135"/>
        <v>0</v>
      </c>
      <c r="N83" s="2175">
        <f t="shared" ca="1" si="135"/>
        <v>0</v>
      </c>
      <c r="O83" s="2175">
        <f t="shared" ca="1" si="135"/>
        <v>0</v>
      </c>
      <c r="P83" s="2175">
        <f t="shared" ca="1" si="135"/>
        <v>0</v>
      </c>
      <c r="Q83" s="2175">
        <f t="shared" ca="1" si="135"/>
        <v>0</v>
      </c>
      <c r="R83" s="2175">
        <f t="shared" ca="1" si="135"/>
        <v>0</v>
      </c>
      <c r="S83" s="2175">
        <v>0</v>
      </c>
      <c r="T83" s="2175">
        <f t="shared" ref="T83:AV83" ca="1" si="136">SUM(T84:T86)</f>
        <v>0</v>
      </c>
      <c r="U83" s="2175">
        <f t="shared" ca="1" si="136"/>
        <v>0</v>
      </c>
      <c r="V83" s="2175">
        <f t="shared" ca="1" si="136"/>
        <v>0</v>
      </c>
      <c r="W83" s="2175">
        <f t="shared" ca="1" si="136"/>
        <v>0</v>
      </c>
      <c r="X83" s="2175">
        <f t="shared" ca="1" si="136"/>
        <v>0</v>
      </c>
      <c r="Y83" s="2175">
        <f t="shared" ca="1" si="136"/>
        <v>0</v>
      </c>
      <c r="Z83" s="2175">
        <f t="shared" ca="1" si="136"/>
        <v>0</v>
      </c>
      <c r="AA83" s="2175">
        <f t="shared" ca="1" si="136"/>
        <v>0</v>
      </c>
      <c r="AB83" s="2175">
        <f t="shared" ca="1" si="136"/>
        <v>0</v>
      </c>
      <c r="AC83" s="2175">
        <f t="shared" ca="1" si="136"/>
        <v>0</v>
      </c>
      <c r="AD83" s="2175">
        <f t="shared" ca="1" si="136"/>
        <v>0</v>
      </c>
      <c r="AE83" s="2175">
        <f t="shared" ca="1" si="136"/>
        <v>0</v>
      </c>
      <c r="AF83" s="2175">
        <f t="shared" ca="1" si="136"/>
        <v>0</v>
      </c>
      <c r="AG83" s="2175">
        <f t="shared" ca="1" si="136"/>
        <v>0</v>
      </c>
      <c r="AH83" s="2175">
        <f t="shared" ca="1" si="136"/>
        <v>0</v>
      </c>
      <c r="AI83" s="2175">
        <f t="shared" ca="1" si="136"/>
        <v>0</v>
      </c>
      <c r="AJ83" s="2175">
        <f t="shared" ca="1" si="136"/>
        <v>0</v>
      </c>
      <c r="AK83" s="2175">
        <f t="shared" ca="1" si="136"/>
        <v>0</v>
      </c>
      <c r="AL83" s="2175">
        <f t="shared" ca="1" si="136"/>
        <v>0</v>
      </c>
      <c r="AM83" s="2175">
        <f t="shared" ca="1" si="136"/>
        <v>2.3861893061914063</v>
      </c>
      <c r="AN83" s="2175">
        <f t="shared" ca="1" si="136"/>
        <v>13406.351601562501</v>
      </c>
      <c r="AO83" s="2175">
        <f t="shared" ca="1" si="136"/>
        <v>24290.111053710934</v>
      </c>
      <c r="AP83" s="2175">
        <f t="shared" ca="1" si="136"/>
        <v>13482.105611572266</v>
      </c>
      <c r="AQ83" s="2175">
        <f t="shared" ca="1" si="136"/>
        <v>0</v>
      </c>
      <c r="AR83" s="2176">
        <f t="shared" ca="1" si="136"/>
        <v>1076.3268873596191</v>
      </c>
      <c r="AS83" s="2177">
        <f t="shared" ca="1" si="136"/>
        <v>0</v>
      </c>
      <c r="AT83" s="2175">
        <f t="shared" si="136"/>
        <v>0</v>
      </c>
      <c r="AU83" s="2175">
        <f t="shared" si="136"/>
        <v>0</v>
      </c>
      <c r="AV83" s="2175">
        <f t="shared" si="136"/>
        <v>0</v>
      </c>
      <c r="AW83" s="2175">
        <v>0</v>
      </c>
      <c r="AX83" s="2175">
        <f t="shared" ref="AX83:BD83" si="137">SUM(AX84:AX86)</f>
        <v>0</v>
      </c>
      <c r="AY83" s="2175">
        <f t="shared" ca="1" si="137"/>
        <v>0</v>
      </c>
      <c r="AZ83" s="2175">
        <f t="shared" ca="1" si="137"/>
        <v>0</v>
      </c>
      <c r="BA83" s="2175">
        <f t="shared" ca="1" si="137"/>
        <v>0</v>
      </c>
      <c r="BB83" s="2175">
        <f t="shared" ca="1" si="137"/>
        <v>0</v>
      </c>
      <c r="BC83" s="2175">
        <f t="shared" si="137"/>
        <v>0</v>
      </c>
      <c r="BD83" s="2176">
        <f t="shared" ca="1" si="137"/>
        <v>0</v>
      </c>
      <c r="BE83" s="2175">
        <v>0</v>
      </c>
      <c r="BF83" s="2175">
        <v>0</v>
      </c>
      <c r="BG83" s="2175">
        <v>0</v>
      </c>
      <c r="BH83" s="2175">
        <v>0</v>
      </c>
      <c r="BI83" s="2175">
        <v>0</v>
      </c>
      <c r="BJ83" s="2175">
        <v>0</v>
      </c>
      <c r="BK83" s="2175">
        <v>0</v>
      </c>
      <c r="BL83" s="2175">
        <v>0</v>
      </c>
      <c r="BM83" s="2175">
        <f>SUM(BM84:BM86)</f>
        <v>0</v>
      </c>
      <c r="BN83" s="2175">
        <f>SUM(BN84:BN86)</f>
        <v>0</v>
      </c>
      <c r="BO83" s="2175">
        <v>0</v>
      </c>
      <c r="BP83" s="2178">
        <f t="shared" ca="1" si="106"/>
        <v>52257.281343511509</v>
      </c>
      <c r="BQ83" s="666"/>
      <c r="CA83" s="561" t="s">
        <v>1387</v>
      </c>
      <c r="CB83" s="20" t="s">
        <v>6019</v>
      </c>
      <c r="CC83" s="20" t="s">
        <v>6020</v>
      </c>
      <c r="CD83" s="20" t="s">
        <v>6021</v>
      </c>
      <c r="CE83" s="20" t="s">
        <v>6022</v>
      </c>
      <c r="CF83" s="20" t="s">
        <v>6023</v>
      </c>
      <c r="CG83" s="20" t="s">
        <v>6024</v>
      </c>
      <c r="CH83" s="20" t="s">
        <v>6025</v>
      </c>
      <c r="CI83" s="20" t="s">
        <v>6026</v>
      </c>
      <c r="CJ83" s="20" t="s">
        <v>6027</v>
      </c>
      <c r="CK83" s="20" t="s">
        <v>6028</v>
      </c>
      <c r="CL83" s="20" t="s">
        <v>6029</v>
      </c>
      <c r="CM83" s="20" t="s">
        <v>6030</v>
      </c>
      <c r="CN83" s="20" t="s">
        <v>6031</v>
      </c>
      <c r="CO83" s="20" t="s">
        <v>6032</v>
      </c>
      <c r="CP83" s="20">
        <v>0</v>
      </c>
      <c r="CQ83" s="20" t="s">
        <v>6033</v>
      </c>
      <c r="CR83" s="20" t="s">
        <v>6034</v>
      </c>
      <c r="CS83" s="20" t="s">
        <v>6035</v>
      </c>
      <c r="CT83" s="20" t="s">
        <v>6036</v>
      </c>
      <c r="CU83" s="20" t="s">
        <v>6037</v>
      </c>
      <c r="CV83" s="20" t="s">
        <v>6038</v>
      </c>
      <c r="CW83" s="20" t="s">
        <v>6039</v>
      </c>
      <c r="CX83" s="20" t="s">
        <v>6040</v>
      </c>
      <c r="CY83" s="20" t="s">
        <v>6041</v>
      </c>
      <c r="CZ83" s="20" t="s">
        <v>6042</v>
      </c>
      <c r="DA83" s="20" t="s">
        <v>6043</v>
      </c>
      <c r="DB83" s="20" t="s">
        <v>6044</v>
      </c>
      <c r="DC83" s="20" t="s">
        <v>6045</v>
      </c>
      <c r="DD83" s="20" t="s">
        <v>6046</v>
      </c>
      <c r="DE83" s="20" t="s">
        <v>6047</v>
      </c>
      <c r="DF83" s="20" t="s">
        <v>6048</v>
      </c>
      <c r="DG83" s="20" t="s">
        <v>6049</v>
      </c>
      <c r="DH83" s="20" t="s">
        <v>6050</v>
      </c>
      <c r="DI83" s="20" t="s">
        <v>6051</v>
      </c>
      <c r="DJ83" s="20" t="s">
        <v>6052</v>
      </c>
      <c r="DK83" s="20" t="s">
        <v>6053</v>
      </c>
      <c r="DL83" s="20" t="s">
        <v>6054</v>
      </c>
      <c r="DM83" s="20" t="s">
        <v>6055</v>
      </c>
      <c r="DN83" s="20" t="s">
        <v>6056</v>
      </c>
      <c r="DO83" s="20" t="s">
        <v>6057</v>
      </c>
      <c r="DP83" s="20" t="s">
        <v>6058</v>
      </c>
      <c r="DQ83" s="20" t="s">
        <v>6059</v>
      </c>
      <c r="DR83" s="20" t="s">
        <v>6060</v>
      </c>
      <c r="DS83" s="20" t="s">
        <v>6061</v>
      </c>
      <c r="DT83" s="20">
        <v>0</v>
      </c>
      <c r="DU83" s="20" t="s">
        <v>6062</v>
      </c>
      <c r="DV83" s="20" t="s">
        <v>6063</v>
      </c>
      <c r="DW83" s="20" t="s">
        <v>6064</v>
      </c>
      <c r="DX83" s="20" t="s">
        <v>6065</v>
      </c>
      <c r="DY83" s="20" t="s">
        <v>6066</v>
      </c>
      <c r="DZ83" s="20" t="s">
        <v>6067</v>
      </c>
      <c r="EA83" s="20" t="s">
        <v>6068</v>
      </c>
      <c r="EB83" s="20">
        <v>0</v>
      </c>
      <c r="EC83" s="20">
        <v>0</v>
      </c>
      <c r="ED83" s="20">
        <v>0</v>
      </c>
      <c r="EE83" s="20">
        <v>0</v>
      </c>
      <c r="EF83" s="20">
        <v>0</v>
      </c>
      <c r="EG83" s="20">
        <v>0</v>
      </c>
      <c r="EH83" s="20">
        <v>0</v>
      </c>
      <c r="EI83" s="20">
        <v>0</v>
      </c>
      <c r="EJ83" s="20" t="s">
        <v>6069</v>
      </c>
      <c r="EK83" s="20" t="s">
        <v>6070</v>
      </c>
      <c r="EL83" s="20">
        <v>0</v>
      </c>
    </row>
    <row r="84" spans="1:142" s="20" customFormat="1" ht="11.25" x14ac:dyDescent="0.2">
      <c r="A84" s="904" t="str">
        <f>NEINTREN</f>
        <v>Non-energy use industry/transformation/energy</v>
      </c>
      <c r="B84" s="230" t="s">
        <v>1394</v>
      </c>
      <c r="C84" s="230" t="s">
        <v>1652</v>
      </c>
      <c r="D84" s="221">
        <f>MATCH(C84,CFHeadings,0)</f>
        <v>15</v>
      </c>
      <c r="E84" s="2169">
        <f t="shared" ref="E84:N87" ca="1" si="138">VLOOKUP($B84,RawData,E$4,FALSE)*VLOOKUP(E$3,ConversionFactors,$D84,FALSE)/1000</f>
        <v>0</v>
      </c>
      <c r="F84" s="2169">
        <f t="shared" ca="1" si="138"/>
        <v>0</v>
      </c>
      <c r="G84" s="2169">
        <f t="shared" ca="1" si="138"/>
        <v>0</v>
      </c>
      <c r="H84" s="2169">
        <f t="shared" ca="1" si="138"/>
        <v>0</v>
      </c>
      <c r="I84" s="2169">
        <f t="shared" ca="1" si="138"/>
        <v>0</v>
      </c>
      <c r="J84" s="2169">
        <f t="shared" ca="1" si="138"/>
        <v>0</v>
      </c>
      <c r="K84" s="2169">
        <f t="shared" ca="1" si="138"/>
        <v>0</v>
      </c>
      <c r="L84" s="2169">
        <f t="shared" ca="1" si="138"/>
        <v>0</v>
      </c>
      <c r="M84" s="2169">
        <f t="shared" ca="1" si="138"/>
        <v>0</v>
      </c>
      <c r="N84" s="2169">
        <f t="shared" ca="1" si="138"/>
        <v>0</v>
      </c>
      <c r="O84" s="2169">
        <f t="shared" ref="O84:R87" ca="1" si="139">(VLOOKUP($B84,RawData,O$4,FALSE)*VLOOKUP(O$3,ConversionFactors,2,FALSE))*1</f>
        <v>0</v>
      </c>
      <c r="P84" s="2169">
        <f t="shared" ca="1" si="139"/>
        <v>0</v>
      </c>
      <c r="Q84" s="2169">
        <f t="shared" ca="1" si="139"/>
        <v>0</v>
      </c>
      <c r="R84" s="2169">
        <f t="shared" ca="1" si="139"/>
        <v>0</v>
      </c>
      <c r="S84" s="2170">
        <v>0</v>
      </c>
      <c r="T84" s="2169">
        <f t="shared" ref="T84:V87" ca="1" si="140">VLOOKUP($B84,RawData,T$4,FALSE)*VLOOKUP(T$3,ConversionFactors,$D84,FALSE)/1000</f>
        <v>0</v>
      </c>
      <c r="U84" s="2169">
        <f t="shared" ca="1" si="140"/>
        <v>0</v>
      </c>
      <c r="V84" s="2169">
        <f t="shared" ca="1" si="140"/>
        <v>0</v>
      </c>
      <c r="W84" s="2161">
        <f t="shared" ref="W84:AA87" ca="1" si="141">VLOOKUP($B84,RawData,W$4,FALSE)*VLOOKUP(W$3,ConversionFactors,2,FALSE)/1000</f>
        <v>0</v>
      </c>
      <c r="X84" s="2161">
        <f t="shared" ca="1" si="141"/>
        <v>0</v>
      </c>
      <c r="Y84" s="2161">
        <f t="shared" ca="1" si="141"/>
        <v>0</v>
      </c>
      <c r="Z84" s="2161">
        <f t="shared" ca="1" si="141"/>
        <v>0</v>
      </c>
      <c r="AA84" s="2161">
        <f t="shared" ca="1" si="141"/>
        <v>0</v>
      </c>
      <c r="AB84" s="2161">
        <f t="shared" ref="AB84:AM87" ca="1" si="142">VLOOKUP($B84,RawData,AB$4,FALSE)*VLOOKUP(AB$3,ConversionFactors,2,FALSE)/1000000</f>
        <v>0</v>
      </c>
      <c r="AC84" s="2161">
        <f t="shared" ca="1" si="142"/>
        <v>0</v>
      </c>
      <c r="AD84" s="2161">
        <f t="shared" ca="1" si="142"/>
        <v>0</v>
      </c>
      <c r="AE84" s="2161">
        <f t="shared" ca="1" si="142"/>
        <v>0</v>
      </c>
      <c r="AF84" s="2161">
        <f t="shared" ca="1" si="142"/>
        <v>0</v>
      </c>
      <c r="AG84" s="2161">
        <f t="shared" ca="1" si="142"/>
        <v>0</v>
      </c>
      <c r="AH84" s="2161">
        <f t="shared" ca="1" si="142"/>
        <v>0</v>
      </c>
      <c r="AI84" s="2161">
        <f t="shared" ca="1" si="142"/>
        <v>0</v>
      </c>
      <c r="AJ84" s="2161">
        <f t="shared" ca="1" si="142"/>
        <v>0</v>
      </c>
      <c r="AK84" s="2161">
        <f t="shared" ca="1" si="142"/>
        <v>0</v>
      </c>
      <c r="AL84" s="2161">
        <f t="shared" ca="1" si="142"/>
        <v>0</v>
      </c>
      <c r="AM84" s="2161">
        <f t="shared" ca="1" si="142"/>
        <v>1.2337499133789063</v>
      </c>
      <c r="AN84" s="2161">
        <f ca="1">VLOOKUP($B84,RawData,AN$4,FALSE)*VLOOKUP(AN$3,ConversionFactors,2,FALSE)/1000</f>
        <v>1603.566890625</v>
      </c>
      <c r="AO84" s="2161">
        <f ca="1">VLOOKUP($B84,RawData,AO$4,FALSE)*VLOOKUP(AO$3,ConversionFactors,2,FALSE)/1000</f>
        <v>9221.2526249999992</v>
      </c>
      <c r="AP84" s="2161">
        <f ca="1">VLOOKUP($B84,RawData,AP$4,FALSE)*VLOOKUP(AP$3,ConversionFactors,2,FALSE)/1000</f>
        <v>3850.5271874999999</v>
      </c>
      <c r="AQ84" s="2161">
        <f ca="1">VLOOKUP($B84,RawData,AQ$4,FALSE)*VLOOKUP(AQ$3,ConversionFactors,2,FALSE)/1000</f>
        <v>0</v>
      </c>
      <c r="AR84" s="2161">
        <f ca="1">VLOOKUP($B84,RawData,AR$4,FALSE)*VLOOKUP(AR$3,ConversionFactors,2,FALSE)/1000</f>
        <v>1064.920390625</v>
      </c>
      <c r="AS84" s="2172">
        <f ca="1">VLOOKUP($B84,RawData,AS$4,FALSE)*VLOOKUP(AS$3,ConversionFactors,2,FALSE)*1</f>
        <v>0</v>
      </c>
      <c r="AT84" s="2173">
        <f t="shared" ref="AT84:AV87" si="143">VLOOKUP($B84,RawData,AT$4,FALSE)*1</f>
        <v>0</v>
      </c>
      <c r="AU84" s="2173">
        <f t="shared" si="143"/>
        <v>0</v>
      </c>
      <c r="AV84" s="2173">
        <f t="shared" si="143"/>
        <v>0</v>
      </c>
      <c r="AW84" s="2170">
        <v>0</v>
      </c>
      <c r="AX84" s="2173">
        <f>VLOOKUP($B84,RawData,AX$4,FALSE)*1</f>
        <v>0</v>
      </c>
      <c r="AY84" s="2173">
        <f t="shared" ref="AY84:BB87" ca="1" si="144">VLOOKUP($B84,RawData,AY$4,FALSE)*VLOOKUP(AY$3,ConversionFactors,2,FALSE)/1000</f>
        <v>0</v>
      </c>
      <c r="AZ84" s="2173">
        <f t="shared" ca="1" si="144"/>
        <v>0</v>
      </c>
      <c r="BA84" s="2173">
        <f t="shared" ca="1" si="144"/>
        <v>0</v>
      </c>
      <c r="BB84" s="2173">
        <f t="shared" ca="1" si="144"/>
        <v>0</v>
      </c>
      <c r="BC84" s="2173">
        <f>VLOOKUP($B84,RawData,BC$4,FALSE)*1</f>
        <v>0</v>
      </c>
      <c r="BD84" s="2174">
        <f ca="1">VLOOKUP($B84,RawData,BD$4,FALSE)*VLOOKUP(BD$3,ConversionFactors,2,FALSE)/1000</f>
        <v>0</v>
      </c>
      <c r="BE84" s="2170">
        <v>0</v>
      </c>
      <c r="BF84" s="2170">
        <v>0</v>
      </c>
      <c r="BG84" s="2167">
        <f>VLOOKUP($B84,RawData,BG$4,FALSE)</f>
        <v>0</v>
      </c>
      <c r="BH84" s="2170">
        <v>0</v>
      </c>
      <c r="BI84" s="2167">
        <f>VLOOKUP($B84,RawData,BI$4,FALSE)</f>
        <v>0</v>
      </c>
      <c r="BJ84" s="2170">
        <v>0</v>
      </c>
      <c r="BK84" s="2170">
        <v>0</v>
      </c>
      <c r="BL84" s="2167">
        <v>0</v>
      </c>
      <c r="BM84" s="2167">
        <f>VLOOKUP($B84,RawData,BM$4,FALSE)*3.6</f>
        <v>0</v>
      </c>
      <c r="BN84" s="2167">
        <f>VLOOKUP($B84,RawData,BN$4,FALSE)*1</f>
        <v>0</v>
      </c>
      <c r="BO84" s="2170">
        <v>0</v>
      </c>
      <c r="BP84" s="2168">
        <f t="shared" ca="1" si="106"/>
        <v>15741.500843663378</v>
      </c>
      <c r="BQ84" s="648"/>
      <c r="CA84" s="555" t="s">
        <v>1394</v>
      </c>
      <c r="CB84" s="20" t="s">
        <v>6071</v>
      </c>
      <c r="CC84" s="20" t="s">
        <v>6072</v>
      </c>
      <c r="CD84" s="20" t="s">
        <v>6073</v>
      </c>
      <c r="CE84" s="20" t="s">
        <v>6074</v>
      </c>
      <c r="CF84" s="20" t="s">
        <v>6075</v>
      </c>
      <c r="CG84" s="20" t="s">
        <v>6076</v>
      </c>
      <c r="CH84" s="20" t="s">
        <v>6077</v>
      </c>
      <c r="CI84" s="20" t="s">
        <v>6078</v>
      </c>
      <c r="CJ84" s="20" t="s">
        <v>6079</v>
      </c>
      <c r="CK84" s="20" t="s">
        <v>6080</v>
      </c>
      <c r="CL84" s="20" t="s">
        <v>6081</v>
      </c>
      <c r="CM84" s="20" t="s">
        <v>6082</v>
      </c>
      <c r="CN84" s="20" t="s">
        <v>6083</v>
      </c>
      <c r="CO84" s="20" t="s">
        <v>6084</v>
      </c>
      <c r="CP84" s="20">
        <v>0</v>
      </c>
      <c r="CQ84" s="20" t="s">
        <v>6085</v>
      </c>
      <c r="CR84" s="20" t="s">
        <v>6086</v>
      </c>
      <c r="CS84" s="20" t="s">
        <v>6087</v>
      </c>
      <c r="CT84" s="20" t="s">
        <v>6088</v>
      </c>
      <c r="CU84" s="20" t="s">
        <v>6089</v>
      </c>
      <c r="CV84" s="20" t="s">
        <v>6090</v>
      </c>
      <c r="CW84" s="20" t="s">
        <v>6091</v>
      </c>
      <c r="CX84" s="20" t="s">
        <v>6092</v>
      </c>
      <c r="CY84" s="20" t="s">
        <v>6093</v>
      </c>
      <c r="CZ84" s="20" t="s">
        <v>6094</v>
      </c>
      <c r="DA84" s="20" t="s">
        <v>6095</v>
      </c>
      <c r="DB84" s="20" t="s">
        <v>6096</v>
      </c>
      <c r="DC84" s="20" t="s">
        <v>6097</v>
      </c>
      <c r="DD84" s="20" t="s">
        <v>6098</v>
      </c>
      <c r="DE84" s="20" t="s">
        <v>6099</v>
      </c>
      <c r="DF84" s="20" t="s">
        <v>6100</v>
      </c>
      <c r="DG84" s="20" t="s">
        <v>6101</v>
      </c>
      <c r="DH84" s="20" t="s">
        <v>6102</v>
      </c>
      <c r="DI84" s="20" t="s">
        <v>6103</v>
      </c>
      <c r="DJ84" s="20" t="s">
        <v>6104</v>
      </c>
      <c r="DK84" s="20" t="s">
        <v>6105</v>
      </c>
      <c r="DL84" s="20" t="s">
        <v>6106</v>
      </c>
      <c r="DM84" s="20" t="s">
        <v>6107</v>
      </c>
      <c r="DN84" s="20" t="s">
        <v>6108</v>
      </c>
      <c r="DO84" s="20" t="s">
        <v>6109</v>
      </c>
      <c r="DP84" s="20" t="s">
        <v>6110</v>
      </c>
      <c r="DQ84" s="20" t="s">
        <v>6111</v>
      </c>
      <c r="DR84" s="20" t="s">
        <v>6112</v>
      </c>
      <c r="DS84" s="20" t="s">
        <v>6113</v>
      </c>
      <c r="DT84" s="20">
        <v>0</v>
      </c>
      <c r="DU84" s="20" t="s">
        <v>6114</v>
      </c>
      <c r="DV84" s="20" t="s">
        <v>6115</v>
      </c>
      <c r="DW84" s="20" t="s">
        <v>6116</v>
      </c>
      <c r="DX84" s="20" t="s">
        <v>6117</v>
      </c>
      <c r="DY84" s="20" t="s">
        <v>6118</v>
      </c>
      <c r="DZ84" s="20" t="s">
        <v>6119</v>
      </c>
      <c r="EA84" s="20" t="s">
        <v>6120</v>
      </c>
      <c r="EB84" s="20">
        <v>0</v>
      </c>
      <c r="EC84" s="20">
        <v>0</v>
      </c>
      <c r="ED84" s="20" t="s">
        <v>6121</v>
      </c>
      <c r="EE84" s="20">
        <v>0</v>
      </c>
      <c r="EF84" s="20" t="s">
        <v>6122</v>
      </c>
      <c r="EG84" s="20">
        <v>0</v>
      </c>
      <c r="EH84" s="20">
        <v>0</v>
      </c>
      <c r="EI84" s="20">
        <v>0</v>
      </c>
      <c r="EJ84" s="20" t="s">
        <v>6123</v>
      </c>
      <c r="EK84" s="20" t="s">
        <v>6124</v>
      </c>
      <c r="EL84" s="20">
        <v>0</v>
      </c>
    </row>
    <row r="85" spans="1:142" s="20" customFormat="1" ht="11.25" x14ac:dyDescent="0.2">
      <c r="A85" s="904" t="str">
        <f>NETRANS</f>
        <v>Non-energy use in transport</v>
      </c>
      <c r="B85" s="230" t="s">
        <v>1401</v>
      </c>
      <c r="C85" s="230" t="s">
        <v>1653</v>
      </c>
      <c r="D85" s="221">
        <f>MATCH(C85,CFHeadings,0)</f>
        <v>16</v>
      </c>
      <c r="E85" s="2169">
        <f t="shared" ca="1" si="138"/>
        <v>0</v>
      </c>
      <c r="F85" s="2169">
        <f t="shared" ca="1" si="138"/>
        <v>0</v>
      </c>
      <c r="G85" s="2169">
        <f t="shared" ca="1" si="138"/>
        <v>0</v>
      </c>
      <c r="H85" s="2169">
        <f t="shared" ca="1" si="138"/>
        <v>0</v>
      </c>
      <c r="I85" s="2169">
        <f t="shared" ca="1" si="138"/>
        <v>0</v>
      </c>
      <c r="J85" s="2169">
        <f t="shared" ca="1" si="138"/>
        <v>0</v>
      </c>
      <c r="K85" s="2169">
        <f t="shared" ca="1" si="138"/>
        <v>0</v>
      </c>
      <c r="L85" s="2169">
        <f t="shared" ca="1" si="138"/>
        <v>0</v>
      </c>
      <c r="M85" s="2169">
        <f t="shared" ca="1" si="138"/>
        <v>0</v>
      </c>
      <c r="N85" s="2169">
        <f t="shared" ca="1" si="138"/>
        <v>0</v>
      </c>
      <c r="O85" s="2169">
        <f t="shared" ca="1" si="139"/>
        <v>0</v>
      </c>
      <c r="P85" s="2169">
        <f t="shared" ca="1" si="139"/>
        <v>0</v>
      </c>
      <c r="Q85" s="2169">
        <f t="shared" ca="1" si="139"/>
        <v>0</v>
      </c>
      <c r="R85" s="2169">
        <f t="shared" ca="1" si="139"/>
        <v>0</v>
      </c>
      <c r="S85" s="2170">
        <v>0</v>
      </c>
      <c r="T85" s="2169">
        <f t="shared" ca="1" si="140"/>
        <v>0</v>
      </c>
      <c r="U85" s="2169">
        <f t="shared" ca="1" si="140"/>
        <v>0</v>
      </c>
      <c r="V85" s="2169">
        <f t="shared" ca="1" si="140"/>
        <v>0</v>
      </c>
      <c r="W85" s="2161">
        <f t="shared" ca="1" si="141"/>
        <v>0</v>
      </c>
      <c r="X85" s="2161">
        <f t="shared" ca="1" si="141"/>
        <v>0</v>
      </c>
      <c r="Y85" s="2161">
        <f t="shared" ca="1" si="141"/>
        <v>0</v>
      </c>
      <c r="Z85" s="2161">
        <f t="shared" ca="1" si="141"/>
        <v>0</v>
      </c>
      <c r="AA85" s="2161">
        <f t="shared" ca="1" si="141"/>
        <v>0</v>
      </c>
      <c r="AB85" s="2161">
        <f t="shared" ca="1" si="142"/>
        <v>0</v>
      </c>
      <c r="AC85" s="2161">
        <f t="shared" ca="1" si="142"/>
        <v>0</v>
      </c>
      <c r="AD85" s="2161">
        <f t="shared" ca="1" si="142"/>
        <v>0</v>
      </c>
      <c r="AE85" s="2161">
        <f t="shared" ca="1" si="142"/>
        <v>0</v>
      </c>
      <c r="AF85" s="2161">
        <f t="shared" ca="1" si="142"/>
        <v>0</v>
      </c>
      <c r="AG85" s="2161">
        <f t="shared" ca="1" si="142"/>
        <v>0</v>
      </c>
      <c r="AH85" s="2161">
        <f t="shared" ca="1" si="142"/>
        <v>0</v>
      </c>
      <c r="AI85" s="2161">
        <f t="shared" ca="1" si="142"/>
        <v>0</v>
      </c>
      <c r="AJ85" s="2161">
        <f t="shared" ca="1" si="142"/>
        <v>0</v>
      </c>
      <c r="AK85" s="2161">
        <f t="shared" ca="1" si="142"/>
        <v>0</v>
      </c>
      <c r="AL85" s="2161">
        <f t="shared" ca="1" si="142"/>
        <v>0</v>
      </c>
      <c r="AM85" s="2161">
        <f t="shared" ca="1" si="142"/>
        <v>0.46474364114648442</v>
      </c>
      <c r="AN85" s="2161">
        <f t="shared" ref="AN85:AR87" ca="1" si="145">VLOOKUP($B85,RawData,AN$4,FALSE)*VLOOKUP(AN$3,ConversionFactors,2,FALSE)/1000</f>
        <v>1481.8622109375001</v>
      </c>
      <c r="AO85" s="2161">
        <f t="shared" ca="1" si="145"/>
        <v>14579.348062499999</v>
      </c>
      <c r="AP85" s="2161">
        <f t="shared" ca="1" si="145"/>
        <v>9613.90625</v>
      </c>
      <c r="AQ85" s="2161">
        <f t="shared" ca="1" si="145"/>
        <v>0</v>
      </c>
      <c r="AR85" s="2161">
        <f t="shared" ca="1" si="145"/>
        <v>9.811560058593761</v>
      </c>
      <c r="AS85" s="2172">
        <f ca="1">VLOOKUP($B85,RawData,AS$4,FALSE)*VLOOKUP(AS$3,ConversionFactors,2,FALSE)*1</f>
        <v>0</v>
      </c>
      <c r="AT85" s="2173">
        <f t="shared" si="143"/>
        <v>0</v>
      </c>
      <c r="AU85" s="2173">
        <f t="shared" si="143"/>
        <v>0</v>
      </c>
      <c r="AV85" s="2173">
        <f t="shared" si="143"/>
        <v>0</v>
      </c>
      <c r="AW85" s="2170">
        <v>0</v>
      </c>
      <c r="AX85" s="2173">
        <f>VLOOKUP($B85,RawData,AX$4,FALSE)*1</f>
        <v>0</v>
      </c>
      <c r="AY85" s="2173">
        <f t="shared" ca="1" si="144"/>
        <v>0</v>
      </c>
      <c r="AZ85" s="2173">
        <f t="shared" ca="1" si="144"/>
        <v>0</v>
      </c>
      <c r="BA85" s="2173">
        <f t="shared" ca="1" si="144"/>
        <v>0</v>
      </c>
      <c r="BB85" s="2173">
        <f t="shared" ca="1" si="144"/>
        <v>0</v>
      </c>
      <c r="BC85" s="2173">
        <f>VLOOKUP($B85,RawData,BC$4,FALSE)*1</f>
        <v>0</v>
      </c>
      <c r="BD85" s="2174">
        <f ca="1">VLOOKUP($B85,RawData,BD$4,FALSE)*VLOOKUP(BD$3,ConversionFactors,2,FALSE)/1000</f>
        <v>0</v>
      </c>
      <c r="BE85" s="2170">
        <v>0</v>
      </c>
      <c r="BF85" s="2170">
        <v>0</v>
      </c>
      <c r="BG85" s="2167">
        <f>VLOOKUP($B85,RawData,BG$4,FALSE)</f>
        <v>0</v>
      </c>
      <c r="BH85" s="2170">
        <v>0</v>
      </c>
      <c r="BI85" s="2167">
        <f>VLOOKUP($B85,RawData,BI$4,FALSE)</f>
        <v>0</v>
      </c>
      <c r="BJ85" s="2170">
        <v>0</v>
      </c>
      <c r="BK85" s="2170">
        <v>0</v>
      </c>
      <c r="BL85" s="2167">
        <v>0</v>
      </c>
      <c r="BM85" s="2167">
        <f>VLOOKUP($B85,RawData,BM$4,FALSE)*3.6</f>
        <v>0</v>
      </c>
      <c r="BN85" s="2167">
        <f>VLOOKUP($B85,RawData,BN$4,FALSE)*1</f>
        <v>0</v>
      </c>
      <c r="BO85" s="2170">
        <v>0</v>
      </c>
      <c r="BP85" s="2168">
        <f t="shared" ca="1" si="106"/>
        <v>25685.392827137242</v>
      </c>
      <c r="BQ85" s="648"/>
      <c r="CA85" s="555" t="s">
        <v>1401</v>
      </c>
      <c r="CB85" s="20" t="s">
        <v>6125</v>
      </c>
      <c r="CC85" s="20" t="s">
        <v>6126</v>
      </c>
      <c r="CD85" s="20" t="s">
        <v>6127</v>
      </c>
      <c r="CE85" s="20" t="s">
        <v>6128</v>
      </c>
      <c r="CF85" s="20" t="s">
        <v>6129</v>
      </c>
      <c r="CG85" s="20" t="s">
        <v>6130</v>
      </c>
      <c r="CH85" s="20" t="s">
        <v>6131</v>
      </c>
      <c r="CI85" s="20" t="s">
        <v>6132</v>
      </c>
      <c r="CJ85" s="20" t="s">
        <v>6133</v>
      </c>
      <c r="CK85" s="20" t="s">
        <v>6134</v>
      </c>
      <c r="CL85" s="20" t="s">
        <v>6135</v>
      </c>
      <c r="CM85" s="20" t="s">
        <v>6136</v>
      </c>
      <c r="CN85" s="20" t="s">
        <v>6137</v>
      </c>
      <c r="CO85" s="20" t="s">
        <v>6138</v>
      </c>
      <c r="CP85" s="20">
        <v>0</v>
      </c>
      <c r="CQ85" s="20" t="s">
        <v>6139</v>
      </c>
      <c r="CR85" s="20" t="s">
        <v>6140</v>
      </c>
      <c r="CS85" s="20" t="s">
        <v>6141</v>
      </c>
      <c r="CT85" s="20" t="s">
        <v>6142</v>
      </c>
      <c r="CU85" s="20" t="s">
        <v>6143</v>
      </c>
      <c r="CV85" s="20" t="s">
        <v>6144</v>
      </c>
      <c r="CW85" s="20" t="s">
        <v>6145</v>
      </c>
      <c r="CX85" s="20" t="s">
        <v>6146</v>
      </c>
      <c r="CY85" s="20" t="s">
        <v>6147</v>
      </c>
      <c r="CZ85" s="20" t="s">
        <v>6148</v>
      </c>
      <c r="DA85" s="20" t="s">
        <v>6149</v>
      </c>
      <c r="DB85" s="20" t="s">
        <v>6150</v>
      </c>
      <c r="DC85" s="20" t="s">
        <v>6151</v>
      </c>
      <c r="DD85" s="20" t="s">
        <v>6152</v>
      </c>
      <c r="DE85" s="20" t="s">
        <v>6153</v>
      </c>
      <c r="DF85" s="20" t="s">
        <v>6154</v>
      </c>
      <c r="DG85" s="20" t="s">
        <v>6155</v>
      </c>
      <c r="DH85" s="20" t="s">
        <v>6156</v>
      </c>
      <c r="DI85" s="20" t="s">
        <v>6157</v>
      </c>
      <c r="DJ85" s="20" t="s">
        <v>6158</v>
      </c>
      <c r="DK85" s="20" t="s">
        <v>6159</v>
      </c>
      <c r="DL85" s="20" t="s">
        <v>6160</v>
      </c>
      <c r="DM85" s="20" t="s">
        <v>6161</v>
      </c>
      <c r="DN85" s="20" t="s">
        <v>6162</v>
      </c>
      <c r="DO85" s="20" t="s">
        <v>6163</v>
      </c>
      <c r="DP85" s="20" t="s">
        <v>6164</v>
      </c>
      <c r="DQ85" s="20" t="s">
        <v>6165</v>
      </c>
      <c r="DR85" s="20" t="s">
        <v>6166</v>
      </c>
      <c r="DS85" s="20" t="s">
        <v>6167</v>
      </c>
      <c r="DT85" s="20">
        <v>0</v>
      </c>
      <c r="DU85" s="20" t="s">
        <v>6168</v>
      </c>
      <c r="DV85" s="20" t="s">
        <v>6169</v>
      </c>
      <c r="DW85" s="20" t="s">
        <v>6170</v>
      </c>
      <c r="DX85" s="20" t="s">
        <v>6171</v>
      </c>
      <c r="DY85" s="20" t="s">
        <v>6172</v>
      </c>
      <c r="DZ85" s="20" t="s">
        <v>6173</v>
      </c>
      <c r="EA85" s="20" t="s">
        <v>6174</v>
      </c>
      <c r="EB85" s="20">
        <v>0</v>
      </c>
      <c r="EC85" s="20">
        <v>0</v>
      </c>
      <c r="ED85" s="20" t="s">
        <v>6175</v>
      </c>
      <c r="EE85" s="20">
        <v>0</v>
      </c>
      <c r="EF85" s="20" t="s">
        <v>6176</v>
      </c>
      <c r="EG85" s="20">
        <v>0</v>
      </c>
      <c r="EH85" s="20">
        <v>0</v>
      </c>
      <c r="EI85" s="20">
        <v>0</v>
      </c>
      <c r="EJ85" s="20" t="s">
        <v>6177</v>
      </c>
      <c r="EK85" s="20" t="s">
        <v>6178</v>
      </c>
      <c r="EL85" s="20">
        <v>0</v>
      </c>
    </row>
    <row r="86" spans="1:142" s="20" customFormat="1" ht="11.25" x14ac:dyDescent="0.2">
      <c r="A86" s="904" t="str">
        <f>NEOTHER</f>
        <v>Non-energy use in other</v>
      </c>
      <c r="B86" s="230" t="s">
        <v>1408</v>
      </c>
      <c r="C86" s="230" t="s">
        <v>1653</v>
      </c>
      <c r="D86" s="221">
        <f>MATCH(C86,CFHeadings,0)</f>
        <v>16</v>
      </c>
      <c r="E86" s="2169">
        <f t="shared" ca="1" si="138"/>
        <v>0</v>
      </c>
      <c r="F86" s="2169">
        <f t="shared" ca="1" si="138"/>
        <v>0</v>
      </c>
      <c r="G86" s="2169">
        <f t="shared" ca="1" si="138"/>
        <v>0</v>
      </c>
      <c r="H86" s="2169">
        <f t="shared" ca="1" si="138"/>
        <v>0</v>
      </c>
      <c r="I86" s="2169">
        <f t="shared" ca="1" si="138"/>
        <v>0</v>
      </c>
      <c r="J86" s="2169">
        <f t="shared" ca="1" si="138"/>
        <v>0</v>
      </c>
      <c r="K86" s="2169">
        <f t="shared" ca="1" si="138"/>
        <v>0</v>
      </c>
      <c r="L86" s="2169">
        <f t="shared" ca="1" si="138"/>
        <v>0</v>
      </c>
      <c r="M86" s="2169">
        <f t="shared" ca="1" si="138"/>
        <v>0</v>
      </c>
      <c r="N86" s="2169">
        <f t="shared" ca="1" si="138"/>
        <v>0</v>
      </c>
      <c r="O86" s="2169">
        <f t="shared" ca="1" si="139"/>
        <v>0</v>
      </c>
      <c r="P86" s="2169">
        <f t="shared" ca="1" si="139"/>
        <v>0</v>
      </c>
      <c r="Q86" s="2169">
        <f t="shared" ca="1" si="139"/>
        <v>0</v>
      </c>
      <c r="R86" s="2169">
        <f t="shared" ca="1" si="139"/>
        <v>0</v>
      </c>
      <c r="S86" s="2170">
        <v>0</v>
      </c>
      <c r="T86" s="2169">
        <f t="shared" ca="1" si="140"/>
        <v>0</v>
      </c>
      <c r="U86" s="2169">
        <f t="shared" ca="1" si="140"/>
        <v>0</v>
      </c>
      <c r="V86" s="2169">
        <f t="shared" ca="1" si="140"/>
        <v>0</v>
      </c>
      <c r="W86" s="2161">
        <f t="shared" ca="1" si="141"/>
        <v>0</v>
      </c>
      <c r="X86" s="2161">
        <f t="shared" ca="1" si="141"/>
        <v>0</v>
      </c>
      <c r="Y86" s="2161">
        <f t="shared" ca="1" si="141"/>
        <v>0</v>
      </c>
      <c r="Z86" s="2161">
        <f t="shared" ca="1" si="141"/>
        <v>0</v>
      </c>
      <c r="AA86" s="2161">
        <f t="shared" ca="1" si="141"/>
        <v>0</v>
      </c>
      <c r="AB86" s="2161">
        <f t="shared" ca="1" si="142"/>
        <v>0</v>
      </c>
      <c r="AC86" s="2161">
        <f t="shared" ca="1" si="142"/>
        <v>0</v>
      </c>
      <c r="AD86" s="2161">
        <f t="shared" ca="1" si="142"/>
        <v>0</v>
      </c>
      <c r="AE86" s="2161">
        <f t="shared" ca="1" si="142"/>
        <v>0</v>
      </c>
      <c r="AF86" s="2161">
        <f t="shared" ca="1" si="142"/>
        <v>0</v>
      </c>
      <c r="AG86" s="2161">
        <f t="shared" ca="1" si="142"/>
        <v>0</v>
      </c>
      <c r="AH86" s="2161">
        <f t="shared" ca="1" si="142"/>
        <v>0</v>
      </c>
      <c r="AI86" s="2161">
        <f t="shared" ca="1" si="142"/>
        <v>0</v>
      </c>
      <c r="AJ86" s="2161">
        <f t="shared" ca="1" si="142"/>
        <v>0</v>
      </c>
      <c r="AK86" s="2161">
        <f t="shared" ca="1" si="142"/>
        <v>0</v>
      </c>
      <c r="AL86" s="2161">
        <f t="shared" ca="1" si="142"/>
        <v>0</v>
      </c>
      <c r="AM86" s="2161">
        <f t="shared" ca="1" si="142"/>
        <v>0.6876957516660156</v>
      </c>
      <c r="AN86" s="2161">
        <f t="shared" ca="1" si="145"/>
        <v>10320.922500000001</v>
      </c>
      <c r="AO86" s="2161">
        <f t="shared" ca="1" si="145"/>
        <v>489.51036621093749</v>
      </c>
      <c r="AP86" s="2161">
        <f t="shared" ca="1" si="145"/>
        <v>17.672174072265641</v>
      </c>
      <c r="AQ86" s="2161">
        <f t="shared" ca="1" si="145"/>
        <v>0</v>
      </c>
      <c r="AR86" s="2161">
        <f t="shared" ca="1" si="145"/>
        <v>1.594936676025392</v>
      </c>
      <c r="AS86" s="2172">
        <f ca="1">VLOOKUP($B86,RawData,AS$4,FALSE)*VLOOKUP(AS$3,ConversionFactors,2,FALSE)*1</f>
        <v>0</v>
      </c>
      <c r="AT86" s="2173">
        <f t="shared" si="143"/>
        <v>0</v>
      </c>
      <c r="AU86" s="2173">
        <f t="shared" si="143"/>
        <v>0</v>
      </c>
      <c r="AV86" s="2173">
        <f t="shared" si="143"/>
        <v>0</v>
      </c>
      <c r="AW86" s="2170">
        <v>0</v>
      </c>
      <c r="AX86" s="2173">
        <f>VLOOKUP($B86,RawData,AX$4,FALSE)*1</f>
        <v>0</v>
      </c>
      <c r="AY86" s="2173">
        <f t="shared" ca="1" si="144"/>
        <v>0</v>
      </c>
      <c r="AZ86" s="2173">
        <f t="shared" ca="1" si="144"/>
        <v>0</v>
      </c>
      <c r="BA86" s="2173">
        <f t="shared" ca="1" si="144"/>
        <v>0</v>
      </c>
      <c r="BB86" s="2173">
        <f t="shared" ca="1" si="144"/>
        <v>0</v>
      </c>
      <c r="BC86" s="2173">
        <f>VLOOKUP($B86,RawData,BC$4,FALSE)*1</f>
        <v>0</v>
      </c>
      <c r="BD86" s="2174">
        <f ca="1">VLOOKUP($B86,RawData,BD$4,FALSE)*VLOOKUP(BD$3,ConversionFactors,2,FALSE)/1000</f>
        <v>0</v>
      </c>
      <c r="BE86" s="2170">
        <v>0</v>
      </c>
      <c r="BF86" s="2170">
        <v>0</v>
      </c>
      <c r="BG86" s="2167">
        <f>VLOOKUP($B86,RawData,BG$4,FALSE)</f>
        <v>0</v>
      </c>
      <c r="BH86" s="2170">
        <v>0</v>
      </c>
      <c r="BI86" s="2167">
        <f>VLOOKUP($B86,RawData,BI$4,FALSE)</f>
        <v>0</v>
      </c>
      <c r="BJ86" s="2170">
        <v>0</v>
      </c>
      <c r="BK86" s="2170">
        <v>0</v>
      </c>
      <c r="BL86" s="2167">
        <v>0</v>
      </c>
      <c r="BM86" s="2167">
        <f>VLOOKUP($B86,RawData,BM$4,FALSE)*3.6</f>
        <v>0</v>
      </c>
      <c r="BN86" s="2167">
        <f>VLOOKUP($B86,RawData,BN$4,FALSE)*1</f>
        <v>0</v>
      </c>
      <c r="BO86" s="2170">
        <v>0</v>
      </c>
      <c r="BP86" s="2168">
        <f t="shared" ca="1" si="106"/>
        <v>10830.387672710895</v>
      </c>
      <c r="BQ86" s="648"/>
      <c r="CA86" s="555" t="s">
        <v>1408</v>
      </c>
      <c r="CB86" s="20" t="s">
        <v>6179</v>
      </c>
      <c r="CC86" s="20" t="s">
        <v>6180</v>
      </c>
      <c r="CD86" s="20" t="s">
        <v>6181</v>
      </c>
      <c r="CE86" s="20" t="s">
        <v>6182</v>
      </c>
      <c r="CF86" s="20" t="s">
        <v>6183</v>
      </c>
      <c r="CG86" s="20" t="s">
        <v>6184</v>
      </c>
      <c r="CH86" s="20" t="s">
        <v>6185</v>
      </c>
      <c r="CI86" s="20" t="s">
        <v>6186</v>
      </c>
      <c r="CJ86" s="20" t="s">
        <v>6187</v>
      </c>
      <c r="CK86" s="20" t="s">
        <v>6188</v>
      </c>
      <c r="CL86" s="20" t="s">
        <v>6189</v>
      </c>
      <c r="CM86" s="20" t="s">
        <v>6190</v>
      </c>
      <c r="CN86" s="20" t="s">
        <v>6191</v>
      </c>
      <c r="CO86" s="20" t="s">
        <v>6192</v>
      </c>
      <c r="CP86" s="20">
        <v>0</v>
      </c>
      <c r="CQ86" s="20" t="s">
        <v>6193</v>
      </c>
      <c r="CR86" s="20" t="s">
        <v>6194</v>
      </c>
      <c r="CS86" s="20" t="s">
        <v>6195</v>
      </c>
      <c r="CT86" s="20" t="s">
        <v>6196</v>
      </c>
      <c r="CU86" s="20" t="s">
        <v>6197</v>
      </c>
      <c r="CV86" s="20" t="s">
        <v>6198</v>
      </c>
      <c r="CW86" s="20" t="s">
        <v>6199</v>
      </c>
      <c r="CX86" s="20" t="s">
        <v>6200</v>
      </c>
      <c r="CY86" s="20" t="s">
        <v>6201</v>
      </c>
      <c r="CZ86" s="20" t="s">
        <v>6202</v>
      </c>
      <c r="DA86" s="20" t="s">
        <v>6203</v>
      </c>
      <c r="DB86" s="20" t="s">
        <v>6204</v>
      </c>
      <c r="DC86" s="20" t="s">
        <v>6205</v>
      </c>
      <c r="DD86" s="20" t="s">
        <v>6206</v>
      </c>
      <c r="DE86" s="20" t="s">
        <v>6207</v>
      </c>
      <c r="DF86" s="20" t="s">
        <v>6208</v>
      </c>
      <c r="DG86" s="20" t="s">
        <v>6209</v>
      </c>
      <c r="DH86" s="20" t="s">
        <v>6210</v>
      </c>
      <c r="DI86" s="20" t="s">
        <v>6211</v>
      </c>
      <c r="DJ86" s="20" t="s">
        <v>6212</v>
      </c>
      <c r="DK86" s="20" t="s">
        <v>6213</v>
      </c>
      <c r="DL86" s="20" t="s">
        <v>6214</v>
      </c>
      <c r="DM86" s="20" t="s">
        <v>6215</v>
      </c>
      <c r="DN86" s="20" t="s">
        <v>6216</v>
      </c>
      <c r="DO86" s="20" t="s">
        <v>6217</v>
      </c>
      <c r="DP86" s="20" t="s">
        <v>6218</v>
      </c>
      <c r="DQ86" s="20" t="s">
        <v>6219</v>
      </c>
      <c r="DR86" s="20" t="s">
        <v>6220</v>
      </c>
      <c r="DS86" s="20" t="s">
        <v>6221</v>
      </c>
      <c r="DT86" s="20">
        <v>0</v>
      </c>
      <c r="DU86" s="20" t="s">
        <v>6222</v>
      </c>
      <c r="DV86" s="20" t="s">
        <v>6223</v>
      </c>
      <c r="DW86" s="20" t="s">
        <v>6224</v>
      </c>
      <c r="DX86" s="20" t="s">
        <v>6225</v>
      </c>
      <c r="DY86" s="20" t="s">
        <v>6226</v>
      </c>
      <c r="DZ86" s="20" t="s">
        <v>6227</v>
      </c>
      <c r="EA86" s="20" t="s">
        <v>6228</v>
      </c>
      <c r="EB86" s="20">
        <v>0</v>
      </c>
      <c r="EC86" s="20">
        <v>0</v>
      </c>
      <c r="ED86" s="20" t="s">
        <v>6229</v>
      </c>
      <c r="EE86" s="20">
        <v>0</v>
      </c>
      <c r="EF86" s="20" t="s">
        <v>6230</v>
      </c>
      <c r="EG86" s="20">
        <v>0</v>
      </c>
      <c r="EH86" s="20">
        <v>0</v>
      </c>
      <c r="EI86" s="20">
        <v>0</v>
      </c>
      <c r="EJ86" s="20" t="s">
        <v>6231</v>
      </c>
      <c r="EK86" s="20" t="s">
        <v>6232</v>
      </c>
      <c r="EL86" s="20">
        <v>0</v>
      </c>
    </row>
    <row r="87" spans="1:142" s="560" customFormat="1" ht="11.25" x14ac:dyDescent="0.2">
      <c r="A87" s="907" t="str">
        <f>NECHEM</f>
        <v>Memo: Non-energy use chemical/petrochemical</v>
      </c>
      <c r="B87" s="306" t="s">
        <v>1415</v>
      </c>
      <c r="C87" s="306" t="s">
        <v>1652</v>
      </c>
      <c r="D87" s="869">
        <f>MATCH(C87,CFHeadings,0)</f>
        <v>15</v>
      </c>
      <c r="E87" s="2188">
        <f t="shared" ca="1" si="138"/>
        <v>0</v>
      </c>
      <c r="F87" s="2188">
        <f t="shared" ca="1" si="138"/>
        <v>0</v>
      </c>
      <c r="G87" s="2188">
        <f t="shared" ca="1" si="138"/>
        <v>445434</v>
      </c>
      <c r="H87" s="2188">
        <f t="shared" ca="1" si="138"/>
        <v>0</v>
      </c>
      <c r="I87" s="2188">
        <f t="shared" ca="1" si="138"/>
        <v>0</v>
      </c>
      <c r="J87" s="2188">
        <f t="shared" ca="1" si="138"/>
        <v>0</v>
      </c>
      <c r="K87" s="2188">
        <f t="shared" ca="1" si="138"/>
        <v>0</v>
      </c>
      <c r="L87" s="2188">
        <f t="shared" ca="1" si="138"/>
        <v>0</v>
      </c>
      <c r="M87" s="2188">
        <f t="shared" ca="1" si="138"/>
        <v>0</v>
      </c>
      <c r="N87" s="2188">
        <f t="shared" ca="1" si="138"/>
        <v>0</v>
      </c>
      <c r="O87" s="2188">
        <f t="shared" ca="1" si="139"/>
        <v>0</v>
      </c>
      <c r="P87" s="2188">
        <f t="shared" ca="1" si="139"/>
        <v>0</v>
      </c>
      <c r="Q87" s="2188">
        <f t="shared" ca="1" si="139"/>
        <v>0</v>
      </c>
      <c r="R87" s="2188">
        <f t="shared" ca="1" si="139"/>
        <v>0</v>
      </c>
      <c r="S87" s="2170">
        <v>0</v>
      </c>
      <c r="T87" s="2188">
        <f t="shared" ca="1" si="140"/>
        <v>0</v>
      </c>
      <c r="U87" s="2188">
        <f t="shared" ca="1" si="140"/>
        <v>0</v>
      </c>
      <c r="V87" s="2188">
        <f t="shared" ca="1" si="140"/>
        <v>0</v>
      </c>
      <c r="W87" s="2189">
        <f t="shared" ca="1" si="141"/>
        <v>0</v>
      </c>
      <c r="X87" s="2189">
        <f t="shared" ca="1" si="141"/>
        <v>0</v>
      </c>
      <c r="Y87" s="2189">
        <f t="shared" ca="1" si="141"/>
        <v>0</v>
      </c>
      <c r="Z87" s="2189">
        <f t="shared" ca="1" si="141"/>
        <v>0</v>
      </c>
      <c r="AA87" s="2189">
        <f t="shared" ca="1" si="141"/>
        <v>0</v>
      </c>
      <c r="AB87" s="2161">
        <f t="shared" ca="1" si="142"/>
        <v>0</v>
      </c>
      <c r="AC87" s="2161">
        <f t="shared" ca="1" si="142"/>
        <v>0</v>
      </c>
      <c r="AD87" s="2161">
        <f t="shared" ca="1" si="142"/>
        <v>0</v>
      </c>
      <c r="AE87" s="2161">
        <f t="shared" ca="1" si="142"/>
        <v>0</v>
      </c>
      <c r="AF87" s="2161">
        <f t="shared" ca="1" si="142"/>
        <v>0</v>
      </c>
      <c r="AG87" s="2161">
        <f t="shared" ca="1" si="142"/>
        <v>0</v>
      </c>
      <c r="AH87" s="2161">
        <f t="shared" ca="1" si="142"/>
        <v>0</v>
      </c>
      <c r="AI87" s="2161">
        <f t="shared" ca="1" si="142"/>
        <v>0</v>
      </c>
      <c r="AJ87" s="2161">
        <f t="shared" ca="1" si="142"/>
        <v>0</v>
      </c>
      <c r="AK87" s="2161">
        <f t="shared" ca="1" si="142"/>
        <v>0</v>
      </c>
      <c r="AL87" s="2161">
        <f t="shared" ca="1" si="142"/>
        <v>0</v>
      </c>
      <c r="AM87" s="2161">
        <f t="shared" ca="1" si="142"/>
        <v>0</v>
      </c>
      <c r="AN87" s="2161">
        <f t="shared" ca="1" si="145"/>
        <v>0</v>
      </c>
      <c r="AO87" s="2161">
        <f t="shared" ca="1" si="145"/>
        <v>0</v>
      </c>
      <c r="AP87" s="2161">
        <f t="shared" ca="1" si="145"/>
        <v>0</v>
      </c>
      <c r="AQ87" s="2161">
        <f t="shared" ca="1" si="145"/>
        <v>0</v>
      </c>
      <c r="AR87" s="2161">
        <f t="shared" ca="1" si="145"/>
        <v>0</v>
      </c>
      <c r="AS87" s="2191">
        <f ca="1">VLOOKUP($B87,RawData,AS$4,FALSE)*VLOOKUP(AS$3,ConversionFactors,2,FALSE)*1</f>
        <v>0</v>
      </c>
      <c r="AT87" s="2173">
        <f t="shared" si="143"/>
        <v>0</v>
      </c>
      <c r="AU87" s="2173">
        <f t="shared" si="143"/>
        <v>0</v>
      </c>
      <c r="AV87" s="2173">
        <f t="shared" si="143"/>
        <v>0</v>
      </c>
      <c r="AW87" s="2192">
        <v>0</v>
      </c>
      <c r="AX87" s="2193">
        <f>VLOOKUP($B87,RawData,AX$4,FALSE)*1</f>
        <v>0</v>
      </c>
      <c r="AY87" s="2193">
        <f t="shared" ca="1" si="144"/>
        <v>0</v>
      </c>
      <c r="AZ87" s="2193">
        <f t="shared" ca="1" si="144"/>
        <v>0</v>
      </c>
      <c r="BA87" s="2193">
        <f t="shared" ca="1" si="144"/>
        <v>0</v>
      </c>
      <c r="BB87" s="2193">
        <f t="shared" ca="1" si="144"/>
        <v>0</v>
      </c>
      <c r="BC87" s="2193">
        <f>VLOOKUP($B87,RawData,BC$4,FALSE)*1</f>
        <v>0</v>
      </c>
      <c r="BD87" s="2194">
        <f ca="1">VLOOKUP($B87,RawData,BD$4,FALSE)*VLOOKUP(BD$3,ConversionFactors,2,FALSE)/1000</f>
        <v>0</v>
      </c>
      <c r="BE87" s="2192">
        <v>0</v>
      </c>
      <c r="BF87" s="2192">
        <v>0</v>
      </c>
      <c r="BG87" s="2195">
        <f>VLOOKUP($B87,RawData,BG$4,FALSE)</f>
        <v>0</v>
      </c>
      <c r="BH87" s="2192">
        <v>0</v>
      </c>
      <c r="BI87" s="2195">
        <f>VLOOKUP($B87,RawData,BI$4,FALSE)</f>
        <v>0</v>
      </c>
      <c r="BJ87" s="2192">
        <v>0</v>
      </c>
      <c r="BK87" s="2192">
        <v>0</v>
      </c>
      <c r="BL87" s="2195">
        <v>0</v>
      </c>
      <c r="BM87" s="2167">
        <f>VLOOKUP($B87,RawData,BM$4,FALSE)*3.6</f>
        <v>0</v>
      </c>
      <c r="BN87" s="2195">
        <f>VLOOKUP($B87,RawData,BN$4,FALSE)*1</f>
        <v>0</v>
      </c>
      <c r="BO87" s="2192">
        <v>0</v>
      </c>
      <c r="BP87" s="2196">
        <f t="shared" ca="1" si="106"/>
        <v>445434</v>
      </c>
      <c r="BQ87" s="911"/>
      <c r="CA87" s="300" t="s">
        <v>1415</v>
      </c>
      <c r="CB87" s="20" t="s">
        <v>6233</v>
      </c>
      <c r="CC87" s="20" t="s">
        <v>6234</v>
      </c>
      <c r="CD87" s="20" t="s">
        <v>6235</v>
      </c>
      <c r="CE87" s="20" t="s">
        <v>6236</v>
      </c>
      <c r="CF87" s="20" t="s">
        <v>6237</v>
      </c>
      <c r="CG87" s="20" t="s">
        <v>6238</v>
      </c>
      <c r="CH87" s="20" t="s">
        <v>6239</v>
      </c>
      <c r="CI87" s="20" t="s">
        <v>6240</v>
      </c>
      <c r="CJ87" s="20" t="s">
        <v>6241</v>
      </c>
      <c r="CK87" s="20" t="s">
        <v>6242</v>
      </c>
      <c r="CL87" s="20" t="s">
        <v>6243</v>
      </c>
      <c r="CM87" s="20" t="s">
        <v>6244</v>
      </c>
      <c r="CN87" s="20" t="s">
        <v>6245</v>
      </c>
      <c r="CO87" s="20" t="s">
        <v>6246</v>
      </c>
      <c r="CP87" s="20">
        <v>0</v>
      </c>
      <c r="CQ87" s="20" t="s">
        <v>6247</v>
      </c>
      <c r="CR87" s="20" t="s">
        <v>6248</v>
      </c>
      <c r="CS87" s="20" t="s">
        <v>6249</v>
      </c>
      <c r="CT87" s="20" t="s">
        <v>6250</v>
      </c>
      <c r="CU87" s="20" t="s">
        <v>6251</v>
      </c>
      <c r="CV87" s="20" t="s">
        <v>6252</v>
      </c>
      <c r="CW87" s="20" t="s">
        <v>6253</v>
      </c>
      <c r="CX87" s="20" t="s">
        <v>6254</v>
      </c>
      <c r="CY87" s="20" t="s">
        <v>6255</v>
      </c>
      <c r="CZ87" s="20" t="s">
        <v>6256</v>
      </c>
      <c r="DA87" s="20" t="s">
        <v>6257</v>
      </c>
      <c r="DB87" s="20" t="s">
        <v>6258</v>
      </c>
      <c r="DC87" s="20" t="s">
        <v>6259</v>
      </c>
      <c r="DD87" s="20" t="s">
        <v>6260</v>
      </c>
      <c r="DE87" s="20" t="s">
        <v>6261</v>
      </c>
      <c r="DF87" s="20" t="s">
        <v>6262</v>
      </c>
      <c r="DG87" s="20" t="s">
        <v>6263</v>
      </c>
      <c r="DH87" s="20" t="s">
        <v>6264</v>
      </c>
      <c r="DI87" s="20" t="s">
        <v>6265</v>
      </c>
      <c r="DJ87" s="20" t="s">
        <v>6266</v>
      </c>
      <c r="DK87" s="20" t="s">
        <v>6267</v>
      </c>
      <c r="DL87" s="20" t="s">
        <v>6268</v>
      </c>
      <c r="DM87" s="20" t="s">
        <v>6269</v>
      </c>
      <c r="DN87" s="20" t="s">
        <v>6270</v>
      </c>
      <c r="DO87" s="20" t="s">
        <v>6271</v>
      </c>
      <c r="DP87" s="20" t="s">
        <v>6272</v>
      </c>
      <c r="DQ87" s="20" t="s">
        <v>6273</v>
      </c>
      <c r="DR87" s="20" t="s">
        <v>6274</v>
      </c>
      <c r="DS87" s="20" t="s">
        <v>6275</v>
      </c>
      <c r="DT87" s="20">
        <v>0</v>
      </c>
      <c r="DU87" s="20" t="s">
        <v>6276</v>
      </c>
      <c r="DV87" s="20" t="s">
        <v>6277</v>
      </c>
      <c r="DW87" s="20" t="s">
        <v>6278</v>
      </c>
      <c r="DX87" s="20" t="s">
        <v>6279</v>
      </c>
      <c r="DY87" s="20" t="s">
        <v>6280</v>
      </c>
      <c r="DZ87" s="20" t="s">
        <v>6281</v>
      </c>
      <c r="EA87" s="20" t="s">
        <v>6282</v>
      </c>
      <c r="EB87" s="20">
        <v>0</v>
      </c>
      <c r="EC87" s="20">
        <v>0</v>
      </c>
      <c r="ED87" s="20" t="s">
        <v>6283</v>
      </c>
      <c r="EE87" s="20">
        <v>0</v>
      </c>
      <c r="EF87" s="20" t="s">
        <v>6284</v>
      </c>
      <c r="EG87" s="20">
        <v>0</v>
      </c>
      <c r="EH87" s="20">
        <v>0</v>
      </c>
      <c r="EI87" s="20">
        <v>0</v>
      </c>
      <c r="EJ87" s="20" t="s">
        <v>6285</v>
      </c>
      <c r="EK87" s="20" t="s">
        <v>6286</v>
      </c>
      <c r="EL87" s="20">
        <v>0</v>
      </c>
    </row>
    <row r="88" spans="1:142" s="560" customFormat="1" ht="11.25" x14ac:dyDescent="0.2">
      <c r="A88" s="553" t="str">
        <f>ELOUTPUT</f>
        <v>Electricity output in GWh</v>
      </c>
      <c r="B88" s="554" t="s">
        <v>1425</v>
      </c>
      <c r="C88" s="877"/>
      <c r="D88" s="878"/>
      <c r="E88" s="2175">
        <f t="shared" ref="E88:AJ88" si="146">SUM(E89:E92)</f>
        <v>0</v>
      </c>
      <c r="F88" s="2175">
        <f t="shared" si="146"/>
        <v>0</v>
      </c>
      <c r="G88" s="2175">
        <f t="shared" si="146"/>
        <v>200341.94</v>
      </c>
      <c r="H88" s="2175">
        <f t="shared" si="146"/>
        <v>0</v>
      </c>
      <c r="I88" s="2175">
        <f t="shared" si="146"/>
        <v>0</v>
      </c>
      <c r="J88" s="2175">
        <f t="shared" si="146"/>
        <v>0</v>
      </c>
      <c r="K88" s="2175">
        <f t="shared" si="146"/>
        <v>0</v>
      </c>
      <c r="L88" s="2175">
        <f t="shared" si="146"/>
        <v>0</v>
      </c>
      <c r="M88" s="2175">
        <f t="shared" si="146"/>
        <v>0</v>
      </c>
      <c r="N88" s="2175">
        <f t="shared" si="146"/>
        <v>0</v>
      </c>
      <c r="O88" s="2175">
        <f t="shared" si="146"/>
        <v>0</v>
      </c>
      <c r="P88" s="2175">
        <f t="shared" si="146"/>
        <v>0</v>
      </c>
      <c r="Q88" s="2175">
        <f t="shared" si="146"/>
        <v>0</v>
      </c>
      <c r="R88" s="2175">
        <f t="shared" si="146"/>
        <v>0</v>
      </c>
      <c r="S88" s="2175">
        <f t="shared" si="146"/>
        <v>0</v>
      </c>
      <c r="T88" s="2175">
        <f t="shared" si="146"/>
        <v>0</v>
      </c>
      <c r="U88" s="2175">
        <f t="shared" si="146"/>
        <v>0</v>
      </c>
      <c r="V88" s="2175">
        <f t="shared" si="146"/>
        <v>0</v>
      </c>
      <c r="W88" s="2175">
        <f t="shared" si="146"/>
        <v>0</v>
      </c>
      <c r="X88" s="2175">
        <f t="shared" si="146"/>
        <v>0</v>
      </c>
      <c r="Y88" s="2175">
        <f t="shared" si="146"/>
        <v>0</v>
      </c>
      <c r="Z88" s="2175">
        <f t="shared" si="146"/>
        <v>0</v>
      </c>
      <c r="AA88" s="2175">
        <f t="shared" si="146"/>
        <v>0</v>
      </c>
      <c r="AB88" s="2175">
        <f t="shared" si="146"/>
        <v>0</v>
      </c>
      <c r="AC88" s="2175">
        <f t="shared" si="146"/>
        <v>0</v>
      </c>
      <c r="AD88" s="2175">
        <f t="shared" si="146"/>
        <v>0</v>
      </c>
      <c r="AE88" s="2175">
        <f t="shared" si="146"/>
        <v>0</v>
      </c>
      <c r="AF88" s="2175">
        <f t="shared" si="146"/>
        <v>0</v>
      </c>
      <c r="AG88" s="2175">
        <f t="shared" si="146"/>
        <v>0</v>
      </c>
      <c r="AH88" s="2175">
        <f t="shared" si="146"/>
        <v>0</v>
      </c>
      <c r="AI88" s="2175">
        <f t="shared" si="146"/>
        <v>0</v>
      </c>
      <c r="AJ88" s="2175">
        <f t="shared" si="146"/>
        <v>0</v>
      </c>
      <c r="AK88" s="2175">
        <f t="shared" ref="AK88:BN88" si="147">SUM(AK89:AK92)</f>
        <v>0</v>
      </c>
      <c r="AL88" s="2175">
        <f t="shared" si="147"/>
        <v>0</v>
      </c>
      <c r="AM88" s="2175">
        <f t="shared" si="147"/>
        <v>0</v>
      </c>
      <c r="AN88" s="2175">
        <f t="shared" si="147"/>
        <v>0</v>
      </c>
      <c r="AO88" s="2175">
        <f t="shared" si="147"/>
        <v>0</v>
      </c>
      <c r="AP88" s="2175">
        <f t="shared" si="147"/>
        <v>0</v>
      </c>
      <c r="AQ88" s="2175">
        <f t="shared" si="147"/>
        <v>0</v>
      </c>
      <c r="AR88" s="2176">
        <f t="shared" si="147"/>
        <v>0</v>
      </c>
      <c r="AS88" s="2177">
        <f t="shared" si="147"/>
        <v>0</v>
      </c>
      <c r="AT88" s="2175">
        <f t="shared" si="147"/>
        <v>0</v>
      </c>
      <c r="AU88" s="2175">
        <f t="shared" si="147"/>
        <v>0</v>
      </c>
      <c r="AV88" s="2175">
        <f t="shared" si="147"/>
        <v>0</v>
      </c>
      <c r="AW88" s="2175">
        <f t="shared" si="147"/>
        <v>309.06</v>
      </c>
      <c r="AX88" s="2175">
        <f t="shared" si="147"/>
        <v>0</v>
      </c>
      <c r="AY88" s="2175">
        <f t="shared" si="147"/>
        <v>0</v>
      </c>
      <c r="AZ88" s="2175">
        <f t="shared" si="147"/>
        <v>0</v>
      </c>
      <c r="BA88" s="2175">
        <f t="shared" si="147"/>
        <v>0</v>
      </c>
      <c r="BB88" s="2175">
        <f t="shared" si="147"/>
        <v>0</v>
      </c>
      <c r="BC88" s="2175">
        <f t="shared" si="147"/>
        <v>0</v>
      </c>
      <c r="BD88" s="2176">
        <f t="shared" si="147"/>
        <v>0</v>
      </c>
      <c r="BE88" s="2175">
        <f t="shared" si="147"/>
        <v>14214</v>
      </c>
      <c r="BF88" s="2175">
        <f t="shared" si="147"/>
        <v>-16036.450999999999</v>
      </c>
      <c r="BG88" s="2175">
        <f t="shared" si="147"/>
        <v>0</v>
      </c>
      <c r="BH88" s="2175">
        <f t="shared" si="147"/>
        <v>3040.85</v>
      </c>
      <c r="BI88" s="2175">
        <f t="shared" si="147"/>
        <v>0</v>
      </c>
      <c r="BJ88" s="2175">
        <f t="shared" si="147"/>
        <v>0</v>
      </c>
      <c r="BK88" s="2175">
        <f t="shared" si="147"/>
        <v>6466.85</v>
      </c>
      <c r="BL88" s="2175">
        <f t="shared" si="147"/>
        <v>0</v>
      </c>
      <c r="BM88" s="2175">
        <f t="shared" si="147"/>
        <v>0</v>
      </c>
      <c r="BN88" s="2175">
        <f t="shared" si="147"/>
        <v>0</v>
      </c>
      <c r="BO88" s="2175">
        <v>0</v>
      </c>
      <c r="BP88" s="2178">
        <f t="shared" si="106"/>
        <v>208336.24900000001</v>
      </c>
      <c r="BQ88" s="911"/>
      <c r="CA88" s="300" t="s">
        <v>1425</v>
      </c>
      <c r="CB88" s="20" t="s">
        <v>6287</v>
      </c>
      <c r="CC88" s="20" t="s">
        <v>6288</v>
      </c>
      <c r="CD88" s="20" t="s">
        <v>6289</v>
      </c>
      <c r="CE88" s="20" t="s">
        <v>6290</v>
      </c>
      <c r="CF88" s="20" t="s">
        <v>6291</v>
      </c>
      <c r="CG88" s="20" t="s">
        <v>6292</v>
      </c>
      <c r="CH88" s="20" t="s">
        <v>6293</v>
      </c>
      <c r="CI88" s="20" t="s">
        <v>6294</v>
      </c>
      <c r="CJ88" s="20" t="s">
        <v>6295</v>
      </c>
      <c r="CK88" s="20" t="s">
        <v>6296</v>
      </c>
      <c r="CL88" s="20" t="s">
        <v>6297</v>
      </c>
      <c r="CM88" s="20" t="s">
        <v>6298</v>
      </c>
      <c r="CN88" s="20" t="s">
        <v>6299</v>
      </c>
      <c r="CO88" s="20" t="s">
        <v>6300</v>
      </c>
      <c r="CP88" s="20" t="s">
        <v>6301</v>
      </c>
      <c r="CQ88" s="20" t="s">
        <v>6302</v>
      </c>
      <c r="CR88" s="20" t="s">
        <v>6303</v>
      </c>
      <c r="CS88" s="20" t="s">
        <v>6304</v>
      </c>
      <c r="CT88" s="20" t="s">
        <v>6305</v>
      </c>
      <c r="CU88" s="20" t="s">
        <v>6306</v>
      </c>
      <c r="CV88" s="20" t="s">
        <v>6307</v>
      </c>
      <c r="CW88" s="20" t="s">
        <v>6308</v>
      </c>
      <c r="CX88" s="20" t="s">
        <v>6309</v>
      </c>
      <c r="CY88" s="20" t="s">
        <v>6310</v>
      </c>
      <c r="CZ88" s="20" t="s">
        <v>6311</v>
      </c>
      <c r="DA88" s="20" t="s">
        <v>6312</v>
      </c>
      <c r="DB88" s="20" t="s">
        <v>6313</v>
      </c>
      <c r="DC88" s="20" t="s">
        <v>6314</v>
      </c>
      <c r="DD88" s="20" t="s">
        <v>6315</v>
      </c>
      <c r="DE88" s="20" t="s">
        <v>6316</v>
      </c>
      <c r="DF88" s="20" t="s">
        <v>6317</v>
      </c>
      <c r="DG88" s="20" t="s">
        <v>6318</v>
      </c>
      <c r="DH88" s="20" t="s">
        <v>6319</v>
      </c>
      <c r="DI88" s="20" t="s">
        <v>6320</v>
      </c>
      <c r="DJ88" s="20" t="s">
        <v>6321</v>
      </c>
      <c r="DK88" s="20" t="s">
        <v>6322</v>
      </c>
      <c r="DL88" s="20" t="s">
        <v>6323</v>
      </c>
      <c r="DM88" s="20" t="s">
        <v>6324</v>
      </c>
      <c r="DN88" s="20" t="s">
        <v>6325</v>
      </c>
      <c r="DO88" s="20" t="s">
        <v>6326</v>
      </c>
      <c r="DP88" s="20" t="s">
        <v>6327</v>
      </c>
      <c r="DQ88" s="20" t="s">
        <v>6328</v>
      </c>
      <c r="DR88" s="20" t="s">
        <v>6329</v>
      </c>
      <c r="DS88" s="20" t="s">
        <v>6330</v>
      </c>
      <c r="DT88" s="20" t="s">
        <v>6331</v>
      </c>
      <c r="DU88" s="20" t="s">
        <v>6332</v>
      </c>
      <c r="DV88" s="20" t="s">
        <v>6333</v>
      </c>
      <c r="DW88" s="20" t="s">
        <v>6334</v>
      </c>
      <c r="DX88" s="20" t="s">
        <v>6335</v>
      </c>
      <c r="DY88" s="20" t="s">
        <v>6336</v>
      </c>
      <c r="DZ88" s="20" t="s">
        <v>6337</v>
      </c>
      <c r="EA88" s="20" t="s">
        <v>6338</v>
      </c>
      <c r="EB88" s="20" t="s">
        <v>6339</v>
      </c>
      <c r="EC88" s="20" t="s">
        <v>6340</v>
      </c>
      <c r="ED88" s="20" t="s">
        <v>6341</v>
      </c>
      <c r="EE88" s="20" t="s">
        <v>6342</v>
      </c>
      <c r="EF88" s="20" t="s">
        <v>6343</v>
      </c>
      <c r="EG88" s="20" t="s">
        <v>6344</v>
      </c>
      <c r="EH88" s="20" t="s">
        <v>6345</v>
      </c>
      <c r="EI88" s="20" t="s">
        <v>6346</v>
      </c>
      <c r="EJ88" s="20" t="s">
        <v>6347</v>
      </c>
      <c r="EK88" s="20" t="s">
        <v>6348</v>
      </c>
      <c r="EL88" s="20">
        <v>0</v>
      </c>
    </row>
    <row r="89" spans="1:142" s="560" customFormat="1" ht="11.25" x14ac:dyDescent="0.2">
      <c r="A89" s="558" t="str">
        <f>HLOOKUP(LangChoice,Definitions_FlowLang!$C$2:$E$112,MATCH($B89,Definitions_FlowLang!$B$2:$B$112,0),FALSE)</f>
        <v>Elec output-main activity producer ele plants</v>
      </c>
      <c r="B89" s="230" t="s">
        <v>1432</v>
      </c>
      <c r="C89" s="230"/>
      <c r="D89" s="221"/>
      <c r="E89" s="2169">
        <f t="shared" ref="E89:N96" si="148">VLOOKUP($B89,RawData,E$4,FALSE)</f>
        <v>0</v>
      </c>
      <c r="F89" s="2169">
        <f t="shared" si="148"/>
        <v>0</v>
      </c>
      <c r="G89" s="2169">
        <f t="shared" si="148"/>
        <v>194357</v>
      </c>
      <c r="H89" s="2169">
        <f t="shared" si="148"/>
        <v>0</v>
      </c>
      <c r="I89" s="2169">
        <f t="shared" si="148"/>
        <v>0</v>
      </c>
      <c r="J89" s="2169">
        <f t="shared" si="148"/>
        <v>0</v>
      </c>
      <c r="K89" s="2169">
        <f t="shared" si="148"/>
        <v>0</v>
      </c>
      <c r="L89" s="2169">
        <f t="shared" si="148"/>
        <v>0</v>
      </c>
      <c r="M89" s="2169">
        <f t="shared" si="148"/>
        <v>0</v>
      </c>
      <c r="N89" s="2169">
        <f t="shared" si="148"/>
        <v>0</v>
      </c>
      <c r="O89" s="2169">
        <f t="shared" ref="O89:X96" si="149">VLOOKUP($B89,RawData,O$4,FALSE)</f>
        <v>0</v>
      </c>
      <c r="P89" s="2169">
        <f t="shared" si="149"/>
        <v>0</v>
      </c>
      <c r="Q89" s="2169">
        <f t="shared" si="149"/>
        <v>0</v>
      </c>
      <c r="R89" s="2169">
        <f t="shared" si="149"/>
        <v>0</v>
      </c>
      <c r="S89" s="2169">
        <f t="shared" si="149"/>
        <v>0</v>
      </c>
      <c r="T89" s="2169">
        <f t="shared" si="149"/>
        <v>0</v>
      </c>
      <c r="U89" s="2169">
        <f t="shared" si="149"/>
        <v>0</v>
      </c>
      <c r="V89" s="2169">
        <f t="shared" si="149"/>
        <v>0</v>
      </c>
      <c r="W89" s="2161">
        <f t="shared" si="149"/>
        <v>0</v>
      </c>
      <c r="X89" s="2161">
        <f t="shared" si="149"/>
        <v>0</v>
      </c>
      <c r="Y89" s="2161">
        <f t="shared" ref="Y89:AH96" si="150">VLOOKUP($B89,RawData,Y$4,FALSE)</f>
        <v>0</v>
      </c>
      <c r="Z89" s="2161">
        <f t="shared" si="150"/>
        <v>0</v>
      </c>
      <c r="AA89" s="2161">
        <f t="shared" si="150"/>
        <v>0</v>
      </c>
      <c r="AB89" s="2161">
        <f t="shared" si="150"/>
        <v>0</v>
      </c>
      <c r="AC89" s="2161">
        <f t="shared" si="150"/>
        <v>0</v>
      </c>
      <c r="AD89" s="2161">
        <f t="shared" si="150"/>
        <v>0</v>
      </c>
      <c r="AE89" s="2161">
        <f t="shared" si="150"/>
        <v>0</v>
      </c>
      <c r="AF89" s="2161">
        <f t="shared" si="150"/>
        <v>0</v>
      </c>
      <c r="AG89" s="2161">
        <f t="shared" si="150"/>
        <v>0</v>
      </c>
      <c r="AH89" s="2161">
        <f t="shared" si="150"/>
        <v>0</v>
      </c>
      <c r="AI89" s="2161">
        <f t="shared" ref="AI89:AR96" si="151">VLOOKUP($B89,RawData,AI$4,FALSE)</f>
        <v>0</v>
      </c>
      <c r="AJ89" s="2161">
        <f t="shared" si="151"/>
        <v>0</v>
      </c>
      <c r="AK89" s="2161">
        <f t="shared" si="151"/>
        <v>0</v>
      </c>
      <c r="AL89" s="2161">
        <f t="shared" si="151"/>
        <v>0</v>
      </c>
      <c r="AM89" s="2161">
        <f t="shared" si="151"/>
        <v>0</v>
      </c>
      <c r="AN89" s="2161">
        <f t="shared" si="151"/>
        <v>0</v>
      </c>
      <c r="AO89" s="2161">
        <f t="shared" si="151"/>
        <v>0</v>
      </c>
      <c r="AP89" s="2161">
        <f t="shared" si="151"/>
        <v>0</v>
      </c>
      <c r="AQ89" s="2161">
        <f t="shared" si="151"/>
        <v>0</v>
      </c>
      <c r="AR89" s="2171">
        <f t="shared" si="151"/>
        <v>0</v>
      </c>
      <c r="AS89" s="2172">
        <f t="shared" ref="AS89:BE96" si="152">VLOOKUP($B89,RawData,AS$4,FALSE)</f>
        <v>0</v>
      </c>
      <c r="AT89" s="2173">
        <f t="shared" si="152"/>
        <v>0</v>
      </c>
      <c r="AU89" s="2173">
        <f t="shared" si="152"/>
        <v>0</v>
      </c>
      <c r="AV89" s="2173">
        <f t="shared" si="152"/>
        <v>0</v>
      </c>
      <c r="AW89" s="2173">
        <f t="shared" si="152"/>
        <v>0</v>
      </c>
      <c r="AX89" s="2173">
        <f t="shared" si="152"/>
        <v>0</v>
      </c>
      <c r="AY89" s="2173">
        <f t="shared" si="152"/>
        <v>0</v>
      </c>
      <c r="AZ89" s="2173">
        <f t="shared" si="152"/>
        <v>0</v>
      </c>
      <c r="BA89" s="2173">
        <f t="shared" si="152"/>
        <v>0</v>
      </c>
      <c r="BB89" s="2173">
        <f t="shared" si="152"/>
        <v>0</v>
      </c>
      <c r="BC89" s="2173">
        <f t="shared" si="152"/>
        <v>0</v>
      </c>
      <c r="BD89" s="2174">
        <f t="shared" si="152"/>
        <v>0</v>
      </c>
      <c r="BE89" s="2167">
        <f t="shared" si="152"/>
        <v>14214</v>
      </c>
      <c r="BF89" s="2167">
        <f>VLOOKUP($B89,RawData,BF$4,FALSE)-VLOOKUP("MHYDPUMP",RawData,BF$4,FALSE)</f>
        <v>-16140.741</v>
      </c>
      <c r="BG89" s="2167">
        <f t="shared" ref="BG89:BL96" si="153">VLOOKUP($B89,RawData,BG$4,FALSE)</f>
        <v>0</v>
      </c>
      <c r="BH89" s="2167">
        <f t="shared" si="153"/>
        <v>0</v>
      </c>
      <c r="BI89" s="2167">
        <f t="shared" si="153"/>
        <v>0</v>
      </c>
      <c r="BJ89" s="2167">
        <f t="shared" si="153"/>
        <v>0</v>
      </c>
      <c r="BK89" s="2167">
        <f t="shared" si="153"/>
        <v>283</v>
      </c>
      <c r="BL89" s="2167">
        <f t="shared" si="153"/>
        <v>0</v>
      </c>
      <c r="BM89" s="2167">
        <f t="shared" ref="BM89:BM96" si="154">VLOOKUP($B89,RawData,MATCH("BOILER",RawDataHeadings,0),FALSE)</f>
        <v>0</v>
      </c>
      <c r="BN89" s="2167">
        <f t="shared" ref="BN89:BN96" si="155">SUM(VLOOKUP($B89,RawData,MATCH("HEATPUMP",RawDataHeadings,0),FALSE),VLOOKUP($B89,RawData,MATCH("CHEMHEAT",RawDataHeadings,0),FALSE))</f>
        <v>0</v>
      </c>
      <c r="BO89" s="2170">
        <v>0</v>
      </c>
      <c r="BP89" s="2197">
        <f t="shared" si="106"/>
        <v>192713.25899999999</v>
      </c>
      <c r="BQ89" s="911"/>
      <c r="CA89" s="300" t="s">
        <v>1432</v>
      </c>
      <c r="CB89" s="20" t="s">
        <v>6349</v>
      </c>
      <c r="CC89" s="20" t="s">
        <v>6350</v>
      </c>
      <c r="CD89" s="20" t="s">
        <v>6351</v>
      </c>
      <c r="CE89" s="20" t="s">
        <v>6352</v>
      </c>
      <c r="CF89" s="20" t="s">
        <v>6353</v>
      </c>
      <c r="CG89" s="20" t="s">
        <v>6354</v>
      </c>
      <c r="CH89" s="20" t="s">
        <v>6355</v>
      </c>
      <c r="CI89" s="20" t="s">
        <v>6356</v>
      </c>
      <c r="CJ89" s="20" t="s">
        <v>6357</v>
      </c>
      <c r="CK89" s="20" t="s">
        <v>6358</v>
      </c>
      <c r="CL89" s="20" t="s">
        <v>6359</v>
      </c>
      <c r="CM89" s="20" t="s">
        <v>6360</v>
      </c>
      <c r="CN89" s="20" t="s">
        <v>6361</v>
      </c>
      <c r="CO89" s="20" t="s">
        <v>6362</v>
      </c>
      <c r="CP89" s="20" t="s">
        <v>6363</v>
      </c>
      <c r="CQ89" s="20" t="s">
        <v>6364</v>
      </c>
      <c r="CR89" s="20" t="s">
        <v>6365</v>
      </c>
      <c r="CS89" s="20" t="s">
        <v>6366</v>
      </c>
      <c r="CT89" s="20" t="s">
        <v>6367</v>
      </c>
      <c r="CU89" s="20" t="s">
        <v>6368</v>
      </c>
      <c r="CV89" s="20" t="s">
        <v>6369</v>
      </c>
      <c r="CW89" s="20" t="s">
        <v>6370</v>
      </c>
      <c r="CX89" s="20" t="s">
        <v>6371</v>
      </c>
      <c r="CY89" s="20" t="s">
        <v>6372</v>
      </c>
      <c r="CZ89" s="20" t="s">
        <v>6373</v>
      </c>
      <c r="DA89" s="20" t="s">
        <v>6374</v>
      </c>
      <c r="DB89" s="20" t="s">
        <v>6375</v>
      </c>
      <c r="DC89" s="20" t="s">
        <v>6376</v>
      </c>
      <c r="DD89" s="20" t="s">
        <v>6377</v>
      </c>
      <c r="DE89" s="20" t="s">
        <v>6378</v>
      </c>
      <c r="DF89" s="20" t="s">
        <v>6379</v>
      </c>
      <c r="DG89" s="20" t="s">
        <v>6380</v>
      </c>
      <c r="DH89" s="20" t="s">
        <v>6381</v>
      </c>
      <c r="DI89" s="20" t="s">
        <v>6382</v>
      </c>
      <c r="DJ89" s="20" t="s">
        <v>6383</v>
      </c>
      <c r="DK89" s="20" t="s">
        <v>6384</v>
      </c>
      <c r="DL89" s="20" t="s">
        <v>6385</v>
      </c>
      <c r="DM89" s="20" t="s">
        <v>6386</v>
      </c>
      <c r="DN89" s="20" t="s">
        <v>6387</v>
      </c>
      <c r="DO89" s="20" t="s">
        <v>6388</v>
      </c>
      <c r="DP89" s="20" t="s">
        <v>6389</v>
      </c>
      <c r="DQ89" s="20" t="s">
        <v>6390</v>
      </c>
      <c r="DR89" s="20" t="s">
        <v>6391</v>
      </c>
      <c r="DS89" s="20" t="s">
        <v>6392</v>
      </c>
      <c r="DT89" s="20" t="s">
        <v>6393</v>
      </c>
      <c r="DU89" s="20" t="s">
        <v>6394</v>
      </c>
      <c r="DV89" s="20" t="s">
        <v>6395</v>
      </c>
      <c r="DW89" s="20" t="s">
        <v>6396</v>
      </c>
      <c r="DX89" s="20" t="s">
        <v>6397</v>
      </c>
      <c r="DY89" s="20" t="s">
        <v>6398</v>
      </c>
      <c r="DZ89" s="20" t="s">
        <v>6399</v>
      </c>
      <c r="EA89" s="20" t="s">
        <v>6400</v>
      </c>
      <c r="EB89" s="20" t="s">
        <v>6401</v>
      </c>
      <c r="EC89" s="20" t="s">
        <v>6402</v>
      </c>
      <c r="ED89" s="20" t="s">
        <v>6403</v>
      </c>
      <c r="EE89" s="20" t="s">
        <v>6404</v>
      </c>
      <c r="EF89" s="20" t="s">
        <v>6405</v>
      </c>
      <c r="EG89" s="20" t="s">
        <v>6406</v>
      </c>
      <c r="EH89" s="20" t="s">
        <v>6407</v>
      </c>
      <c r="EI89" s="20" t="s">
        <v>6408</v>
      </c>
      <c r="EJ89" s="20" t="s">
        <v>6409</v>
      </c>
      <c r="EK89" s="20" t="s">
        <v>6410</v>
      </c>
      <c r="EL89" s="20">
        <v>0</v>
      </c>
    </row>
    <row r="90" spans="1:142" s="560" customFormat="1" ht="11.25" x14ac:dyDescent="0.2">
      <c r="A90" s="558" t="str">
        <f>HLOOKUP(LangChoice,Definitions_FlowLang!$C$2:$E$112,MATCH($B90,Definitions_FlowLang!$B$2:$B$112,0),FALSE)</f>
        <v>Elec output-autoproducer electricity plants</v>
      </c>
      <c r="B90" s="230" t="s">
        <v>1435</v>
      </c>
      <c r="C90" s="230"/>
      <c r="D90" s="221"/>
      <c r="E90" s="2169">
        <f t="shared" si="148"/>
        <v>0</v>
      </c>
      <c r="F90" s="2169">
        <f t="shared" si="148"/>
        <v>0</v>
      </c>
      <c r="G90" s="2169">
        <f t="shared" si="148"/>
        <v>5984.94</v>
      </c>
      <c r="H90" s="2169">
        <f t="shared" si="148"/>
        <v>0</v>
      </c>
      <c r="I90" s="2169">
        <f t="shared" si="148"/>
        <v>0</v>
      </c>
      <c r="J90" s="2169">
        <f t="shared" si="148"/>
        <v>0</v>
      </c>
      <c r="K90" s="2169">
        <f t="shared" si="148"/>
        <v>0</v>
      </c>
      <c r="L90" s="2169">
        <f t="shared" si="148"/>
        <v>0</v>
      </c>
      <c r="M90" s="2169">
        <f t="shared" si="148"/>
        <v>0</v>
      </c>
      <c r="N90" s="2169">
        <f t="shared" si="148"/>
        <v>0</v>
      </c>
      <c r="O90" s="2169">
        <f t="shared" si="149"/>
        <v>0</v>
      </c>
      <c r="P90" s="2169">
        <f t="shared" si="149"/>
        <v>0</v>
      </c>
      <c r="Q90" s="2169">
        <f t="shared" si="149"/>
        <v>0</v>
      </c>
      <c r="R90" s="2169">
        <f t="shared" si="149"/>
        <v>0</v>
      </c>
      <c r="S90" s="2169">
        <f t="shared" si="149"/>
        <v>0</v>
      </c>
      <c r="T90" s="2169">
        <f t="shared" si="149"/>
        <v>0</v>
      </c>
      <c r="U90" s="2169">
        <f t="shared" si="149"/>
        <v>0</v>
      </c>
      <c r="V90" s="2169">
        <f t="shared" si="149"/>
        <v>0</v>
      </c>
      <c r="W90" s="2161">
        <f t="shared" si="149"/>
        <v>0</v>
      </c>
      <c r="X90" s="2161">
        <f t="shared" si="149"/>
        <v>0</v>
      </c>
      <c r="Y90" s="2161">
        <f t="shared" si="150"/>
        <v>0</v>
      </c>
      <c r="Z90" s="2161">
        <f t="shared" si="150"/>
        <v>0</v>
      </c>
      <c r="AA90" s="2161">
        <f t="shared" si="150"/>
        <v>0</v>
      </c>
      <c r="AB90" s="2161">
        <f t="shared" si="150"/>
        <v>0</v>
      </c>
      <c r="AC90" s="2161">
        <f t="shared" si="150"/>
        <v>0</v>
      </c>
      <c r="AD90" s="2161">
        <f t="shared" si="150"/>
        <v>0</v>
      </c>
      <c r="AE90" s="2161">
        <f t="shared" si="150"/>
        <v>0</v>
      </c>
      <c r="AF90" s="2161">
        <f t="shared" si="150"/>
        <v>0</v>
      </c>
      <c r="AG90" s="2161">
        <f t="shared" si="150"/>
        <v>0</v>
      </c>
      <c r="AH90" s="2161">
        <f t="shared" si="150"/>
        <v>0</v>
      </c>
      <c r="AI90" s="2161">
        <f t="shared" si="151"/>
        <v>0</v>
      </c>
      <c r="AJ90" s="2161">
        <f t="shared" si="151"/>
        <v>0</v>
      </c>
      <c r="AK90" s="2161">
        <f t="shared" si="151"/>
        <v>0</v>
      </c>
      <c r="AL90" s="2161">
        <f t="shared" si="151"/>
        <v>0</v>
      </c>
      <c r="AM90" s="2161">
        <f t="shared" si="151"/>
        <v>0</v>
      </c>
      <c r="AN90" s="2161">
        <f t="shared" si="151"/>
        <v>0</v>
      </c>
      <c r="AO90" s="2161">
        <f t="shared" si="151"/>
        <v>0</v>
      </c>
      <c r="AP90" s="2161">
        <f t="shared" si="151"/>
        <v>0</v>
      </c>
      <c r="AQ90" s="2161">
        <f t="shared" si="151"/>
        <v>0</v>
      </c>
      <c r="AR90" s="2171">
        <f t="shared" si="151"/>
        <v>0</v>
      </c>
      <c r="AS90" s="2172">
        <f t="shared" si="152"/>
        <v>0</v>
      </c>
      <c r="AT90" s="2173">
        <f t="shared" si="152"/>
        <v>0</v>
      </c>
      <c r="AU90" s="2173">
        <f t="shared" si="152"/>
        <v>0</v>
      </c>
      <c r="AV90" s="2173">
        <f t="shared" si="152"/>
        <v>0</v>
      </c>
      <c r="AW90" s="2173">
        <f t="shared" si="152"/>
        <v>309.06</v>
      </c>
      <c r="AX90" s="2173">
        <f t="shared" si="152"/>
        <v>0</v>
      </c>
      <c r="AY90" s="2173">
        <f t="shared" si="152"/>
        <v>0</v>
      </c>
      <c r="AZ90" s="2173">
        <f t="shared" si="152"/>
        <v>0</v>
      </c>
      <c r="BA90" s="2173">
        <f t="shared" si="152"/>
        <v>0</v>
      </c>
      <c r="BB90" s="2173">
        <f t="shared" si="152"/>
        <v>0</v>
      </c>
      <c r="BC90" s="2173">
        <f t="shared" si="152"/>
        <v>0</v>
      </c>
      <c r="BD90" s="2174">
        <f t="shared" si="152"/>
        <v>0</v>
      </c>
      <c r="BE90" s="2167">
        <f t="shared" si="152"/>
        <v>0</v>
      </c>
      <c r="BF90" s="2167">
        <f>VLOOKUP($B90,RawData,BF$4,FALSE)-VLOOKUP("AHYDPUMP",RawData,BF$4,FALSE)</f>
        <v>104.29</v>
      </c>
      <c r="BG90" s="2167">
        <f t="shared" si="153"/>
        <v>0</v>
      </c>
      <c r="BH90" s="2167">
        <f t="shared" si="153"/>
        <v>3040.85</v>
      </c>
      <c r="BI90" s="2167">
        <f t="shared" si="153"/>
        <v>0</v>
      </c>
      <c r="BJ90" s="2167">
        <f t="shared" si="153"/>
        <v>0</v>
      </c>
      <c r="BK90" s="2167">
        <f t="shared" si="153"/>
        <v>6183.85</v>
      </c>
      <c r="BL90" s="2167">
        <f t="shared" si="153"/>
        <v>0</v>
      </c>
      <c r="BM90" s="2167">
        <f t="shared" si="154"/>
        <v>0</v>
      </c>
      <c r="BN90" s="2167">
        <f t="shared" si="155"/>
        <v>0</v>
      </c>
      <c r="BO90" s="2170">
        <v>0</v>
      </c>
      <c r="BP90" s="2168">
        <f t="shared" si="106"/>
        <v>15622.99</v>
      </c>
      <c r="BQ90" s="911"/>
      <c r="CA90" s="300" t="s">
        <v>1435</v>
      </c>
      <c r="CB90" s="20" t="s">
        <v>6411</v>
      </c>
      <c r="CC90" s="20" t="s">
        <v>6412</v>
      </c>
      <c r="CD90" s="20" t="s">
        <v>6413</v>
      </c>
      <c r="CE90" s="20" t="s">
        <v>6414</v>
      </c>
      <c r="CF90" s="20" t="s">
        <v>6415</v>
      </c>
      <c r="CG90" s="20" t="s">
        <v>6416</v>
      </c>
      <c r="CH90" s="20" t="s">
        <v>6417</v>
      </c>
      <c r="CI90" s="20" t="s">
        <v>6418</v>
      </c>
      <c r="CJ90" s="20" t="s">
        <v>6419</v>
      </c>
      <c r="CK90" s="20" t="s">
        <v>6420</v>
      </c>
      <c r="CL90" s="20" t="s">
        <v>6421</v>
      </c>
      <c r="CM90" s="20" t="s">
        <v>6422</v>
      </c>
      <c r="CN90" s="20" t="s">
        <v>6423</v>
      </c>
      <c r="CO90" s="20" t="s">
        <v>6424</v>
      </c>
      <c r="CP90" s="20" t="s">
        <v>6425</v>
      </c>
      <c r="CQ90" s="20" t="s">
        <v>6426</v>
      </c>
      <c r="CR90" s="20" t="s">
        <v>6427</v>
      </c>
      <c r="CS90" s="20" t="s">
        <v>6428</v>
      </c>
      <c r="CT90" s="20" t="s">
        <v>6429</v>
      </c>
      <c r="CU90" s="20" t="s">
        <v>6430</v>
      </c>
      <c r="CV90" s="20" t="s">
        <v>6431</v>
      </c>
      <c r="CW90" s="20" t="s">
        <v>6432</v>
      </c>
      <c r="CX90" s="20" t="s">
        <v>6433</v>
      </c>
      <c r="CY90" s="20" t="s">
        <v>6434</v>
      </c>
      <c r="CZ90" s="20" t="s">
        <v>6435</v>
      </c>
      <c r="DA90" s="20" t="s">
        <v>6436</v>
      </c>
      <c r="DB90" s="20" t="s">
        <v>6437</v>
      </c>
      <c r="DC90" s="20" t="s">
        <v>6438</v>
      </c>
      <c r="DD90" s="20" t="s">
        <v>6439</v>
      </c>
      <c r="DE90" s="20" t="s">
        <v>6440</v>
      </c>
      <c r="DF90" s="20" t="s">
        <v>6441</v>
      </c>
      <c r="DG90" s="20" t="s">
        <v>6442</v>
      </c>
      <c r="DH90" s="20" t="s">
        <v>6443</v>
      </c>
      <c r="DI90" s="20" t="s">
        <v>6444</v>
      </c>
      <c r="DJ90" s="20" t="s">
        <v>6445</v>
      </c>
      <c r="DK90" s="20" t="s">
        <v>6446</v>
      </c>
      <c r="DL90" s="20" t="s">
        <v>6447</v>
      </c>
      <c r="DM90" s="20" t="s">
        <v>6448</v>
      </c>
      <c r="DN90" s="20" t="s">
        <v>6449</v>
      </c>
      <c r="DO90" s="20" t="s">
        <v>6450</v>
      </c>
      <c r="DP90" s="20" t="s">
        <v>6451</v>
      </c>
      <c r="DQ90" s="20" t="s">
        <v>6452</v>
      </c>
      <c r="DR90" s="20" t="s">
        <v>6453</v>
      </c>
      <c r="DS90" s="20" t="s">
        <v>6454</v>
      </c>
      <c r="DT90" s="20" t="s">
        <v>6455</v>
      </c>
      <c r="DU90" s="20" t="s">
        <v>6456</v>
      </c>
      <c r="DV90" s="20" t="s">
        <v>6457</v>
      </c>
      <c r="DW90" s="20" t="s">
        <v>6458</v>
      </c>
      <c r="DX90" s="20" t="s">
        <v>6459</v>
      </c>
      <c r="DY90" s="20" t="s">
        <v>6460</v>
      </c>
      <c r="DZ90" s="20" t="s">
        <v>6461</v>
      </c>
      <c r="EA90" s="20" t="s">
        <v>6462</v>
      </c>
      <c r="EB90" s="20" t="s">
        <v>6463</v>
      </c>
      <c r="EC90" s="20" t="s">
        <v>6464</v>
      </c>
      <c r="ED90" s="20" t="s">
        <v>6465</v>
      </c>
      <c r="EE90" s="20" t="s">
        <v>6466</v>
      </c>
      <c r="EF90" s="20" t="s">
        <v>6467</v>
      </c>
      <c r="EG90" s="20" t="s">
        <v>6468</v>
      </c>
      <c r="EH90" s="20" t="s">
        <v>6469</v>
      </c>
      <c r="EI90" s="20" t="s">
        <v>6470</v>
      </c>
      <c r="EJ90" s="20" t="s">
        <v>6471</v>
      </c>
      <c r="EK90" s="20" t="s">
        <v>6472</v>
      </c>
      <c r="EL90" s="20">
        <v>0</v>
      </c>
    </row>
    <row r="91" spans="1:142" s="560" customFormat="1" ht="11.25" x14ac:dyDescent="0.2">
      <c r="A91" s="558" t="str">
        <f>HLOOKUP(LangChoice,Definitions_FlowLang!$C$2:$E$112,MATCH($B91,Definitions_FlowLang!$B$2:$B$112,0),FALSE)</f>
        <v>Elec output-main activity producer CHP plants</v>
      </c>
      <c r="B91" s="230" t="s">
        <v>1438</v>
      </c>
      <c r="C91" s="230"/>
      <c r="D91" s="221"/>
      <c r="E91" s="2169">
        <f t="shared" si="148"/>
        <v>0</v>
      </c>
      <c r="F91" s="2169">
        <f t="shared" si="148"/>
        <v>0</v>
      </c>
      <c r="G91" s="2169">
        <f t="shared" si="148"/>
        <v>0</v>
      </c>
      <c r="H91" s="2169">
        <f t="shared" si="148"/>
        <v>0</v>
      </c>
      <c r="I91" s="2169">
        <f t="shared" si="148"/>
        <v>0</v>
      </c>
      <c r="J91" s="2169">
        <f t="shared" si="148"/>
        <v>0</v>
      </c>
      <c r="K91" s="2169">
        <f t="shared" si="148"/>
        <v>0</v>
      </c>
      <c r="L91" s="2169">
        <f t="shared" si="148"/>
        <v>0</v>
      </c>
      <c r="M91" s="2169">
        <f t="shared" si="148"/>
        <v>0</v>
      </c>
      <c r="N91" s="2169">
        <f t="shared" si="148"/>
        <v>0</v>
      </c>
      <c r="O91" s="2169">
        <f t="shared" si="149"/>
        <v>0</v>
      </c>
      <c r="P91" s="2169">
        <f t="shared" si="149"/>
        <v>0</v>
      </c>
      <c r="Q91" s="2169">
        <f t="shared" si="149"/>
        <v>0</v>
      </c>
      <c r="R91" s="2169">
        <f t="shared" si="149"/>
        <v>0</v>
      </c>
      <c r="S91" s="2169">
        <f t="shared" si="149"/>
        <v>0</v>
      </c>
      <c r="T91" s="2169">
        <f t="shared" si="149"/>
        <v>0</v>
      </c>
      <c r="U91" s="2169">
        <f t="shared" si="149"/>
        <v>0</v>
      </c>
      <c r="V91" s="2169">
        <f t="shared" si="149"/>
        <v>0</v>
      </c>
      <c r="W91" s="2161">
        <f t="shared" si="149"/>
        <v>0</v>
      </c>
      <c r="X91" s="2161">
        <f t="shared" si="149"/>
        <v>0</v>
      </c>
      <c r="Y91" s="2161">
        <f t="shared" si="150"/>
        <v>0</v>
      </c>
      <c r="Z91" s="2161">
        <f t="shared" si="150"/>
        <v>0</v>
      </c>
      <c r="AA91" s="2161">
        <f t="shared" si="150"/>
        <v>0</v>
      </c>
      <c r="AB91" s="2161">
        <f t="shared" si="150"/>
        <v>0</v>
      </c>
      <c r="AC91" s="2161">
        <f t="shared" si="150"/>
        <v>0</v>
      </c>
      <c r="AD91" s="2161">
        <f t="shared" si="150"/>
        <v>0</v>
      </c>
      <c r="AE91" s="2161">
        <f t="shared" si="150"/>
        <v>0</v>
      </c>
      <c r="AF91" s="2161">
        <f t="shared" si="150"/>
        <v>0</v>
      </c>
      <c r="AG91" s="2161">
        <f t="shared" si="150"/>
        <v>0</v>
      </c>
      <c r="AH91" s="2161">
        <f t="shared" si="150"/>
        <v>0</v>
      </c>
      <c r="AI91" s="2161">
        <f t="shared" si="151"/>
        <v>0</v>
      </c>
      <c r="AJ91" s="2161">
        <f t="shared" si="151"/>
        <v>0</v>
      </c>
      <c r="AK91" s="2161">
        <f t="shared" si="151"/>
        <v>0</v>
      </c>
      <c r="AL91" s="2161">
        <f t="shared" si="151"/>
        <v>0</v>
      </c>
      <c r="AM91" s="2161">
        <f t="shared" si="151"/>
        <v>0</v>
      </c>
      <c r="AN91" s="2161">
        <f t="shared" si="151"/>
        <v>0</v>
      </c>
      <c r="AO91" s="2161">
        <f t="shared" si="151"/>
        <v>0</v>
      </c>
      <c r="AP91" s="2161">
        <f t="shared" si="151"/>
        <v>0</v>
      </c>
      <c r="AQ91" s="2161">
        <f t="shared" si="151"/>
        <v>0</v>
      </c>
      <c r="AR91" s="2171">
        <f t="shared" si="151"/>
        <v>0</v>
      </c>
      <c r="AS91" s="2172">
        <f t="shared" si="152"/>
        <v>0</v>
      </c>
      <c r="AT91" s="2173">
        <f t="shared" si="152"/>
        <v>0</v>
      </c>
      <c r="AU91" s="2173">
        <f t="shared" si="152"/>
        <v>0</v>
      </c>
      <c r="AV91" s="2173">
        <f t="shared" si="152"/>
        <v>0</v>
      </c>
      <c r="AW91" s="2173">
        <f t="shared" si="152"/>
        <v>0</v>
      </c>
      <c r="AX91" s="2173">
        <f t="shared" si="152"/>
        <v>0</v>
      </c>
      <c r="AY91" s="2173">
        <f t="shared" si="152"/>
        <v>0</v>
      </c>
      <c r="AZ91" s="2173">
        <f t="shared" si="152"/>
        <v>0</v>
      </c>
      <c r="BA91" s="2173">
        <f t="shared" si="152"/>
        <v>0</v>
      </c>
      <c r="BB91" s="2173">
        <f t="shared" si="152"/>
        <v>0</v>
      </c>
      <c r="BC91" s="2173">
        <f t="shared" si="152"/>
        <v>0</v>
      </c>
      <c r="BD91" s="2174">
        <f t="shared" si="152"/>
        <v>0</v>
      </c>
      <c r="BE91" s="2167">
        <f t="shared" si="152"/>
        <v>0</v>
      </c>
      <c r="BF91" s="2167">
        <f t="shared" ref="BF91:BF96" si="156">VLOOKUP($B91,RawData,BF$4,FALSE)</f>
        <v>0</v>
      </c>
      <c r="BG91" s="2167">
        <f t="shared" si="153"/>
        <v>0</v>
      </c>
      <c r="BH91" s="2167">
        <f t="shared" si="153"/>
        <v>0</v>
      </c>
      <c r="BI91" s="2167">
        <f t="shared" si="153"/>
        <v>0</v>
      </c>
      <c r="BJ91" s="2167">
        <f t="shared" si="153"/>
        <v>0</v>
      </c>
      <c r="BK91" s="2167">
        <f t="shared" si="153"/>
        <v>0</v>
      </c>
      <c r="BL91" s="2167">
        <f t="shared" si="153"/>
        <v>0</v>
      </c>
      <c r="BM91" s="2167">
        <f t="shared" si="154"/>
        <v>0</v>
      </c>
      <c r="BN91" s="2167">
        <f t="shared" si="155"/>
        <v>0</v>
      </c>
      <c r="BO91" s="2170">
        <v>0</v>
      </c>
      <c r="BP91" s="2168">
        <f t="shared" si="106"/>
        <v>0</v>
      </c>
      <c r="BQ91" s="911"/>
      <c r="CA91" s="300" t="s">
        <v>1438</v>
      </c>
      <c r="CB91" s="20" t="s">
        <v>6473</v>
      </c>
      <c r="CC91" s="20" t="s">
        <v>6474</v>
      </c>
      <c r="CD91" s="20" t="s">
        <v>6475</v>
      </c>
      <c r="CE91" s="20" t="s">
        <v>6476</v>
      </c>
      <c r="CF91" s="20" t="s">
        <v>6477</v>
      </c>
      <c r="CG91" s="20" t="s">
        <v>6478</v>
      </c>
      <c r="CH91" s="20" t="s">
        <v>6479</v>
      </c>
      <c r="CI91" s="20" t="s">
        <v>6480</v>
      </c>
      <c r="CJ91" s="20" t="s">
        <v>6481</v>
      </c>
      <c r="CK91" s="20" t="s">
        <v>6482</v>
      </c>
      <c r="CL91" s="20" t="s">
        <v>6483</v>
      </c>
      <c r="CM91" s="20" t="s">
        <v>6484</v>
      </c>
      <c r="CN91" s="20" t="s">
        <v>6485</v>
      </c>
      <c r="CO91" s="20" t="s">
        <v>6486</v>
      </c>
      <c r="CP91" s="20" t="s">
        <v>6487</v>
      </c>
      <c r="CQ91" s="20" t="s">
        <v>6488</v>
      </c>
      <c r="CR91" s="20" t="s">
        <v>6489</v>
      </c>
      <c r="CS91" s="20" t="s">
        <v>6490</v>
      </c>
      <c r="CT91" s="20" t="s">
        <v>6491</v>
      </c>
      <c r="CU91" s="20" t="s">
        <v>6492</v>
      </c>
      <c r="CV91" s="20" t="s">
        <v>6493</v>
      </c>
      <c r="CW91" s="20" t="s">
        <v>6494</v>
      </c>
      <c r="CX91" s="20" t="s">
        <v>6495</v>
      </c>
      <c r="CY91" s="20" t="s">
        <v>6496</v>
      </c>
      <c r="CZ91" s="20" t="s">
        <v>6497</v>
      </c>
      <c r="DA91" s="20" t="s">
        <v>6498</v>
      </c>
      <c r="DB91" s="20" t="s">
        <v>6499</v>
      </c>
      <c r="DC91" s="20" t="s">
        <v>6500</v>
      </c>
      <c r="DD91" s="20" t="s">
        <v>6501</v>
      </c>
      <c r="DE91" s="20" t="s">
        <v>6502</v>
      </c>
      <c r="DF91" s="20" t="s">
        <v>6503</v>
      </c>
      <c r="DG91" s="20" t="s">
        <v>6504</v>
      </c>
      <c r="DH91" s="20" t="s">
        <v>6505</v>
      </c>
      <c r="DI91" s="20" t="s">
        <v>6506</v>
      </c>
      <c r="DJ91" s="20" t="s">
        <v>6507</v>
      </c>
      <c r="DK91" s="20" t="s">
        <v>6508</v>
      </c>
      <c r="DL91" s="20" t="s">
        <v>6509</v>
      </c>
      <c r="DM91" s="20" t="s">
        <v>6510</v>
      </c>
      <c r="DN91" s="20" t="s">
        <v>6511</v>
      </c>
      <c r="DO91" s="20" t="s">
        <v>6512</v>
      </c>
      <c r="DP91" s="20" t="s">
        <v>6513</v>
      </c>
      <c r="DQ91" s="20" t="s">
        <v>6514</v>
      </c>
      <c r="DR91" s="20" t="s">
        <v>6515</v>
      </c>
      <c r="DS91" s="20" t="s">
        <v>6516</v>
      </c>
      <c r="DT91" s="20" t="s">
        <v>6517</v>
      </c>
      <c r="DU91" s="20" t="s">
        <v>6518</v>
      </c>
      <c r="DV91" s="20" t="s">
        <v>6519</v>
      </c>
      <c r="DW91" s="20" t="s">
        <v>6520</v>
      </c>
      <c r="DX91" s="20" t="s">
        <v>6521</v>
      </c>
      <c r="DY91" s="20" t="s">
        <v>6522</v>
      </c>
      <c r="DZ91" s="20" t="s">
        <v>6523</v>
      </c>
      <c r="EA91" s="20" t="s">
        <v>6524</v>
      </c>
      <c r="EB91" s="20" t="s">
        <v>6525</v>
      </c>
      <c r="EC91" s="20" t="s">
        <v>6526</v>
      </c>
      <c r="ED91" s="20" t="s">
        <v>6527</v>
      </c>
      <c r="EE91" s="20" t="s">
        <v>6528</v>
      </c>
      <c r="EF91" s="20" t="s">
        <v>6529</v>
      </c>
      <c r="EG91" s="20" t="s">
        <v>6530</v>
      </c>
      <c r="EH91" s="20" t="s">
        <v>6531</v>
      </c>
      <c r="EI91" s="20" t="s">
        <v>6532</v>
      </c>
      <c r="EJ91" s="20" t="s">
        <v>6533</v>
      </c>
      <c r="EK91" s="20" t="s">
        <v>6534</v>
      </c>
      <c r="EL91" s="20">
        <v>0</v>
      </c>
    </row>
    <row r="92" spans="1:142" s="560" customFormat="1" ht="11.25" x14ac:dyDescent="0.2">
      <c r="A92" s="559" t="str">
        <f>HLOOKUP(LangChoice,Definitions_FlowLang!$C$2:$E$112,MATCH($B92,Definitions_FlowLang!$B$2:$B$112,0),FALSE)</f>
        <v>Elec output-autoproducer CHP plants</v>
      </c>
      <c r="B92" s="306" t="s">
        <v>1441</v>
      </c>
      <c r="C92" s="306"/>
      <c r="D92" s="869"/>
      <c r="E92" s="2188">
        <f t="shared" si="148"/>
        <v>0</v>
      </c>
      <c r="F92" s="2188">
        <f t="shared" si="148"/>
        <v>0</v>
      </c>
      <c r="G92" s="2188">
        <f t="shared" si="148"/>
        <v>0</v>
      </c>
      <c r="H92" s="2188">
        <f t="shared" si="148"/>
        <v>0</v>
      </c>
      <c r="I92" s="2188">
        <f t="shared" si="148"/>
        <v>0</v>
      </c>
      <c r="J92" s="2188">
        <f t="shared" si="148"/>
        <v>0</v>
      </c>
      <c r="K92" s="2188">
        <f t="shared" si="148"/>
        <v>0</v>
      </c>
      <c r="L92" s="2188">
        <f t="shared" si="148"/>
        <v>0</v>
      </c>
      <c r="M92" s="2188">
        <f t="shared" si="148"/>
        <v>0</v>
      </c>
      <c r="N92" s="2188">
        <f t="shared" si="148"/>
        <v>0</v>
      </c>
      <c r="O92" s="2188">
        <f t="shared" si="149"/>
        <v>0</v>
      </c>
      <c r="P92" s="2188">
        <f t="shared" si="149"/>
        <v>0</v>
      </c>
      <c r="Q92" s="2188">
        <f t="shared" si="149"/>
        <v>0</v>
      </c>
      <c r="R92" s="2188">
        <f t="shared" si="149"/>
        <v>0</v>
      </c>
      <c r="S92" s="2188">
        <f t="shared" si="149"/>
        <v>0</v>
      </c>
      <c r="T92" s="2188">
        <f t="shared" si="149"/>
        <v>0</v>
      </c>
      <c r="U92" s="2188">
        <f t="shared" si="149"/>
        <v>0</v>
      </c>
      <c r="V92" s="2188">
        <f t="shared" si="149"/>
        <v>0</v>
      </c>
      <c r="W92" s="2189">
        <f t="shared" si="149"/>
        <v>0</v>
      </c>
      <c r="X92" s="2189">
        <f t="shared" si="149"/>
        <v>0</v>
      </c>
      <c r="Y92" s="2189">
        <f t="shared" si="150"/>
        <v>0</v>
      </c>
      <c r="Z92" s="2189">
        <f t="shared" si="150"/>
        <v>0</v>
      </c>
      <c r="AA92" s="2189">
        <f t="shared" si="150"/>
        <v>0</v>
      </c>
      <c r="AB92" s="2189">
        <f t="shared" si="150"/>
        <v>0</v>
      </c>
      <c r="AC92" s="2189">
        <f t="shared" si="150"/>
        <v>0</v>
      </c>
      <c r="AD92" s="2189">
        <f t="shared" si="150"/>
        <v>0</v>
      </c>
      <c r="AE92" s="2189">
        <f t="shared" si="150"/>
        <v>0</v>
      </c>
      <c r="AF92" s="2189">
        <f t="shared" si="150"/>
        <v>0</v>
      </c>
      <c r="AG92" s="2189">
        <f t="shared" si="150"/>
        <v>0</v>
      </c>
      <c r="AH92" s="2189">
        <f t="shared" si="150"/>
        <v>0</v>
      </c>
      <c r="AI92" s="2189">
        <f t="shared" si="151"/>
        <v>0</v>
      </c>
      <c r="AJ92" s="2189">
        <f t="shared" si="151"/>
        <v>0</v>
      </c>
      <c r="AK92" s="2189">
        <f t="shared" si="151"/>
        <v>0</v>
      </c>
      <c r="AL92" s="2189">
        <f t="shared" si="151"/>
        <v>0</v>
      </c>
      <c r="AM92" s="2189">
        <f t="shared" si="151"/>
        <v>0</v>
      </c>
      <c r="AN92" s="2189">
        <f t="shared" si="151"/>
        <v>0</v>
      </c>
      <c r="AO92" s="2189">
        <f t="shared" si="151"/>
        <v>0</v>
      </c>
      <c r="AP92" s="2189">
        <f t="shared" si="151"/>
        <v>0</v>
      </c>
      <c r="AQ92" s="2189">
        <f t="shared" si="151"/>
        <v>0</v>
      </c>
      <c r="AR92" s="2190">
        <f t="shared" si="151"/>
        <v>0</v>
      </c>
      <c r="AS92" s="2191">
        <f t="shared" si="152"/>
        <v>0</v>
      </c>
      <c r="AT92" s="2193">
        <f t="shared" si="152"/>
        <v>0</v>
      </c>
      <c r="AU92" s="2193">
        <f t="shared" si="152"/>
        <v>0</v>
      </c>
      <c r="AV92" s="2193">
        <f t="shared" si="152"/>
        <v>0</v>
      </c>
      <c r="AW92" s="2193">
        <f t="shared" si="152"/>
        <v>0</v>
      </c>
      <c r="AX92" s="2193">
        <f t="shared" si="152"/>
        <v>0</v>
      </c>
      <c r="AY92" s="2193">
        <f t="shared" si="152"/>
        <v>0</v>
      </c>
      <c r="AZ92" s="2193">
        <f t="shared" si="152"/>
        <v>0</v>
      </c>
      <c r="BA92" s="2193">
        <f t="shared" si="152"/>
        <v>0</v>
      </c>
      <c r="BB92" s="2193">
        <f t="shared" si="152"/>
        <v>0</v>
      </c>
      <c r="BC92" s="2193">
        <f t="shared" si="152"/>
        <v>0</v>
      </c>
      <c r="BD92" s="2194">
        <f t="shared" si="152"/>
        <v>0</v>
      </c>
      <c r="BE92" s="2195">
        <f t="shared" si="152"/>
        <v>0</v>
      </c>
      <c r="BF92" s="2195">
        <f t="shared" si="156"/>
        <v>0</v>
      </c>
      <c r="BG92" s="2195">
        <f t="shared" si="153"/>
        <v>0</v>
      </c>
      <c r="BH92" s="2195">
        <f t="shared" si="153"/>
        <v>0</v>
      </c>
      <c r="BI92" s="2195">
        <f t="shared" si="153"/>
        <v>0</v>
      </c>
      <c r="BJ92" s="2195">
        <f t="shared" si="153"/>
        <v>0</v>
      </c>
      <c r="BK92" s="2195">
        <f t="shared" si="153"/>
        <v>0</v>
      </c>
      <c r="BL92" s="2195">
        <f t="shared" si="153"/>
        <v>0</v>
      </c>
      <c r="BM92" s="2195">
        <f t="shared" si="154"/>
        <v>0</v>
      </c>
      <c r="BN92" s="2195">
        <f t="shared" si="155"/>
        <v>0</v>
      </c>
      <c r="BO92" s="2192">
        <v>0</v>
      </c>
      <c r="BP92" s="2196">
        <f t="shared" si="106"/>
        <v>0</v>
      </c>
      <c r="BQ92" s="911"/>
      <c r="CA92" s="300" t="s">
        <v>1441</v>
      </c>
      <c r="CB92" s="20" t="s">
        <v>6535</v>
      </c>
      <c r="CC92" s="20" t="s">
        <v>6536</v>
      </c>
      <c r="CD92" s="20" t="s">
        <v>6537</v>
      </c>
      <c r="CE92" s="20" t="s">
        <v>6538</v>
      </c>
      <c r="CF92" s="20" t="s">
        <v>6539</v>
      </c>
      <c r="CG92" s="20" t="s">
        <v>6540</v>
      </c>
      <c r="CH92" s="20" t="s">
        <v>6541</v>
      </c>
      <c r="CI92" s="20" t="s">
        <v>6542</v>
      </c>
      <c r="CJ92" s="20" t="s">
        <v>6543</v>
      </c>
      <c r="CK92" s="20" t="s">
        <v>6544</v>
      </c>
      <c r="CL92" s="20" t="s">
        <v>6545</v>
      </c>
      <c r="CM92" s="20" t="s">
        <v>6546</v>
      </c>
      <c r="CN92" s="20" t="s">
        <v>6547</v>
      </c>
      <c r="CO92" s="20" t="s">
        <v>6548</v>
      </c>
      <c r="CP92" s="20" t="s">
        <v>6549</v>
      </c>
      <c r="CQ92" s="20" t="s">
        <v>6550</v>
      </c>
      <c r="CR92" s="20" t="s">
        <v>6551</v>
      </c>
      <c r="CS92" s="20" t="s">
        <v>6552</v>
      </c>
      <c r="CT92" s="20" t="s">
        <v>6553</v>
      </c>
      <c r="CU92" s="20" t="s">
        <v>6554</v>
      </c>
      <c r="CV92" s="20" t="s">
        <v>6555</v>
      </c>
      <c r="CW92" s="20" t="s">
        <v>6556</v>
      </c>
      <c r="CX92" s="20" t="s">
        <v>6557</v>
      </c>
      <c r="CY92" s="20" t="s">
        <v>6558</v>
      </c>
      <c r="CZ92" s="20" t="s">
        <v>6559</v>
      </c>
      <c r="DA92" s="20" t="s">
        <v>6560</v>
      </c>
      <c r="DB92" s="20" t="s">
        <v>6561</v>
      </c>
      <c r="DC92" s="20" t="s">
        <v>6562</v>
      </c>
      <c r="DD92" s="20" t="s">
        <v>6563</v>
      </c>
      <c r="DE92" s="20" t="s">
        <v>6564</v>
      </c>
      <c r="DF92" s="20" t="s">
        <v>6565</v>
      </c>
      <c r="DG92" s="20" t="s">
        <v>6566</v>
      </c>
      <c r="DH92" s="20" t="s">
        <v>6567</v>
      </c>
      <c r="DI92" s="20" t="s">
        <v>6568</v>
      </c>
      <c r="DJ92" s="20" t="s">
        <v>6569</v>
      </c>
      <c r="DK92" s="20" t="s">
        <v>6570</v>
      </c>
      <c r="DL92" s="20" t="s">
        <v>6571</v>
      </c>
      <c r="DM92" s="20" t="s">
        <v>6572</v>
      </c>
      <c r="DN92" s="20" t="s">
        <v>6573</v>
      </c>
      <c r="DO92" s="20" t="s">
        <v>6574</v>
      </c>
      <c r="DP92" s="20" t="s">
        <v>6575</v>
      </c>
      <c r="DQ92" s="20" t="s">
        <v>6576</v>
      </c>
      <c r="DR92" s="20" t="s">
        <v>6577</v>
      </c>
      <c r="DS92" s="20" t="s">
        <v>6578</v>
      </c>
      <c r="DT92" s="20" t="s">
        <v>6579</v>
      </c>
      <c r="DU92" s="20" t="s">
        <v>6580</v>
      </c>
      <c r="DV92" s="20" t="s">
        <v>6581</v>
      </c>
      <c r="DW92" s="20" t="s">
        <v>6582</v>
      </c>
      <c r="DX92" s="20" t="s">
        <v>6583</v>
      </c>
      <c r="DY92" s="20" t="s">
        <v>6584</v>
      </c>
      <c r="DZ92" s="20" t="s">
        <v>6585</v>
      </c>
      <c r="EA92" s="20" t="s">
        <v>6586</v>
      </c>
      <c r="EB92" s="20" t="s">
        <v>6587</v>
      </c>
      <c r="EC92" s="20" t="s">
        <v>6588</v>
      </c>
      <c r="ED92" s="20" t="s">
        <v>6589</v>
      </c>
      <c r="EE92" s="20" t="s">
        <v>6590</v>
      </c>
      <c r="EF92" s="20" t="s">
        <v>6591</v>
      </c>
      <c r="EG92" s="20" t="s">
        <v>6592</v>
      </c>
      <c r="EH92" s="20" t="s">
        <v>6593</v>
      </c>
      <c r="EI92" s="20" t="s">
        <v>6594</v>
      </c>
      <c r="EJ92" s="20" t="s">
        <v>6595</v>
      </c>
      <c r="EK92" s="20" t="s">
        <v>6596</v>
      </c>
      <c r="EL92" s="20">
        <v>0</v>
      </c>
    </row>
    <row r="93" spans="1:142" s="560" customFormat="1" ht="11.25" x14ac:dyDescent="0.2">
      <c r="A93" s="558" t="str">
        <f>HLOOKUP(LangChoice,Definitions_FlowLang!$C$2:$E$112,MATCH($B93,Definitions_FlowLang!$B$2:$B$112,0),FALSE)</f>
        <v>Heat output-main activity producer CHP plants</v>
      </c>
      <c r="B93" s="230" t="s">
        <v>1444</v>
      </c>
      <c r="C93" s="230"/>
      <c r="D93" s="221"/>
      <c r="E93" s="2169">
        <f t="shared" si="148"/>
        <v>0</v>
      </c>
      <c r="F93" s="2169">
        <f t="shared" si="148"/>
        <v>0</v>
      </c>
      <c r="G93" s="2169">
        <f t="shared" si="148"/>
        <v>0</v>
      </c>
      <c r="H93" s="2169">
        <f t="shared" si="148"/>
        <v>0</v>
      </c>
      <c r="I93" s="2169">
        <f t="shared" si="148"/>
        <v>0</v>
      </c>
      <c r="J93" s="2169">
        <f t="shared" si="148"/>
        <v>0</v>
      </c>
      <c r="K93" s="2169">
        <f t="shared" si="148"/>
        <v>0</v>
      </c>
      <c r="L93" s="2169">
        <f t="shared" si="148"/>
        <v>0</v>
      </c>
      <c r="M93" s="2169">
        <f t="shared" si="148"/>
        <v>0</v>
      </c>
      <c r="N93" s="2169">
        <f t="shared" si="148"/>
        <v>0</v>
      </c>
      <c r="O93" s="2169">
        <f t="shared" si="149"/>
        <v>0</v>
      </c>
      <c r="P93" s="2169">
        <f t="shared" si="149"/>
        <v>0</v>
      </c>
      <c r="Q93" s="2169">
        <f t="shared" si="149"/>
        <v>0</v>
      </c>
      <c r="R93" s="2169">
        <f t="shared" si="149"/>
        <v>0</v>
      </c>
      <c r="S93" s="2169">
        <f t="shared" si="149"/>
        <v>0</v>
      </c>
      <c r="T93" s="2169">
        <f t="shared" si="149"/>
        <v>0</v>
      </c>
      <c r="U93" s="2169">
        <f t="shared" si="149"/>
        <v>0</v>
      </c>
      <c r="V93" s="2169">
        <f t="shared" si="149"/>
        <v>0</v>
      </c>
      <c r="W93" s="2161">
        <f t="shared" si="149"/>
        <v>0</v>
      </c>
      <c r="X93" s="2161">
        <f t="shared" si="149"/>
        <v>0</v>
      </c>
      <c r="Y93" s="2161">
        <f t="shared" si="150"/>
        <v>0</v>
      </c>
      <c r="Z93" s="2161">
        <f t="shared" si="150"/>
        <v>0</v>
      </c>
      <c r="AA93" s="2161">
        <f t="shared" si="150"/>
        <v>0</v>
      </c>
      <c r="AB93" s="2161">
        <f t="shared" si="150"/>
        <v>0</v>
      </c>
      <c r="AC93" s="2161">
        <f t="shared" si="150"/>
        <v>0</v>
      </c>
      <c r="AD93" s="2161">
        <f t="shared" si="150"/>
        <v>0</v>
      </c>
      <c r="AE93" s="2161">
        <f t="shared" si="150"/>
        <v>0</v>
      </c>
      <c r="AF93" s="2161">
        <f t="shared" si="150"/>
        <v>0</v>
      </c>
      <c r="AG93" s="2161">
        <f t="shared" si="150"/>
        <v>0</v>
      </c>
      <c r="AH93" s="2161">
        <f t="shared" si="150"/>
        <v>0</v>
      </c>
      <c r="AI93" s="2161">
        <f t="shared" si="151"/>
        <v>0</v>
      </c>
      <c r="AJ93" s="2161">
        <f t="shared" si="151"/>
        <v>0</v>
      </c>
      <c r="AK93" s="2161">
        <f t="shared" si="151"/>
        <v>0</v>
      </c>
      <c r="AL93" s="2161">
        <f t="shared" si="151"/>
        <v>0</v>
      </c>
      <c r="AM93" s="2161">
        <f t="shared" si="151"/>
        <v>0</v>
      </c>
      <c r="AN93" s="2161">
        <f t="shared" si="151"/>
        <v>0</v>
      </c>
      <c r="AO93" s="2161">
        <f t="shared" si="151"/>
        <v>0</v>
      </c>
      <c r="AP93" s="2161">
        <f t="shared" si="151"/>
        <v>0</v>
      </c>
      <c r="AQ93" s="2161">
        <f t="shared" si="151"/>
        <v>0</v>
      </c>
      <c r="AR93" s="2171">
        <f t="shared" si="151"/>
        <v>0</v>
      </c>
      <c r="AS93" s="2172">
        <f t="shared" si="152"/>
        <v>0</v>
      </c>
      <c r="AT93" s="2173">
        <f t="shared" si="152"/>
        <v>0</v>
      </c>
      <c r="AU93" s="2173">
        <f t="shared" si="152"/>
        <v>0</v>
      </c>
      <c r="AV93" s="2173">
        <f t="shared" si="152"/>
        <v>0</v>
      </c>
      <c r="AW93" s="2173">
        <f t="shared" si="152"/>
        <v>0</v>
      </c>
      <c r="AX93" s="2173">
        <f t="shared" si="152"/>
        <v>0</v>
      </c>
      <c r="AY93" s="2173">
        <f t="shared" si="152"/>
        <v>0</v>
      </c>
      <c r="AZ93" s="2173">
        <f t="shared" si="152"/>
        <v>0</v>
      </c>
      <c r="BA93" s="2173">
        <f t="shared" si="152"/>
        <v>0</v>
      </c>
      <c r="BB93" s="2173">
        <f t="shared" si="152"/>
        <v>0</v>
      </c>
      <c r="BC93" s="2173">
        <f t="shared" si="152"/>
        <v>0</v>
      </c>
      <c r="BD93" s="2174">
        <f t="shared" si="152"/>
        <v>0</v>
      </c>
      <c r="BE93" s="2167">
        <f t="shared" si="152"/>
        <v>0</v>
      </c>
      <c r="BF93" s="2167">
        <f t="shared" si="156"/>
        <v>0</v>
      </c>
      <c r="BG93" s="2167">
        <f t="shared" si="153"/>
        <v>0</v>
      </c>
      <c r="BH93" s="2167">
        <f t="shared" si="153"/>
        <v>0</v>
      </c>
      <c r="BI93" s="2167">
        <f t="shared" si="153"/>
        <v>0</v>
      </c>
      <c r="BJ93" s="2167">
        <f t="shared" si="153"/>
        <v>0</v>
      </c>
      <c r="BK93" s="2167">
        <f t="shared" si="153"/>
        <v>0</v>
      </c>
      <c r="BL93" s="2167">
        <f t="shared" si="153"/>
        <v>0</v>
      </c>
      <c r="BM93" s="2167">
        <f t="shared" si="154"/>
        <v>0</v>
      </c>
      <c r="BN93" s="2167">
        <f t="shared" si="155"/>
        <v>0</v>
      </c>
      <c r="BO93" s="2167">
        <f>VLOOKUP($B93,RawData,BO$4,FALSE)</f>
        <v>0</v>
      </c>
      <c r="BP93" s="2168">
        <f t="shared" si="106"/>
        <v>0</v>
      </c>
      <c r="BQ93" s="911"/>
      <c r="CA93" s="300" t="s">
        <v>1444</v>
      </c>
      <c r="CB93" s="20" t="s">
        <v>6597</v>
      </c>
      <c r="CC93" s="20" t="s">
        <v>6598</v>
      </c>
      <c r="CD93" s="20" t="s">
        <v>6599</v>
      </c>
      <c r="CE93" s="20" t="s">
        <v>6600</v>
      </c>
      <c r="CF93" s="20" t="s">
        <v>6601</v>
      </c>
      <c r="CG93" s="20" t="s">
        <v>6602</v>
      </c>
      <c r="CH93" s="20" t="s">
        <v>6603</v>
      </c>
      <c r="CI93" s="20" t="s">
        <v>6604</v>
      </c>
      <c r="CJ93" s="20" t="s">
        <v>6605</v>
      </c>
      <c r="CK93" s="20" t="s">
        <v>6606</v>
      </c>
      <c r="CL93" s="20" t="s">
        <v>6607</v>
      </c>
      <c r="CM93" s="20" t="s">
        <v>6608</v>
      </c>
      <c r="CN93" s="20" t="s">
        <v>6609</v>
      </c>
      <c r="CO93" s="20" t="s">
        <v>6610</v>
      </c>
      <c r="CP93" s="20" t="s">
        <v>6611</v>
      </c>
      <c r="CQ93" s="20" t="s">
        <v>6612</v>
      </c>
      <c r="CR93" s="20" t="s">
        <v>6613</v>
      </c>
      <c r="CS93" s="20" t="s">
        <v>6614</v>
      </c>
      <c r="CT93" s="20" t="s">
        <v>6615</v>
      </c>
      <c r="CU93" s="20" t="s">
        <v>6616</v>
      </c>
      <c r="CV93" s="20" t="s">
        <v>6617</v>
      </c>
      <c r="CW93" s="20" t="s">
        <v>6618</v>
      </c>
      <c r="CX93" s="20" t="s">
        <v>6619</v>
      </c>
      <c r="CY93" s="20" t="s">
        <v>6620</v>
      </c>
      <c r="CZ93" s="20" t="s">
        <v>6621</v>
      </c>
      <c r="DA93" s="20" t="s">
        <v>6622</v>
      </c>
      <c r="DB93" s="20" t="s">
        <v>6623</v>
      </c>
      <c r="DC93" s="20" t="s">
        <v>6624</v>
      </c>
      <c r="DD93" s="20" t="s">
        <v>6625</v>
      </c>
      <c r="DE93" s="20" t="s">
        <v>6626</v>
      </c>
      <c r="DF93" s="20" t="s">
        <v>6627</v>
      </c>
      <c r="DG93" s="20" t="s">
        <v>6628</v>
      </c>
      <c r="DH93" s="20" t="s">
        <v>6629</v>
      </c>
      <c r="DI93" s="20" t="s">
        <v>6630</v>
      </c>
      <c r="DJ93" s="20" t="s">
        <v>6631</v>
      </c>
      <c r="DK93" s="20" t="s">
        <v>6632</v>
      </c>
      <c r="DL93" s="20" t="s">
        <v>6633</v>
      </c>
      <c r="DM93" s="20" t="s">
        <v>6634</v>
      </c>
      <c r="DN93" s="20" t="s">
        <v>6635</v>
      </c>
      <c r="DO93" s="20" t="s">
        <v>6636</v>
      </c>
      <c r="DP93" s="20" t="s">
        <v>6637</v>
      </c>
      <c r="DQ93" s="20" t="s">
        <v>6638</v>
      </c>
      <c r="DR93" s="20" t="s">
        <v>6639</v>
      </c>
      <c r="DS93" s="20" t="s">
        <v>6640</v>
      </c>
      <c r="DT93" s="20" t="s">
        <v>6641</v>
      </c>
      <c r="DU93" s="20" t="s">
        <v>6642</v>
      </c>
      <c r="DV93" s="20" t="s">
        <v>6643</v>
      </c>
      <c r="DW93" s="20" t="s">
        <v>6644</v>
      </c>
      <c r="DX93" s="20" t="s">
        <v>6645</v>
      </c>
      <c r="DY93" s="20" t="s">
        <v>6646</v>
      </c>
      <c r="DZ93" s="20" t="s">
        <v>6647</v>
      </c>
      <c r="EA93" s="20" t="s">
        <v>6648</v>
      </c>
      <c r="EB93" s="20" t="s">
        <v>6649</v>
      </c>
      <c r="EC93" s="20" t="s">
        <v>6650</v>
      </c>
      <c r="ED93" s="20" t="s">
        <v>6651</v>
      </c>
      <c r="EE93" s="20" t="s">
        <v>6652</v>
      </c>
      <c r="EF93" s="20" t="s">
        <v>6653</v>
      </c>
      <c r="EG93" s="20" t="s">
        <v>6654</v>
      </c>
      <c r="EH93" s="20" t="s">
        <v>6655</v>
      </c>
      <c r="EI93" s="20" t="s">
        <v>6656</v>
      </c>
      <c r="EJ93" s="20" t="s">
        <v>6657</v>
      </c>
      <c r="EK93" s="20" t="s">
        <v>6658</v>
      </c>
      <c r="EL93" s="20" t="s">
        <v>6659</v>
      </c>
    </row>
    <row r="94" spans="1:142" s="560" customFormat="1" ht="11.25" x14ac:dyDescent="0.2">
      <c r="A94" s="558" t="str">
        <f>HLOOKUP(LangChoice,Definitions_FlowLang!$C$2:$E$112,MATCH($B94,Definitions_FlowLang!$B$2:$B$112,0),FALSE)</f>
        <v>Heat output-autoproducer CHP plants</v>
      </c>
      <c r="B94" s="230" t="s">
        <v>1447</v>
      </c>
      <c r="C94" s="230"/>
      <c r="D94" s="221"/>
      <c r="E94" s="2169">
        <f t="shared" si="148"/>
        <v>0</v>
      </c>
      <c r="F94" s="2169">
        <f t="shared" si="148"/>
        <v>0</v>
      </c>
      <c r="G94" s="2169">
        <f t="shared" si="148"/>
        <v>0</v>
      </c>
      <c r="H94" s="2169">
        <f t="shared" si="148"/>
        <v>0</v>
      </c>
      <c r="I94" s="2169">
        <f t="shared" si="148"/>
        <v>0</v>
      </c>
      <c r="J94" s="2169">
        <f t="shared" si="148"/>
        <v>0</v>
      </c>
      <c r="K94" s="2169">
        <f t="shared" si="148"/>
        <v>0</v>
      </c>
      <c r="L94" s="2169">
        <f t="shared" si="148"/>
        <v>0</v>
      </c>
      <c r="M94" s="2169">
        <f t="shared" si="148"/>
        <v>0</v>
      </c>
      <c r="N94" s="2169">
        <f t="shared" si="148"/>
        <v>0</v>
      </c>
      <c r="O94" s="2169">
        <f t="shared" si="149"/>
        <v>0</v>
      </c>
      <c r="P94" s="2169">
        <f t="shared" si="149"/>
        <v>0</v>
      </c>
      <c r="Q94" s="2169">
        <f t="shared" si="149"/>
        <v>0</v>
      </c>
      <c r="R94" s="2169">
        <f t="shared" si="149"/>
        <v>0</v>
      </c>
      <c r="S94" s="2169">
        <f t="shared" si="149"/>
        <v>0</v>
      </c>
      <c r="T94" s="2169">
        <f t="shared" si="149"/>
        <v>0</v>
      </c>
      <c r="U94" s="2169">
        <f t="shared" si="149"/>
        <v>0</v>
      </c>
      <c r="V94" s="2169">
        <f t="shared" si="149"/>
        <v>0</v>
      </c>
      <c r="W94" s="2161">
        <f t="shared" si="149"/>
        <v>0</v>
      </c>
      <c r="X94" s="2161">
        <f t="shared" si="149"/>
        <v>0</v>
      </c>
      <c r="Y94" s="2161">
        <f t="shared" si="150"/>
        <v>0</v>
      </c>
      <c r="Z94" s="2161">
        <f t="shared" si="150"/>
        <v>0</v>
      </c>
      <c r="AA94" s="2161">
        <f t="shared" si="150"/>
        <v>0</v>
      </c>
      <c r="AB94" s="2161">
        <f t="shared" si="150"/>
        <v>0</v>
      </c>
      <c r="AC94" s="2161">
        <f t="shared" si="150"/>
        <v>0</v>
      </c>
      <c r="AD94" s="2161">
        <f t="shared" si="150"/>
        <v>0</v>
      </c>
      <c r="AE94" s="2161">
        <f t="shared" si="150"/>
        <v>0</v>
      </c>
      <c r="AF94" s="2161">
        <f t="shared" si="150"/>
        <v>0</v>
      </c>
      <c r="AG94" s="2161">
        <f t="shared" si="150"/>
        <v>0</v>
      </c>
      <c r="AH94" s="2161">
        <f t="shared" si="150"/>
        <v>0</v>
      </c>
      <c r="AI94" s="2161">
        <f t="shared" si="151"/>
        <v>0</v>
      </c>
      <c r="AJ94" s="2161">
        <f t="shared" si="151"/>
        <v>0</v>
      </c>
      <c r="AK94" s="2161">
        <f t="shared" si="151"/>
        <v>0</v>
      </c>
      <c r="AL94" s="2161">
        <f t="shared" si="151"/>
        <v>0</v>
      </c>
      <c r="AM94" s="2161">
        <f t="shared" si="151"/>
        <v>0</v>
      </c>
      <c r="AN94" s="2161">
        <f t="shared" si="151"/>
        <v>0</v>
      </c>
      <c r="AO94" s="2161">
        <f t="shared" si="151"/>
        <v>0</v>
      </c>
      <c r="AP94" s="2161">
        <f t="shared" si="151"/>
        <v>0</v>
      </c>
      <c r="AQ94" s="2161">
        <f t="shared" si="151"/>
        <v>0</v>
      </c>
      <c r="AR94" s="2171">
        <f t="shared" si="151"/>
        <v>0</v>
      </c>
      <c r="AS94" s="2172">
        <f t="shared" si="152"/>
        <v>0</v>
      </c>
      <c r="AT94" s="2173">
        <f t="shared" si="152"/>
        <v>0</v>
      </c>
      <c r="AU94" s="2173">
        <f t="shared" si="152"/>
        <v>0</v>
      </c>
      <c r="AV94" s="2173">
        <f t="shared" si="152"/>
        <v>0</v>
      </c>
      <c r="AW94" s="2173">
        <f t="shared" si="152"/>
        <v>0</v>
      </c>
      <c r="AX94" s="2173">
        <f t="shared" si="152"/>
        <v>0</v>
      </c>
      <c r="AY94" s="2173">
        <f t="shared" si="152"/>
        <v>0</v>
      </c>
      <c r="AZ94" s="2173">
        <f t="shared" si="152"/>
        <v>0</v>
      </c>
      <c r="BA94" s="2173">
        <f t="shared" si="152"/>
        <v>0</v>
      </c>
      <c r="BB94" s="2173">
        <f t="shared" si="152"/>
        <v>0</v>
      </c>
      <c r="BC94" s="2173">
        <f t="shared" si="152"/>
        <v>0</v>
      </c>
      <c r="BD94" s="2174">
        <f t="shared" si="152"/>
        <v>0</v>
      </c>
      <c r="BE94" s="2167">
        <f t="shared" si="152"/>
        <v>0</v>
      </c>
      <c r="BF94" s="2167">
        <f t="shared" si="156"/>
        <v>0</v>
      </c>
      <c r="BG94" s="2167">
        <f t="shared" si="153"/>
        <v>0</v>
      </c>
      <c r="BH94" s="2167">
        <f t="shared" si="153"/>
        <v>0</v>
      </c>
      <c r="BI94" s="2167">
        <f t="shared" si="153"/>
        <v>0</v>
      </c>
      <c r="BJ94" s="2167">
        <f t="shared" si="153"/>
        <v>0</v>
      </c>
      <c r="BK94" s="2167">
        <f t="shared" si="153"/>
        <v>0</v>
      </c>
      <c r="BL94" s="2167">
        <f t="shared" si="153"/>
        <v>0</v>
      </c>
      <c r="BM94" s="2167">
        <f t="shared" si="154"/>
        <v>0</v>
      </c>
      <c r="BN94" s="2167">
        <f t="shared" si="155"/>
        <v>0</v>
      </c>
      <c r="BO94" s="2167">
        <f>VLOOKUP($B94,RawData,BO$4,FALSE)</f>
        <v>0</v>
      </c>
      <c r="BP94" s="2168">
        <f t="shared" si="106"/>
        <v>0</v>
      </c>
      <c r="BQ94" s="911"/>
      <c r="CA94" s="300" t="s">
        <v>1447</v>
      </c>
      <c r="CB94" s="20" t="s">
        <v>6660</v>
      </c>
      <c r="CC94" s="20" t="s">
        <v>6661</v>
      </c>
      <c r="CD94" s="20" t="s">
        <v>6662</v>
      </c>
      <c r="CE94" s="20" t="s">
        <v>6663</v>
      </c>
      <c r="CF94" s="20" t="s">
        <v>6664</v>
      </c>
      <c r="CG94" s="20" t="s">
        <v>6665</v>
      </c>
      <c r="CH94" s="20" t="s">
        <v>6666</v>
      </c>
      <c r="CI94" s="20" t="s">
        <v>6667</v>
      </c>
      <c r="CJ94" s="20" t="s">
        <v>6668</v>
      </c>
      <c r="CK94" s="20" t="s">
        <v>6669</v>
      </c>
      <c r="CL94" s="20" t="s">
        <v>6670</v>
      </c>
      <c r="CM94" s="20" t="s">
        <v>6671</v>
      </c>
      <c r="CN94" s="20" t="s">
        <v>6672</v>
      </c>
      <c r="CO94" s="20" t="s">
        <v>6673</v>
      </c>
      <c r="CP94" s="20" t="s">
        <v>6674</v>
      </c>
      <c r="CQ94" s="20" t="s">
        <v>6675</v>
      </c>
      <c r="CR94" s="20" t="s">
        <v>6676</v>
      </c>
      <c r="CS94" s="20" t="s">
        <v>6677</v>
      </c>
      <c r="CT94" s="20" t="s">
        <v>6678</v>
      </c>
      <c r="CU94" s="20" t="s">
        <v>6679</v>
      </c>
      <c r="CV94" s="20" t="s">
        <v>6680</v>
      </c>
      <c r="CW94" s="20" t="s">
        <v>6681</v>
      </c>
      <c r="CX94" s="20" t="s">
        <v>6682</v>
      </c>
      <c r="CY94" s="20" t="s">
        <v>6683</v>
      </c>
      <c r="CZ94" s="20" t="s">
        <v>6684</v>
      </c>
      <c r="DA94" s="20" t="s">
        <v>6685</v>
      </c>
      <c r="DB94" s="20" t="s">
        <v>6686</v>
      </c>
      <c r="DC94" s="20" t="s">
        <v>6687</v>
      </c>
      <c r="DD94" s="20" t="s">
        <v>6688</v>
      </c>
      <c r="DE94" s="20" t="s">
        <v>6689</v>
      </c>
      <c r="DF94" s="20" t="s">
        <v>6690</v>
      </c>
      <c r="DG94" s="20" t="s">
        <v>6691</v>
      </c>
      <c r="DH94" s="20" t="s">
        <v>6692</v>
      </c>
      <c r="DI94" s="20" t="s">
        <v>6693</v>
      </c>
      <c r="DJ94" s="20" t="s">
        <v>6694</v>
      </c>
      <c r="DK94" s="20" t="s">
        <v>6695</v>
      </c>
      <c r="DL94" s="20" t="s">
        <v>6696</v>
      </c>
      <c r="DM94" s="20" t="s">
        <v>6697</v>
      </c>
      <c r="DN94" s="20" t="s">
        <v>6698</v>
      </c>
      <c r="DO94" s="20" t="s">
        <v>6699</v>
      </c>
      <c r="DP94" s="20" t="s">
        <v>6700</v>
      </c>
      <c r="DQ94" s="20" t="s">
        <v>6701</v>
      </c>
      <c r="DR94" s="20" t="s">
        <v>6702</v>
      </c>
      <c r="DS94" s="20" t="s">
        <v>6703</v>
      </c>
      <c r="DT94" s="20" t="s">
        <v>6704</v>
      </c>
      <c r="DU94" s="20" t="s">
        <v>6705</v>
      </c>
      <c r="DV94" s="20" t="s">
        <v>6706</v>
      </c>
      <c r="DW94" s="20" t="s">
        <v>6707</v>
      </c>
      <c r="DX94" s="20" t="s">
        <v>6708</v>
      </c>
      <c r="DY94" s="20" t="s">
        <v>6709</v>
      </c>
      <c r="DZ94" s="20" t="s">
        <v>6710</v>
      </c>
      <c r="EA94" s="20" t="s">
        <v>6711</v>
      </c>
      <c r="EB94" s="20" t="s">
        <v>6712</v>
      </c>
      <c r="EC94" s="20" t="s">
        <v>6713</v>
      </c>
      <c r="ED94" s="20" t="s">
        <v>6714</v>
      </c>
      <c r="EE94" s="20" t="s">
        <v>6715</v>
      </c>
      <c r="EF94" s="20" t="s">
        <v>6716</v>
      </c>
      <c r="EG94" s="20" t="s">
        <v>6717</v>
      </c>
      <c r="EH94" s="20" t="s">
        <v>6718</v>
      </c>
      <c r="EI94" s="20" t="s">
        <v>6719</v>
      </c>
      <c r="EJ94" s="20" t="s">
        <v>6720</v>
      </c>
      <c r="EK94" s="20" t="s">
        <v>6721</v>
      </c>
      <c r="EL94" s="20" t="s">
        <v>6722</v>
      </c>
    </row>
    <row r="95" spans="1:142" s="560" customFormat="1" ht="11.25" x14ac:dyDescent="0.2">
      <c r="A95" s="558" t="str">
        <f>HLOOKUP(LangChoice,Definitions_FlowLang!$C$2:$E$112,MATCH($B95,Definitions_FlowLang!$B$2:$B$112,0),FALSE)</f>
        <v>Heat output-main activity producer heat plant</v>
      </c>
      <c r="B95" s="230" t="s">
        <v>1450</v>
      </c>
      <c r="C95" s="230"/>
      <c r="D95" s="221"/>
      <c r="E95" s="2169">
        <f t="shared" si="148"/>
        <v>0</v>
      </c>
      <c r="F95" s="2169">
        <f t="shared" si="148"/>
        <v>0</v>
      </c>
      <c r="G95" s="2169">
        <f t="shared" si="148"/>
        <v>0</v>
      </c>
      <c r="H95" s="2169">
        <f t="shared" si="148"/>
        <v>0</v>
      </c>
      <c r="I95" s="2169">
        <f t="shared" si="148"/>
        <v>0</v>
      </c>
      <c r="J95" s="2169">
        <f t="shared" si="148"/>
        <v>0</v>
      </c>
      <c r="K95" s="2169">
        <f t="shared" si="148"/>
        <v>0</v>
      </c>
      <c r="L95" s="2169">
        <f t="shared" si="148"/>
        <v>0</v>
      </c>
      <c r="M95" s="2169">
        <f t="shared" si="148"/>
        <v>0</v>
      </c>
      <c r="N95" s="2169">
        <f t="shared" si="148"/>
        <v>0</v>
      </c>
      <c r="O95" s="2169">
        <f t="shared" si="149"/>
        <v>0</v>
      </c>
      <c r="P95" s="2169">
        <f t="shared" si="149"/>
        <v>0</v>
      </c>
      <c r="Q95" s="2169">
        <f t="shared" si="149"/>
        <v>0</v>
      </c>
      <c r="R95" s="2169">
        <f t="shared" si="149"/>
        <v>0</v>
      </c>
      <c r="S95" s="2169">
        <f t="shared" si="149"/>
        <v>0</v>
      </c>
      <c r="T95" s="2169">
        <f t="shared" si="149"/>
        <v>0</v>
      </c>
      <c r="U95" s="2169">
        <f t="shared" si="149"/>
        <v>0</v>
      </c>
      <c r="V95" s="2169">
        <f t="shared" si="149"/>
        <v>0</v>
      </c>
      <c r="W95" s="2161">
        <f t="shared" si="149"/>
        <v>0</v>
      </c>
      <c r="X95" s="2161">
        <f t="shared" si="149"/>
        <v>0</v>
      </c>
      <c r="Y95" s="2161">
        <f t="shared" si="150"/>
        <v>0</v>
      </c>
      <c r="Z95" s="2161">
        <f t="shared" si="150"/>
        <v>0</v>
      </c>
      <c r="AA95" s="2161">
        <f t="shared" si="150"/>
        <v>0</v>
      </c>
      <c r="AB95" s="2161">
        <f t="shared" si="150"/>
        <v>0</v>
      </c>
      <c r="AC95" s="2161">
        <f t="shared" si="150"/>
        <v>0</v>
      </c>
      <c r="AD95" s="2161">
        <f t="shared" si="150"/>
        <v>0</v>
      </c>
      <c r="AE95" s="2161">
        <f t="shared" si="150"/>
        <v>0</v>
      </c>
      <c r="AF95" s="2161">
        <f t="shared" si="150"/>
        <v>0</v>
      </c>
      <c r="AG95" s="2161">
        <f t="shared" si="150"/>
        <v>0</v>
      </c>
      <c r="AH95" s="2161">
        <f t="shared" si="150"/>
        <v>0</v>
      </c>
      <c r="AI95" s="2161">
        <f t="shared" si="151"/>
        <v>0</v>
      </c>
      <c r="AJ95" s="2161">
        <f t="shared" si="151"/>
        <v>0</v>
      </c>
      <c r="AK95" s="2161">
        <f t="shared" si="151"/>
        <v>0</v>
      </c>
      <c r="AL95" s="2161">
        <f t="shared" si="151"/>
        <v>0</v>
      </c>
      <c r="AM95" s="2161">
        <f t="shared" si="151"/>
        <v>0</v>
      </c>
      <c r="AN95" s="2161">
        <f t="shared" si="151"/>
        <v>0</v>
      </c>
      <c r="AO95" s="2161">
        <f t="shared" si="151"/>
        <v>0</v>
      </c>
      <c r="AP95" s="2161">
        <f t="shared" si="151"/>
        <v>0</v>
      </c>
      <c r="AQ95" s="2161">
        <f t="shared" si="151"/>
        <v>0</v>
      </c>
      <c r="AR95" s="2171">
        <f t="shared" si="151"/>
        <v>0</v>
      </c>
      <c r="AS95" s="2172">
        <f t="shared" si="152"/>
        <v>0</v>
      </c>
      <c r="AT95" s="2173">
        <f t="shared" si="152"/>
        <v>0</v>
      </c>
      <c r="AU95" s="2173">
        <f t="shared" si="152"/>
        <v>0</v>
      </c>
      <c r="AV95" s="2173">
        <f t="shared" si="152"/>
        <v>0</v>
      </c>
      <c r="AW95" s="2173">
        <f t="shared" si="152"/>
        <v>0</v>
      </c>
      <c r="AX95" s="2173">
        <f t="shared" si="152"/>
        <v>0</v>
      </c>
      <c r="AY95" s="2173">
        <f t="shared" si="152"/>
        <v>0</v>
      </c>
      <c r="AZ95" s="2173">
        <f t="shared" si="152"/>
        <v>0</v>
      </c>
      <c r="BA95" s="2173">
        <f t="shared" si="152"/>
        <v>0</v>
      </c>
      <c r="BB95" s="2173">
        <f t="shared" si="152"/>
        <v>0</v>
      </c>
      <c r="BC95" s="2173">
        <f t="shared" si="152"/>
        <v>0</v>
      </c>
      <c r="BD95" s="2174">
        <f t="shared" si="152"/>
        <v>0</v>
      </c>
      <c r="BE95" s="2167">
        <f t="shared" si="152"/>
        <v>0</v>
      </c>
      <c r="BF95" s="2167">
        <f t="shared" si="156"/>
        <v>0</v>
      </c>
      <c r="BG95" s="2167">
        <f t="shared" si="153"/>
        <v>0</v>
      </c>
      <c r="BH95" s="2167">
        <f t="shared" si="153"/>
        <v>0</v>
      </c>
      <c r="BI95" s="2167">
        <f t="shared" si="153"/>
        <v>0</v>
      </c>
      <c r="BJ95" s="2167">
        <f t="shared" si="153"/>
        <v>0</v>
      </c>
      <c r="BK95" s="2167">
        <f t="shared" si="153"/>
        <v>0</v>
      </c>
      <c r="BL95" s="2167">
        <f t="shared" si="153"/>
        <v>0</v>
      </c>
      <c r="BM95" s="2167">
        <f t="shared" si="154"/>
        <v>0</v>
      </c>
      <c r="BN95" s="2167">
        <f t="shared" si="155"/>
        <v>0</v>
      </c>
      <c r="BO95" s="2167">
        <f>VLOOKUP($B95,RawData,BO$4,FALSE)</f>
        <v>0</v>
      </c>
      <c r="BP95" s="2168">
        <f t="shared" si="106"/>
        <v>0</v>
      </c>
      <c r="BQ95" s="911"/>
      <c r="CA95" s="300" t="s">
        <v>1450</v>
      </c>
      <c r="CB95" s="20" t="s">
        <v>6723</v>
      </c>
      <c r="CC95" s="20" t="s">
        <v>6724</v>
      </c>
      <c r="CD95" s="20" t="s">
        <v>6725</v>
      </c>
      <c r="CE95" s="20" t="s">
        <v>6726</v>
      </c>
      <c r="CF95" s="20" t="s">
        <v>6727</v>
      </c>
      <c r="CG95" s="20" t="s">
        <v>6728</v>
      </c>
      <c r="CH95" s="20" t="s">
        <v>6729</v>
      </c>
      <c r="CI95" s="20" t="s">
        <v>6730</v>
      </c>
      <c r="CJ95" s="20" t="s">
        <v>6731</v>
      </c>
      <c r="CK95" s="20" t="s">
        <v>6732</v>
      </c>
      <c r="CL95" s="20" t="s">
        <v>6733</v>
      </c>
      <c r="CM95" s="20" t="s">
        <v>6734</v>
      </c>
      <c r="CN95" s="20" t="s">
        <v>6735</v>
      </c>
      <c r="CO95" s="20" t="s">
        <v>6736</v>
      </c>
      <c r="CP95" s="20" t="s">
        <v>6737</v>
      </c>
      <c r="CQ95" s="20" t="s">
        <v>6738</v>
      </c>
      <c r="CR95" s="20" t="s">
        <v>6739</v>
      </c>
      <c r="CS95" s="20" t="s">
        <v>6740</v>
      </c>
      <c r="CT95" s="20" t="s">
        <v>6741</v>
      </c>
      <c r="CU95" s="20" t="s">
        <v>6742</v>
      </c>
      <c r="CV95" s="20" t="s">
        <v>6743</v>
      </c>
      <c r="CW95" s="20" t="s">
        <v>6744</v>
      </c>
      <c r="CX95" s="20" t="s">
        <v>6745</v>
      </c>
      <c r="CY95" s="20" t="s">
        <v>6746</v>
      </c>
      <c r="CZ95" s="20" t="s">
        <v>6747</v>
      </c>
      <c r="DA95" s="20" t="s">
        <v>6748</v>
      </c>
      <c r="DB95" s="20" t="s">
        <v>6749</v>
      </c>
      <c r="DC95" s="20" t="s">
        <v>6750</v>
      </c>
      <c r="DD95" s="20" t="s">
        <v>6751</v>
      </c>
      <c r="DE95" s="20" t="s">
        <v>6752</v>
      </c>
      <c r="DF95" s="20" t="s">
        <v>6753</v>
      </c>
      <c r="DG95" s="20" t="s">
        <v>6754</v>
      </c>
      <c r="DH95" s="20" t="s">
        <v>6755</v>
      </c>
      <c r="DI95" s="20" t="s">
        <v>6756</v>
      </c>
      <c r="DJ95" s="20" t="s">
        <v>6757</v>
      </c>
      <c r="DK95" s="20" t="s">
        <v>6758</v>
      </c>
      <c r="DL95" s="20" t="s">
        <v>6759</v>
      </c>
      <c r="DM95" s="20" t="s">
        <v>6760</v>
      </c>
      <c r="DN95" s="20" t="s">
        <v>6761</v>
      </c>
      <c r="DO95" s="20" t="s">
        <v>6762</v>
      </c>
      <c r="DP95" s="20" t="s">
        <v>6763</v>
      </c>
      <c r="DQ95" s="20" t="s">
        <v>6764</v>
      </c>
      <c r="DR95" s="20" t="s">
        <v>6765</v>
      </c>
      <c r="DS95" s="20" t="s">
        <v>6766</v>
      </c>
      <c r="DT95" s="20" t="s">
        <v>6767</v>
      </c>
      <c r="DU95" s="20" t="s">
        <v>6768</v>
      </c>
      <c r="DV95" s="20" t="s">
        <v>6769</v>
      </c>
      <c r="DW95" s="20" t="s">
        <v>6770</v>
      </c>
      <c r="DX95" s="20" t="s">
        <v>6771</v>
      </c>
      <c r="DY95" s="20" t="s">
        <v>6772</v>
      </c>
      <c r="DZ95" s="20" t="s">
        <v>6773</v>
      </c>
      <c r="EA95" s="20" t="s">
        <v>6774</v>
      </c>
      <c r="EB95" s="20" t="s">
        <v>6775</v>
      </c>
      <c r="EC95" s="20" t="s">
        <v>6776</v>
      </c>
      <c r="ED95" s="20" t="s">
        <v>6777</v>
      </c>
      <c r="EE95" s="20" t="s">
        <v>6778</v>
      </c>
      <c r="EF95" s="20" t="s">
        <v>6779</v>
      </c>
      <c r="EG95" s="20" t="s">
        <v>6780</v>
      </c>
      <c r="EH95" s="20" t="s">
        <v>6781</v>
      </c>
      <c r="EI95" s="20" t="s">
        <v>6782</v>
      </c>
      <c r="EJ95" s="20" t="s">
        <v>6783</v>
      </c>
      <c r="EK95" s="20" t="s">
        <v>6784</v>
      </c>
      <c r="EL95" s="20" t="s">
        <v>6785</v>
      </c>
    </row>
    <row r="96" spans="1:142" s="560" customFormat="1" ht="11.25" x14ac:dyDescent="0.2">
      <c r="A96" s="558" t="str">
        <f>HLOOKUP(LangChoice,Definitions_FlowLang!$C$2:$E$112,MATCH($B96,Definitions_FlowLang!$B$2:$B$112,0),FALSE)</f>
        <v>Heat output-autoproducer heat plants</v>
      </c>
      <c r="B96" s="230" t="s">
        <v>1453</v>
      </c>
      <c r="C96" s="230"/>
      <c r="D96" s="221"/>
      <c r="E96" s="2169">
        <f t="shared" si="148"/>
        <v>0</v>
      </c>
      <c r="F96" s="2169">
        <f t="shared" si="148"/>
        <v>0</v>
      </c>
      <c r="G96" s="2169">
        <f t="shared" si="148"/>
        <v>0</v>
      </c>
      <c r="H96" s="2169">
        <f t="shared" si="148"/>
        <v>0</v>
      </c>
      <c r="I96" s="2169">
        <f t="shared" si="148"/>
        <v>0</v>
      </c>
      <c r="J96" s="2169">
        <f t="shared" si="148"/>
        <v>0</v>
      </c>
      <c r="K96" s="2169">
        <f t="shared" si="148"/>
        <v>0</v>
      </c>
      <c r="L96" s="2169">
        <f t="shared" si="148"/>
        <v>0</v>
      </c>
      <c r="M96" s="2169">
        <f t="shared" si="148"/>
        <v>0</v>
      </c>
      <c r="N96" s="2169">
        <f t="shared" si="148"/>
        <v>0</v>
      </c>
      <c r="O96" s="2169">
        <f t="shared" si="149"/>
        <v>0</v>
      </c>
      <c r="P96" s="2169">
        <f t="shared" si="149"/>
        <v>0</v>
      </c>
      <c r="Q96" s="2169">
        <f t="shared" si="149"/>
        <v>0</v>
      </c>
      <c r="R96" s="2169">
        <f t="shared" si="149"/>
        <v>0</v>
      </c>
      <c r="S96" s="2169">
        <f t="shared" si="149"/>
        <v>0</v>
      </c>
      <c r="T96" s="2169">
        <f t="shared" si="149"/>
        <v>0</v>
      </c>
      <c r="U96" s="2169">
        <f t="shared" si="149"/>
        <v>0</v>
      </c>
      <c r="V96" s="2169">
        <f t="shared" si="149"/>
        <v>0</v>
      </c>
      <c r="W96" s="2161">
        <f t="shared" si="149"/>
        <v>0</v>
      </c>
      <c r="X96" s="2161">
        <f t="shared" si="149"/>
        <v>0</v>
      </c>
      <c r="Y96" s="2161">
        <f t="shared" si="150"/>
        <v>0</v>
      </c>
      <c r="Z96" s="2161">
        <f t="shared" si="150"/>
        <v>0</v>
      </c>
      <c r="AA96" s="2161">
        <f t="shared" si="150"/>
        <v>0</v>
      </c>
      <c r="AB96" s="2161">
        <f t="shared" si="150"/>
        <v>0</v>
      </c>
      <c r="AC96" s="2161">
        <f t="shared" si="150"/>
        <v>0</v>
      </c>
      <c r="AD96" s="2161">
        <f t="shared" si="150"/>
        <v>0</v>
      </c>
      <c r="AE96" s="2161">
        <f t="shared" si="150"/>
        <v>0</v>
      </c>
      <c r="AF96" s="2161">
        <f t="shared" si="150"/>
        <v>0</v>
      </c>
      <c r="AG96" s="2161">
        <f t="shared" si="150"/>
        <v>0</v>
      </c>
      <c r="AH96" s="2161">
        <f t="shared" si="150"/>
        <v>0</v>
      </c>
      <c r="AI96" s="2161">
        <f t="shared" si="151"/>
        <v>0</v>
      </c>
      <c r="AJ96" s="2161">
        <f t="shared" si="151"/>
        <v>0</v>
      </c>
      <c r="AK96" s="2161">
        <f t="shared" si="151"/>
        <v>0</v>
      </c>
      <c r="AL96" s="2161">
        <f t="shared" si="151"/>
        <v>0</v>
      </c>
      <c r="AM96" s="2161">
        <f t="shared" si="151"/>
        <v>0</v>
      </c>
      <c r="AN96" s="2161">
        <f t="shared" si="151"/>
        <v>0</v>
      </c>
      <c r="AO96" s="2161">
        <f t="shared" si="151"/>
        <v>0</v>
      </c>
      <c r="AP96" s="2161">
        <f t="shared" si="151"/>
        <v>0</v>
      </c>
      <c r="AQ96" s="2161">
        <f t="shared" si="151"/>
        <v>0</v>
      </c>
      <c r="AR96" s="2171">
        <f t="shared" si="151"/>
        <v>0</v>
      </c>
      <c r="AS96" s="2172">
        <f t="shared" si="152"/>
        <v>0</v>
      </c>
      <c r="AT96" s="2173">
        <f t="shared" si="152"/>
        <v>0</v>
      </c>
      <c r="AU96" s="2173">
        <f t="shared" si="152"/>
        <v>0</v>
      </c>
      <c r="AV96" s="2173">
        <f t="shared" si="152"/>
        <v>0</v>
      </c>
      <c r="AW96" s="2173">
        <f t="shared" si="152"/>
        <v>0</v>
      </c>
      <c r="AX96" s="2173">
        <f t="shared" si="152"/>
        <v>0</v>
      </c>
      <c r="AY96" s="2173">
        <f t="shared" si="152"/>
        <v>0</v>
      </c>
      <c r="AZ96" s="2173">
        <f t="shared" si="152"/>
        <v>0</v>
      </c>
      <c r="BA96" s="2173">
        <f t="shared" si="152"/>
        <v>0</v>
      </c>
      <c r="BB96" s="2173">
        <f t="shared" si="152"/>
        <v>0</v>
      </c>
      <c r="BC96" s="2173">
        <f t="shared" si="152"/>
        <v>0</v>
      </c>
      <c r="BD96" s="2174">
        <f t="shared" si="152"/>
        <v>0</v>
      </c>
      <c r="BE96" s="2167">
        <f t="shared" si="152"/>
        <v>0</v>
      </c>
      <c r="BF96" s="2167">
        <f t="shared" si="156"/>
        <v>0</v>
      </c>
      <c r="BG96" s="2167">
        <f t="shared" si="153"/>
        <v>0</v>
      </c>
      <c r="BH96" s="2167">
        <f t="shared" si="153"/>
        <v>0</v>
      </c>
      <c r="BI96" s="2167">
        <f t="shared" si="153"/>
        <v>0</v>
      </c>
      <c r="BJ96" s="2167">
        <f t="shared" si="153"/>
        <v>0</v>
      </c>
      <c r="BK96" s="2167">
        <f t="shared" si="153"/>
        <v>0</v>
      </c>
      <c r="BL96" s="2167">
        <f t="shared" si="153"/>
        <v>0</v>
      </c>
      <c r="BM96" s="2167">
        <f t="shared" si="154"/>
        <v>0</v>
      </c>
      <c r="BN96" s="2167">
        <f t="shared" si="155"/>
        <v>0</v>
      </c>
      <c r="BO96" s="2167">
        <f>VLOOKUP($B96,RawData,BO$4,FALSE)</f>
        <v>0</v>
      </c>
      <c r="BP96" s="2196">
        <f t="shared" si="106"/>
        <v>0</v>
      </c>
      <c r="BQ96" s="911"/>
      <c r="CA96" s="300" t="s">
        <v>1453</v>
      </c>
      <c r="CB96" s="20" t="s">
        <v>6786</v>
      </c>
      <c r="CC96" s="20" t="s">
        <v>6787</v>
      </c>
      <c r="CD96" s="20" t="s">
        <v>6788</v>
      </c>
      <c r="CE96" s="20" t="s">
        <v>6789</v>
      </c>
      <c r="CF96" s="20" t="s">
        <v>6790</v>
      </c>
      <c r="CG96" s="20" t="s">
        <v>6791</v>
      </c>
      <c r="CH96" s="20" t="s">
        <v>6792</v>
      </c>
      <c r="CI96" s="20" t="s">
        <v>6793</v>
      </c>
      <c r="CJ96" s="20" t="s">
        <v>6794</v>
      </c>
      <c r="CK96" s="20" t="s">
        <v>6795</v>
      </c>
      <c r="CL96" s="20" t="s">
        <v>6796</v>
      </c>
      <c r="CM96" s="20" t="s">
        <v>6797</v>
      </c>
      <c r="CN96" s="20" t="s">
        <v>6798</v>
      </c>
      <c r="CO96" s="20" t="s">
        <v>6799</v>
      </c>
      <c r="CP96" s="20" t="s">
        <v>6800</v>
      </c>
      <c r="CQ96" s="20" t="s">
        <v>6801</v>
      </c>
      <c r="CR96" s="20" t="s">
        <v>6802</v>
      </c>
      <c r="CS96" s="20" t="s">
        <v>6803</v>
      </c>
      <c r="CT96" s="20" t="s">
        <v>6804</v>
      </c>
      <c r="CU96" s="20" t="s">
        <v>6805</v>
      </c>
      <c r="CV96" s="20" t="s">
        <v>6806</v>
      </c>
      <c r="CW96" s="20" t="s">
        <v>6807</v>
      </c>
      <c r="CX96" s="20" t="s">
        <v>6808</v>
      </c>
      <c r="CY96" s="20" t="s">
        <v>6809</v>
      </c>
      <c r="CZ96" s="20" t="s">
        <v>6810</v>
      </c>
      <c r="DA96" s="20" t="s">
        <v>6811</v>
      </c>
      <c r="DB96" s="20" t="s">
        <v>6812</v>
      </c>
      <c r="DC96" s="20" t="s">
        <v>6813</v>
      </c>
      <c r="DD96" s="20" t="s">
        <v>6814</v>
      </c>
      <c r="DE96" s="20" t="s">
        <v>6815</v>
      </c>
      <c r="DF96" s="20" t="s">
        <v>6816</v>
      </c>
      <c r="DG96" s="20" t="s">
        <v>6817</v>
      </c>
      <c r="DH96" s="20" t="s">
        <v>6818</v>
      </c>
      <c r="DI96" s="20" t="s">
        <v>6819</v>
      </c>
      <c r="DJ96" s="20" t="s">
        <v>6820</v>
      </c>
      <c r="DK96" s="20" t="s">
        <v>6821</v>
      </c>
      <c r="DL96" s="20" t="s">
        <v>6822</v>
      </c>
      <c r="DM96" s="20" t="s">
        <v>6823</v>
      </c>
      <c r="DN96" s="20" t="s">
        <v>6824</v>
      </c>
      <c r="DO96" s="20" t="s">
        <v>6825</v>
      </c>
      <c r="DP96" s="20" t="s">
        <v>6826</v>
      </c>
      <c r="DQ96" s="20" t="s">
        <v>6827</v>
      </c>
      <c r="DR96" s="20" t="s">
        <v>6828</v>
      </c>
      <c r="DS96" s="20" t="s">
        <v>6829</v>
      </c>
      <c r="DT96" s="20" t="s">
        <v>6830</v>
      </c>
      <c r="DU96" s="20" t="s">
        <v>6831</v>
      </c>
      <c r="DV96" s="20" t="s">
        <v>6832</v>
      </c>
      <c r="DW96" s="20" t="s">
        <v>6833</v>
      </c>
      <c r="DX96" s="20" t="s">
        <v>6834</v>
      </c>
      <c r="DY96" s="20" t="s">
        <v>6835</v>
      </c>
      <c r="DZ96" s="20" t="s">
        <v>6836</v>
      </c>
      <c r="EA96" s="20" t="s">
        <v>6837</v>
      </c>
      <c r="EB96" s="20" t="s">
        <v>6838</v>
      </c>
      <c r="EC96" s="20" t="s">
        <v>6839</v>
      </c>
      <c r="ED96" s="20" t="s">
        <v>6840</v>
      </c>
      <c r="EE96" s="20" t="s">
        <v>6841</v>
      </c>
      <c r="EF96" s="20" t="s">
        <v>6842</v>
      </c>
      <c r="EG96" s="20" t="s">
        <v>6843</v>
      </c>
      <c r="EH96" s="20" t="s">
        <v>6844</v>
      </c>
      <c r="EI96" s="20" t="s">
        <v>6845</v>
      </c>
      <c r="EJ96" s="20" t="s">
        <v>6846</v>
      </c>
      <c r="EK96" s="20" t="s">
        <v>6847</v>
      </c>
      <c r="EL96" s="20" t="s">
        <v>6848</v>
      </c>
    </row>
    <row r="97" spans="1:142" s="560" customFormat="1" ht="11.25" x14ac:dyDescent="0.2">
      <c r="A97" s="553" t="str">
        <f>HEATOUT</f>
        <v>Heat output in TJ</v>
      </c>
      <c r="B97" s="879" t="s">
        <v>1456</v>
      </c>
      <c r="C97" s="879"/>
      <c r="D97" s="878"/>
      <c r="E97" s="2175">
        <f t="shared" ref="E97:AJ97" si="157">SUM(E93:E96)</f>
        <v>0</v>
      </c>
      <c r="F97" s="2175">
        <f t="shared" si="157"/>
        <v>0</v>
      </c>
      <c r="G97" s="2175">
        <f t="shared" si="157"/>
        <v>0</v>
      </c>
      <c r="H97" s="2175">
        <f t="shared" si="157"/>
        <v>0</v>
      </c>
      <c r="I97" s="2175">
        <f t="shared" si="157"/>
        <v>0</v>
      </c>
      <c r="J97" s="2175">
        <f t="shared" si="157"/>
        <v>0</v>
      </c>
      <c r="K97" s="2175">
        <f t="shared" si="157"/>
        <v>0</v>
      </c>
      <c r="L97" s="2175">
        <f t="shared" si="157"/>
        <v>0</v>
      </c>
      <c r="M97" s="2175">
        <f t="shared" si="157"/>
        <v>0</v>
      </c>
      <c r="N97" s="2175">
        <f t="shared" si="157"/>
        <v>0</v>
      </c>
      <c r="O97" s="2175">
        <f t="shared" si="157"/>
        <v>0</v>
      </c>
      <c r="P97" s="2175">
        <f t="shared" si="157"/>
        <v>0</v>
      </c>
      <c r="Q97" s="2175">
        <f t="shared" si="157"/>
        <v>0</v>
      </c>
      <c r="R97" s="2175">
        <f t="shared" si="157"/>
        <v>0</v>
      </c>
      <c r="S97" s="2175">
        <f t="shared" si="157"/>
        <v>0</v>
      </c>
      <c r="T97" s="2175">
        <f t="shared" si="157"/>
        <v>0</v>
      </c>
      <c r="U97" s="2175">
        <f t="shared" si="157"/>
        <v>0</v>
      </c>
      <c r="V97" s="2175">
        <f t="shared" si="157"/>
        <v>0</v>
      </c>
      <c r="W97" s="2175">
        <f t="shared" si="157"/>
        <v>0</v>
      </c>
      <c r="X97" s="2175">
        <f t="shared" si="157"/>
        <v>0</v>
      </c>
      <c r="Y97" s="2175">
        <f t="shared" si="157"/>
        <v>0</v>
      </c>
      <c r="Z97" s="2175">
        <f t="shared" si="157"/>
        <v>0</v>
      </c>
      <c r="AA97" s="2175">
        <f t="shared" si="157"/>
        <v>0</v>
      </c>
      <c r="AB97" s="2175">
        <f t="shared" si="157"/>
        <v>0</v>
      </c>
      <c r="AC97" s="2175">
        <f t="shared" si="157"/>
        <v>0</v>
      </c>
      <c r="AD97" s="2175">
        <f t="shared" si="157"/>
        <v>0</v>
      </c>
      <c r="AE97" s="2175">
        <f t="shared" si="157"/>
        <v>0</v>
      </c>
      <c r="AF97" s="2175">
        <f t="shared" si="157"/>
        <v>0</v>
      </c>
      <c r="AG97" s="2175">
        <f t="shared" si="157"/>
        <v>0</v>
      </c>
      <c r="AH97" s="2175">
        <f t="shared" si="157"/>
        <v>0</v>
      </c>
      <c r="AI97" s="2175">
        <f t="shared" si="157"/>
        <v>0</v>
      </c>
      <c r="AJ97" s="2175">
        <f t="shared" si="157"/>
        <v>0</v>
      </c>
      <c r="AK97" s="2175">
        <f t="shared" ref="AK97:BO97" si="158">SUM(AK93:AK96)</f>
        <v>0</v>
      </c>
      <c r="AL97" s="2175">
        <f t="shared" si="158"/>
        <v>0</v>
      </c>
      <c r="AM97" s="2175">
        <f t="shared" si="158"/>
        <v>0</v>
      </c>
      <c r="AN97" s="2175">
        <f t="shared" si="158"/>
        <v>0</v>
      </c>
      <c r="AO97" s="2175">
        <f t="shared" si="158"/>
        <v>0</v>
      </c>
      <c r="AP97" s="2175">
        <f t="shared" si="158"/>
        <v>0</v>
      </c>
      <c r="AQ97" s="2175">
        <f t="shared" si="158"/>
        <v>0</v>
      </c>
      <c r="AR97" s="2176">
        <f t="shared" si="158"/>
        <v>0</v>
      </c>
      <c r="AS97" s="2177">
        <f t="shared" si="158"/>
        <v>0</v>
      </c>
      <c r="AT97" s="2175">
        <f t="shared" si="158"/>
        <v>0</v>
      </c>
      <c r="AU97" s="2175">
        <f t="shared" si="158"/>
        <v>0</v>
      </c>
      <c r="AV97" s="2175">
        <f t="shared" si="158"/>
        <v>0</v>
      </c>
      <c r="AW97" s="2175">
        <f t="shared" si="158"/>
        <v>0</v>
      </c>
      <c r="AX97" s="2175">
        <f t="shared" si="158"/>
        <v>0</v>
      </c>
      <c r="AY97" s="2175">
        <f t="shared" si="158"/>
        <v>0</v>
      </c>
      <c r="AZ97" s="2175">
        <f t="shared" si="158"/>
        <v>0</v>
      </c>
      <c r="BA97" s="2175">
        <f t="shared" si="158"/>
        <v>0</v>
      </c>
      <c r="BB97" s="2175">
        <f t="shared" si="158"/>
        <v>0</v>
      </c>
      <c r="BC97" s="2175">
        <f t="shared" si="158"/>
        <v>0</v>
      </c>
      <c r="BD97" s="2176">
        <f t="shared" si="158"/>
        <v>0</v>
      </c>
      <c r="BE97" s="2175">
        <f t="shared" si="158"/>
        <v>0</v>
      </c>
      <c r="BF97" s="2175">
        <f t="shared" si="158"/>
        <v>0</v>
      </c>
      <c r="BG97" s="2175">
        <f t="shared" si="158"/>
        <v>0</v>
      </c>
      <c r="BH97" s="2175">
        <f t="shared" si="158"/>
        <v>0</v>
      </c>
      <c r="BI97" s="2175">
        <f t="shared" si="158"/>
        <v>0</v>
      </c>
      <c r="BJ97" s="2175">
        <f t="shared" si="158"/>
        <v>0</v>
      </c>
      <c r="BK97" s="2175">
        <f t="shared" si="158"/>
        <v>0</v>
      </c>
      <c r="BL97" s="2175">
        <f t="shared" si="158"/>
        <v>0</v>
      </c>
      <c r="BM97" s="2175">
        <f t="shared" si="158"/>
        <v>0</v>
      </c>
      <c r="BN97" s="2175">
        <f t="shared" si="158"/>
        <v>0</v>
      </c>
      <c r="BO97" s="2175">
        <f t="shared" si="158"/>
        <v>0</v>
      </c>
      <c r="BP97" s="2198">
        <f t="shared" si="106"/>
        <v>0</v>
      </c>
      <c r="BQ97" s="911"/>
      <c r="CA97" s="300" t="s">
        <v>1456</v>
      </c>
      <c r="CB97" s="20" t="s">
        <v>6849</v>
      </c>
      <c r="CC97" s="20" t="s">
        <v>6850</v>
      </c>
      <c r="CD97" s="20" t="s">
        <v>6851</v>
      </c>
      <c r="CE97" s="20" t="s">
        <v>6852</v>
      </c>
      <c r="CF97" s="20" t="s">
        <v>6853</v>
      </c>
      <c r="CG97" s="20" t="s">
        <v>6854</v>
      </c>
      <c r="CH97" s="20" t="s">
        <v>6855</v>
      </c>
      <c r="CI97" s="20" t="s">
        <v>6856</v>
      </c>
      <c r="CJ97" s="20" t="s">
        <v>6857</v>
      </c>
      <c r="CK97" s="20" t="s">
        <v>6858</v>
      </c>
      <c r="CL97" s="20" t="s">
        <v>6859</v>
      </c>
      <c r="CM97" s="20" t="s">
        <v>6860</v>
      </c>
      <c r="CN97" s="20" t="s">
        <v>6861</v>
      </c>
      <c r="CO97" s="20" t="s">
        <v>6862</v>
      </c>
      <c r="CP97" s="20" t="s">
        <v>6863</v>
      </c>
      <c r="CQ97" s="20" t="s">
        <v>6864</v>
      </c>
      <c r="CR97" s="20" t="s">
        <v>6865</v>
      </c>
      <c r="CS97" s="20" t="s">
        <v>6866</v>
      </c>
      <c r="CT97" s="20" t="s">
        <v>6867</v>
      </c>
      <c r="CU97" s="20" t="s">
        <v>6868</v>
      </c>
      <c r="CV97" s="20" t="s">
        <v>6869</v>
      </c>
      <c r="CW97" s="20" t="s">
        <v>6870</v>
      </c>
      <c r="CX97" s="20" t="s">
        <v>6871</v>
      </c>
      <c r="CY97" s="20" t="s">
        <v>6872</v>
      </c>
      <c r="CZ97" s="20" t="s">
        <v>6873</v>
      </c>
      <c r="DA97" s="20" t="s">
        <v>6874</v>
      </c>
      <c r="DB97" s="20" t="s">
        <v>6875</v>
      </c>
      <c r="DC97" s="20" t="s">
        <v>6876</v>
      </c>
      <c r="DD97" s="20" t="s">
        <v>6877</v>
      </c>
      <c r="DE97" s="20" t="s">
        <v>6878</v>
      </c>
      <c r="DF97" s="20" t="s">
        <v>6879</v>
      </c>
      <c r="DG97" s="20" t="s">
        <v>6880</v>
      </c>
      <c r="DH97" s="20" t="s">
        <v>6881</v>
      </c>
      <c r="DI97" s="20" t="s">
        <v>6882</v>
      </c>
      <c r="DJ97" s="20" t="s">
        <v>6883</v>
      </c>
      <c r="DK97" s="20" t="s">
        <v>6884</v>
      </c>
      <c r="DL97" s="20" t="s">
        <v>6885</v>
      </c>
      <c r="DM97" s="20" t="s">
        <v>6886</v>
      </c>
      <c r="DN97" s="20" t="s">
        <v>6887</v>
      </c>
      <c r="DO97" s="20" t="s">
        <v>6888</v>
      </c>
      <c r="DP97" s="20" t="s">
        <v>6889</v>
      </c>
      <c r="DQ97" s="20" t="s">
        <v>6890</v>
      </c>
      <c r="DR97" s="20" t="s">
        <v>6891</v>
      </c>
      <c r="DS97" s="20" t="s">
        <v>6892</v>
      </c>
      <c r="DT97" s="20" t="s">
        <v>6893</v>
      </c>
      <c r="DU97" s="20" t="s">
        <v>6894</v>
      </c>
      <c r="DV97" s="20" t="s">
        <v>6895</v>
      </c>
      <c r="DW97" s="20" t="s">
        <v>6896</v>
      </c>
      <c r="DX97" s="20" t="s">
        <v>6897</v>
      </c>
      <c r="DY97" s="20" t="s">
        <v>6898</v>
      </c>
      <c r="DZ97" s="20" t="s">
        <v>6899</v>
      </c>
      <c r="EA97" s="20" t="s">
        <v>6900</v>
      </c>
      <c r="EB97" s="20" t="s">
        <v>6901</v>
      </c>
      <c r="EC97" s="20" t="s">
        <v>6902</v>
      </c>
      <c r="ED97" s="20" t="s">
        <v>6903</v>
      </c>
      <c r="EE97" s="20" t="s">
        <v>6904</v>
      </c>
      <c r="EF97" s="20" t="s">
        <v>6905</v>
      </c>
      <c r="EG97" s="20" t="s">
        <v>6906</v>
      </c>
      <c r="EH97" s="20" t="s">
        <v>6907</v>
      </c>
      <c r="EI97" s="20" t="s">
        <v>6908</v>
      </c>
      <c r="EJ97" s="20" t="s">
        <v>6909</v>
      </c>
      <c r="EK97" s="20" t="s">
        <v>6910</v>
      </c>
      <c r="EL97" s="20" t="s">
        <v>6911</v>
      </c>
    </row>
    <row r="98" spans="1:142" s="560" customFormat="1" ht="11.25" x14ac:dyDescent="0.2">
      <c r="A98" s="908" t="str">
        <f>HLOOKUP(LangChoice,Definitions_FlowLang!$C$2:$E$112,MATCH($B98,Definitions_FlowLang!$B$2:$B$112,0),FALSE)</f>
        <v>Memo: gas vented</v>
      </c>
      <c r="B98" s="230" t="s">
        <v>1471</v>
      </c>
      <c r="C98" s="870"/>
      <c r="D98" s="870"/>
      <c r="E98" s="2199"/>
      <c r="F98" s="2199"/>
      <c r="G98" s="2199"/>
      <c r="H98" s="2199"/>
      <c r="I98" s="2199"/>
      <c r="J98" s="2199"/>
      <c r="K98" s="2199"/>
      <c r="L98" s="2199"/>
      <c r="M98" s="2199"/>
      <c r="N98" s="2199"/>
      <c r="O98" s="2199"/>
      <c r="P98" s="2199"/>
      <c r="Q98" s="2199"/>
      <c r="R98" s="2199"/>
      <c r="S98" s="2199"/>
      <c r="T98" s="2199"/>
      <c r="U98" s="2199"/>
      <c r="V98" s="2199"/>
      <c r="W98" s="2199"/>
      <c r="X98" s="2199"/>
      <c r="Y98" s="2199"/>
      <c r="Z98" s="2199"/>
      <c r="AA98" s="2199"/>
      <c r="AB98" s="2199"/>
      <c r="AC98" s="2199"/>
      <c r="AD98" s="2199"/>
      <c r="AE98" s="2199"/>
      <c r="AF98" s="2199"/>
      <c r="AG98" s="2199"/>
      <c r="AH98" s="2199"/>
      <c r="AI98" s="2199"/>
      <c r="AJ98" s="2199"/>
      <c r="AK98" s="2199"/>
      <c r="AL98" s="2199"/>
      <c r="AM98" s="2199"/>
      <c r="AN98" s="2199"/>
      <c r="AO98" s="2199"/>
      <c r="AP98" s="2199"/>
      <c r="AQ98" s="2199"/>
      <c r="AR98" s="2200"/>
      <c r="AS98" s="2201">
        <f ca="1">VLOOKUP($B98,RawData,AS$4,FALSE)*VLOOKUP(AS$3,ConversionFactors,2,FALSE)*1</f>
        <v>0</v>
      </c>
      <c r="AT98" s="2199"/>
      <c r="AU98" s="2199"/>
      <c r="AV98" s="2199"/>
      <c r="AW98" s="2199"/>
      <c r="AX98" s="2199"/>
      <c r="AY98" s="2199"/>
      <c r="AZ98" s="2199"/>
      <c r="BA98" s="2199"/>
      <c r="BB98" s="2199"/>
      <c r="BC98" s="2199"/>
      <c r="BD98" s="2200"/>
      <c r="BE98" s="2199"/>
      <c r="BF98" s="2199"/>
      <c r="BG98" s="2199"/>
      <c r="BH98" s="2199"/>
      <c r="BI98" s="2199"/>
      <c r="BJ98" s="2199"/>
      <c r="BK98" s="2199"/>
      <c r="BL98" s="2199"/>
      <c r="BM98" s="2199"/>
      <c r="BN98" s="2199"/>
      <c r="BO98" s="2199"/>
      <c r="BP98" s="2202"/>
      <c r="BQ98" s="911"/>
      <c r="CA98" s="300" t="s">
        <v>1471</v>
      </c>
    </row>
    <row r="99" spans="1:142" s="560" customFormat="1" ht="11.25" x14ac:dyDescent="0.2">
      <c r="A99" s="908" t="str">
        <f>HLOOKUP(LangChoice,Definitions_FlowLang!$C$2:$E$112,MATCH($B99,Definitions_FlowLang!$B$2:$B$112,0),FALSE)</f>
        <v>Memo: gas flared</v>
      </c>
      <c r="B99" s="306" t="s">
        <v>1475</v>
      </c>
      <c r="C99" s="871"/>
      <c r="D99" s="871"/>
      <c r="E99" s="2203"/>
      <c r="F99" s="2203"/>
      <c r="G99" s="2203"/>
      <c r="H99" s="2203"/>
      <c r="I99" s="2203"/>
      <c r="J99" s="2203"/>
      <c r="K99" s="2203"/>
      <c r="L99" s="2203"/>
      <c r="M99" s="2203"/>
      <c r="N99" s="2203"/>
      <c r="O99" s="2203"/>
      <c r="P99" s="2203"/>
      <c r="Q99" s="2203"/>
      <c r="R99" s="2203"/>
      <c r="S99" s="2203"/>
      <c r="T99" s="2203"/>
      <c r="U99" s="2203"/>
      <c r="V99" s="2203"/>
      <c r="W99" s="2203"/>
      <c r="X99" s="2203"/>
      <c r="Y99" s="2203"/>
      <c r="Z99" s="2203"/>
      <c r="AA99" s="2203"/>
      <c r="AB99" s="2203"/>
      <c r="AC99" s="2203"/>
      <c r="AD99" s="2203"/>
      <c r="AE99" s="2203"/>
      <c r="AF99" s="2203"/>
      <c r="AG99" s="2203"/>
      <c r="AH99" s="2203"/>
      <c r="AI99" s="2203"/>
      <c r="AJ99" s="2203"/>
      <c r="AK99" s="2203"/>
      <c r="AL99" s="2203"/>
      <c r="AM99" s="2203"/>
      <c r="AN99" s="2203"/>
      <c r="AO99" s="2203"/>
      <c r="AP99" s="2203"/>
      <c r="AQ99" s="2203"/>
      <c r="AR99" s="2204"/>
      <c r="AS99" s="2205">
        <f ca="1">VLOOKUP($B99,RawData,AS$4,FALSE)*VLOOKUP(AS$3,ConversionFactors,2,FALSE)*1</f>
        <v>0</v>
      </c>
      <c r="AT99" s="2203"/>
      <c r="AU99" s="2203"/>
      <c r="AV99" s="2203"/>
      <c r="AW99" s="2203"/>
      <c r="AX99" s="2203"/>
      <c r="AY99" s="2203"/>
      <c r="AZ99" s="2203"/>
      <c r="BA99" s="2203"/>
      <c r="BB99" s="2203"/>
      <c r="BC99" s="2203"/>
      <c r="BD99" s="2204"/>
      <c r="BE99" s="2203"/>
      <c r="BF99" s="2203"/>
      <c r="BG99" s="2203"/>
      <c r="BH99" s="2203"/>
      <c r="BI99" s="2203"/>
      <c r="BJ99" s="2203"/>
      <c r="BK99" s="2203"/>
      <c r="BL99" s="2203"/>
      <c r="BM99" s="2203"/>
      <c r="BN99" s="2203"/>
      <c r="BO99" s="2203"/>
      <c r="BP99" s="2206"/>
      <c r="BQ99" s="911"/>
      <c r="CA99" s="300" t="s">
        <v>1475</v>
      </c>
    </row>
    <row r="100" spans="1:142" s="560" customFormat="1" ht="11.25" x14ac:dyDescent="0.2">
      <c r="A100" s="553" t="str">
        <f>HLOOKUP(LangChoice,Definitions_ProdLang!$M$2:$P$30,6)</f>
        <v>Efficiencies</v>
      </c>
      <c r="B100" s="879"/>
      <c r="C100" s="879"/>
      <c r="D100" s="878"/>
      <c r="E100" s="2207"/>
      <c r="F100" s="2207"/>
      <c r="G100" s="2207"/>
      <c r="H100" s="2207"/>
      <c r="I100" s="2207"/>
      <c r="J100" s="2207"/>
      <c r="K100" s="2207"/>
      <c r="L100" s="2207"/>
      <c r="M100" s="2207"/>
      <c r="N100" s="2207"/>
      <c r="O100" s="2207"/>
      <c r="P100" s="2207"/>
      <c r="Q100" s="2207"/>
      <c r="R100" s="2207"/>
      <c r="S100" s="2207"/>
      <c r="T100" s="2207"/>
      <c r="U100" s="2207"/>
      <c r="V100" s="2207"/>
      <c r="W100" s="2207"/>
      <c r="X100" s="2207"/>
      <c r="Y100" s="2207"/>
      <c r="Z100" s="2207"/>
      <c r="AA100" s="2207"/>
      <c r="AB100" s="2207"/>
      <c r="AC100" s="2207"/>
      <c r="AD100" s="2207"/>
      <c r="AE100" s="2207"/>
      <c r="AF100" s="2207"/>
      <c r="AG100" s="2207"/>
      <c r="AH100" s="2207"/>
      <c r="AI100" s="2207"/>
      <c r="AJ100" s="2207"/>
      <c r="AK100" s="2207"/>
      <c r="AL100" s="2207"/>
      <c r="AM100" s="2207"/>
      <c r="AN100" s="2207"/>
      <c r="AO100" s="2207"/>
      <c r="AP100" s="2207"/>
      <c r="AQ100" s="2207"/>
      <c r="AR100" s="2208"/>
      <c r="AS100" s="2209"/>
      <c r="AT100" s="2207"/>
      <c r="AU100" s="2207"/>
      <c r="AV100" s="2207"/>
      <c r="AW100" s="2207"/>
      <c r="AX100" s="2207"/>
      <c r="AY100" s="2207"/>
      <c r="AZ100" s="2207"/>
      <c r="BA100" s="2207"/>
      <c r="BB100" s="2207"/>
      <c r="BC100" s="2207"/>
      <c r="BD100" s="2208"/>
      <c r="BE100" s="2207"/>
      <c r="BF100" s="2207"/>
      <c r="BG100" s="2207"/>
      <c r="BH100" s="2207"/>
      <c r="BI100" s="2207"/>
      <c r="BJ100" s="2207"/>
      <c r="BK100" s="2207"/>
      <c r="BL100" s="2207"/>
      <c r="BM100" s="2207"/>
      <c r="BN100" s="2207"/>
      <c r="BO100" s="2207"/>
      <c r="BP100" s="2210"/>
      <c r="BQ100" s="911"/>
    </row>
    <row r="101" spans="1:142" s="20" customFormat="1" ht="11.25" x14ac:dyDescent="0.2">
      <c r="A101" s="564" t="str">
        <f t="shared" ref="A101:A106" si="159">A15</f>
        <v>Main activity electricity plants</v>
      </c>
      <c r="E101" s="2211" t="str">
        <f t="shared" ref="E101:T101" ca="1" si="160">IF(E15&lt;&gt;0,ABS((E89*3.6)/E15),"-")</f>
        <v>-</v>
      </c>
      <c r="F101" s="2211" t="str">
        <f t="shared" ca="1" si="160"/>
        <v>-</v>
      </c>
      <c r="G101" s="2211">
        <f t="shared" ca="1" si="160"/>
        <v>0.29741429649028994</v>
      </c>
      <c r="H101" s="2211" t="str">
        <f t="shared" ca="1" si="160"/>
        <v>-</v>
      </c>
      <c r="I101" s="2211" t="str">
        <f t="shared" ca="1" si="160"/>
        <v>-</v>
      </c>
      <c r="J101" s="2211" t="str">
        <f t="shared" ca="1" si="160"/>
        <v>-</v>
      </c>
      <c r="K101" s="2211" t="str">
        <f t="shared" ca="1" si="160"/>
        <v>-</v>
      </c>
      <c r="L101" s="2211" t="str">
        <f t="shared" ca="1" si="160"/>
        <v>-</v>
      </c>
      <c r="M101" s="2211" t="str">
        <f t="shared" ca="1" si="160"/>
        <v>-</v>
      </c>
      <c r="N101" s="2211" t="str">
        <f t="shared" ca="1" si="160"/>
        <v>-</v>
      </c>
      <c r="O101" s="2211" t="str">
        <f t="shared" ca="1" si="160"/>
        <v>-</v>
      </c>
      <c r="P101" s="2211" t="str">
        <f t="shared" ca="1" si="160"/>
        <v>-</v>
      </c>
      <c r="Q101" s="2211" t="str">
        <f t="shared" ca="1" si="160"/>
        <v>-</v>
      </c>
      <c r="R101" s="2211" t="str">
        <f t="shared" ca="1" si="160"/>
        <v>-</v>
      </c>
      <c r="S101" s="2211" t="str">
        <f t="shared" si="160"/>
        <v>-</v>
      </c>
      <c r="T101" s="2211" t="str">
        <f t="shared" ca="1" si="160"/>
        <v>-</v>
      </c>
      <c r="U101" s="2211"/>
      <c r="V101" s="2211"/>
      <c r="W101" s="2211" t="str">
        <f t="shared" ref="W101:AY101" ca="1" si="161">IF(W15&lt;&gt;0,ABS((W89*3.6)/W15),"-")</f>
        <v>-</v>
      </c>
      <c r="X101" s="2211" t="str">
        <f t="shared" ca="1" si="161"/>
        <v>-</v>
      </c>
      <c r="Y101" s="2211" t="str">
        <f t="shared" ca="1" si="161"/>
        <v>-</v>
      </c>
      <c r="Z101" s="2211" t="str">
        <f t="shared" ca="1" si="161"/>
        <v>-</v>
      </c>
      <c r="AA101" s="2211" t="str">
        <f t="shared" ca="1" si="161"/>
        <v>-</v>
      </c>
      <c r="AB101" s="2211" t="str">
        <f t="shared" ca="1" si="161"/>
        <v>-</v>
      </c>
      <c r="AC101" s="2211" t="str">
        <f t="shared" ca="1" si="161"/>
        <v>-</v>
      </c>
      <c r="AD101" s="2211" t="str">
        <f t="shared" ca="1" si="161"/>
        <v>-</v>
      </c>
      <c r="AE101" s="2211" t="str">
        <f t="shared" ca="1" si="161"/>
        <v>-</v>
      </c>
      <c r="AF101" s="2211" t="str">
        <f t="shared" ca="1" si="161"/>
        <v>-</v>
      </c>
      <c r="AG101" s="2211" t="str">
        <f t="shared" ca="1" si="161"/>
        <v>-</v>
      </c>
      <c r="AH101" s="2211" t="str">
        <f t="shared" ca="1" si="161"/>
        <v>-</v>
      </c>
      <c r="AI101" s="2211" t="str">
        <f t="shared" ca="1" si="161"/>
        <v>-</v>
      </c>
      <c r="AJ101" s="2211" t="str">
        <f t="shared" ca="1" si="161"/>
        <v>-</v>
      </c>
      <c r="AK101" s="2211" t="str">
        <f t="shared" ca="1" si="161"/>
        <v>-</v>
      </c>
      <c r="AL101" s="2211" t="str">
        <f t="shared" ca="1" si="161"/>
        <v>-</v>
      </c>
      <c r="AM101" s="2211" t="str">
        <f t="shared" ca="1" si="161"/>
        <v>-</v>
      </c>
      <c r="AN101" s="2211" t="str">
        <f t="shared" ca="1" si="161"/>
        <v>-</v>
      </c>
      <c r="AO101" s="2211" t="str">
        <f t="shared" ca="1" si="161"/>
        <v>-</v>
      </c>
      <c r="AP101" s="2211" t="str">
        <f t="shared" ca="1" si="161"/>
        <v>-</v>
      </c>
      <c r="AQ101" s="2211" t="str">
        <f t="shared" ca="1" si="161"/>
        <v>-</v>
      </c>
      <c r="AR101" s="2211" t="str">
        <f t="shared" ca="1" si="161"/>
        <v>-</v>
      </c>
      <c r="AS101" s="2211" t="str">
        <f t="shared" ca="1" si="161"/>
        <v>-</v>
      </c>
      <c r="AT101" s="2211" t="str">
        <f t="shared" si="161"/>
        <v>-</v>
      </c>
      <c r="AU101" s="2211" t="str">
        <f t="shared" si="161"/>
        <v>-</v>
      </c>
      <c r="AV101" s="2211" t="str">
        <f t="shared" si="161"/>
        <v>-</v>
      </c>
      <c r="AW101" s="2211" t="str">
        <f t="shared" si="161"/>
        <v>-</v>
      </c>
      <c r="AX101" s="2211" t="str">
        <f t="shared" si="161"/>
        <v>-</v>
      </c>
      <c r="AY101" s="2211" t="str">
        <f t="shared" ca="1" si="161"/>
        <v>-</v>
      </c>
      <c r="AZ101" s="2211"/>
      <c r="BA101" s="2211" t="str">
        <f t="shared" ref="BA101:BL101" ca="1" si="162">IF(BA15&lt;&gt;0,ABS((BA89*3.6)/BA15),"-")</f>
        <v>-</v>
      </c>
      <c r="BB101" s="2211" t="str">
        <f t="shared" ca="1" si="162"/>
        <v>-</v>
      </c>
      <c r="BC101" s="2211" t="str">
        <f t="shared" si="162"/>
        <v>-</v>
      </c>
      <c r="BD101" s="2211" t="str">
        <f t="shared" ca="1" si="162"/>
        <v>-</v>
      </c>
      <c r="BE101" s="2211">
        <f t="shared" si="162"/>
        <v>0.33</v>
      </c>
      <c r="BF101" s="2211">
        <f t="shared" si="162"/>
        <v>1</v>
      </c>
      <c r="BG101" s="2211" t="str">
        <f t="shared" si="162"/>
        <v>-</v>
      </c>
      <c r="BH101" s="2211" t="str">
        <f t="shared" si="162"/>
        <v>-</v>
      </c>
      <c r="BI101" s="2211" t="str">
        <f t="shared" si="162"/>
        <v>-</v>
      </c>
      <c r="BJ101" s="2211" t="str">
        <f t="shared" si="162"/>
        <v>-</v>
      </c>
      <c r="BK101" s="2211">
        <f t="shared" si="162"/>
        <v>1</v>
      </c>
      <c r="BL101" s="2211" t="str">
        <f t="shared" si="162"/>
        <v>-</v>
      </c>
      <c r="BM101" s="2212"/>
      <c r="BN101" s="2212"/>
      <c r="BO101" s="2212"/>
      <c r="BP101" s="2213"/>
      <c r="BQ101" s="648"/>
    </row>
    <row r="102" spans="1:142" s="20" customFormat="1" ht="11.25" x14ac:dyDescent="0.2">
      <c r="A102" s="564" t="str">
        <f t="shared" si="159"/>
        <v>Autoproducer electricity plants</v>
      </c>
      <c r="E102" s="2211" t="str">
        <f t="shared" ref="E102:T102" ca="1" si="163">IF(E16&lt;&gt;0,ABS((E90*3.6)/E16),"-")</f>
        <v>-</v>
      </c>
      <c r="F102" s="2211" t="str">
        <f t="shared" ca="1" si="163"/>
        <v>-</v>
      </c>
      <c r="G102" s="2211">
        <f t="shared" ca="1" si="163"/>
        <v>3.4800155164312523</v>
      </c>
      <c r="H102" s="2211" t="str">
        <f t="shared" ca="1" si="163"/>
        <v>-</v>
      </c>
      <c r="I102" s="2211" t="str">
        <f t="shared" ca="1" si="163"/>
        <v>-</v>
      </c>
      <c r="J102" s="2211" t="str">
        <f t="shared" ca="1" si="163"/>
        <v>-</v>
      </c>
      <c r="K102" s="2211" t="str">
        <f t="shared" ca="1" si="163"/>
        <v>-</v>
      </c>
      <c r="L102" s="2211" t="str">
        <f t="shared" ca="1" si="163"/>
        <v>-</v>
      </c>
      <c r="M102" s="2211" t="str">
        <f t="shared" ca="1" si="163"/>
        <v>-</v>
      </c>
      <c r="N102" s="2211" t="str">
        <f t="shared" ca="1" si="163"/>
        <v>-</v>
      </c>
      <c r="O102" s="2211" t="str">
        <f t="shared" ca="1" si="163"/>
        <v>-</v>
      </c>
      <c r="P102" s="2211" t="str">
        <f t="shared" ca="1" si="163"/>
        <v>-</v>
      </c>
      <c r="Q102" s="2211" t="str">
        <f t="shared" ca="1" si="163"/>
        <v>-</v>
      </c>
      <c r="R102" s="2211" t="str">
        <f t="shared" ca="1" si="163"/>
        <v>-</v>
      </c>
      <c r="S102" s="2211" t="str">
        <f t="shared" si="163"/>
        <v>-</v>
      </c>
      <c r="T102" s="2211" t="str">
        <f t="shared" ca="1" si="163"/>
        <v>-</v>
      </c>
      <c r="U102" s="2211"/>
      <c r="V102" s="2211"/>
      <c r="W102" s="2211" t="str">
        <f t="shared" ref="W102:AY102" ca="1" si="164">IF(W16&lt;&gt;0,ABS((W90*3.6)/W16),"-")</f>
        <v>-</v>
      </c>
      <c r="X102" s="2211" t="str">
        <f t="shared" ca="1" si="164"/>
        <v>-</v>
      </c>
      <c r="Y102" s="2211" t="str">
        <f t="shared" ca="1" si="164"/>
        <v>-</v>
      </c>
      <c r="Z102" s="2211" t="str">
        <f t="shared" ca="1" si="164"/>
        <v>-</v>
      </c>
      <c r="AA102" s="2211" t="str">
        <f t="shared" ca="1" si="164"/>
        <v>-</v>
      </c>
      <c r="AB102" s="2211" t="str">
        <f t="shared" ca="1" si="164"/>
        <v>-</v>
      </c>
      <c r="AC102" s="2211" t="str">
        <f t="shared" ca="1" si="164"/>
        <v>-</v>
      </c>
      <c r="AD102" s="2211" t="str">
        <f t="shared" ca="1" si="164"/>
        <v>-</v>
      </c>
      <c r="AE102" s="2211" t="str">
        <f t="shared" ca="1" si="164"/>
        <v>-</v>
      </c>
      <c r="AF102" s="2211" t="str">
        <f t="shared" ca="1" si="164"/>
        <v>-</v>
      </c>
      <c r="AG102" s="2211" t="str">
        <f t="shared" ca="1" si="164"/>
        <v>-</v>
      </c>
      <c r="AH102" s="2211" t="str">
        <f t="shared" ca="1" si="164"/>
        <v>-</v>
      </c>
      <c r="AI102" s="2211" t="str">
        <f t="shared" ca="1" si="164"/>
        <v>-</v>
      </c>
      <c r="AJ102" s="2211" t="str">
        <f t="shared" ca="1" si="164"/>
        <v>-</v>
      </c>
      <c r="AK102" s="2211" t="str">
        <f t="shared" ca="1" si="164"/>
        <v>-</v>
      </c>
      <c r="AL102" s="2211" t="str">
        <f t="shared" ca="1" si="164"/>
        <v>-</v>
      </c>
      <c r="AM102" s="2211" t="str">
        <f t="shared" ca="1" si="164"/>
        <v>-</v>
      </c>
      <c r="AN102" s="2211" t="str">
        <f t="shared" ca="1" si="164"/>
        <v>-</v>
      </c>
      <c r="AO102" s="2211" t="str">
        <f t="shared" ca="1" si="164"/>
        <v>-</v>
      </c>
      <c r="AP102" s="2211" t="str">
        <f t="shared" ca="1" si="164"/>
        <v>-</v>
      </c>
      <c r="AQ102" s="2211" t="str">
        <f t="shared" ca="1" si="164"/>
        <v>-</v>
      </c>
      <c r="AR102" s="2211" t="str">
        <f t="shared" ca="1" si="164"/>
        <v>-</v>
      </c>
      <c r="AS102" s="2211" t="str">
        <f t="shared" ca="1" si="164"/>
        <v>-</v>
      </c>
      <c r="AT102" s="2211" t="str">
        <f t="shared" si="164"/>
        <v>-</v>
      </c>
      <c r="AU102" s="2211" t="str">
        <f t="shared" si="164"/>
        <v>-</v>
      </c>
      <c r="AV102" s="2211" t="str">
        <f t="shared" si="164"/>
        <v>-</v>
      </c>
      <c r="AW102" s="2211">
        <f t="shared" si="164"/>
        <v>0.25903646154669968</v>
      </c>
      <c r="AX102" s="2211" t="str">
        <f t="shared" si="164"/>
        <v>-</v>
      </c>
      <c r="AY102" s="2211" t="str">
        <f t="shared" ca="1" si="164"/>
        <v>-</v>
      </c>
      <c r="AZ102" s="2211"/>
      <c r="BA102" s="2211" t="str">
        <f t="shared" ref="BA102:BL102" ca="1" si="165">IF(BA16&lt;&gt;0,ABS((BA90*3.6)/BA16),"-")</f>
        <v>-</v>
      </c>
      <c r="BB102" s="2211" t="str">
        <f t="shared" ca="1" si="165"/>
        <v>-</v>
      </c>
      <c r="BC102" s="2211" t="str">
        <f t="shared" si="165"/>
        <v>-</v>
      </c>
      <c r="BD102" s="2211" t="str">
        <f t="shared" ca="1" si="165"/>
        <v>-</v>
      </c>
      <c r="BE102" s="2211" t="str">
        <f t="shared" si="165"/>
        <v>-</v>
      </c>
      <c r="BF102" s="2211">
        <f t="shared" si="165"/>
        <v>1</v>
      </c>
      <c r="BG102" s="2211" t="str">
        <f t="shared" si="165"/>
        <v>-</v>
      </c>
      <c r="BH102" s="2211">
        <f t="shared" si="165"/>
        <v>1</v>
      </c>
      <c r="BI102" s="2211" t="str">
        <f t="shared" si="165"/>
        <v>-</v>
      </c>
      <c r="BJ102" s="2211" t="str">
        <f t="shared" si="165"/>
        <v>-</v>
      </c>
      <c r="BK102" s="2211">
        <f t="shared" si="165"/>
        <v>1</v>
      </c>
      <c r="BL102" s="2211" t="str">
        <f t="shared" si="165"/>
        <v>-</v>
      </c>
      <c r="BM102" s="2212"/>
      <c r="BN102" s="2212"/>
      <c r="BO102" s="2212"/>
      <c r="BP102" s="2213"/>
      <c r="BQ102" s="648"/>
    </row>
    <row r="103" spans="1:142" s="20" customFormat="1" ht="11.25" x14ac:dyDescent="0.2">
      <c r="A103" s="564" t="str">
        <f t="shared" si="159"/>
        <v>Main activity producer CHP plants</v>
      </c>
      <c r="E103" s="2211" t="str">
        <f t="shared" ref="E103:T103" ca="1" si="166">IF(E17&lt;&gt;0,ABS(((E93*1)+(E91*3.6))/E17),"-")</f>
        <v>-</v>
      </c>
      <c r="F103" s="2211" t="str">
        <f t="shared" ca="1" si="166"/>
        <v>-</v>
      </c>
      <c r="G103" s="2211" t="str">
        <f t="shared" ca="1" si="166"/>
        <v>-</v>
      </c>
      <c r="H103" s="2211" t="str">
        <f t="shared" ca="1" si="166"/>
        <v>-</v>
      </c>
      <c r="I103" s="2211" t="str">
        <f t="shared" ca="1" si="166"/>
        <v>-</v>
      </c>
      <c r="J103" s="2211" t="str">
        <f t="shared" ca="1" si="166"/>
        <v>-</v>
      </c>
      <c r="K103" s="2211" t="str">
        <f t="shared" ca="1" si="166"/>
        <v>-</v>
      </c>
      <c r="L103" s="2211" t="str">
        <f t="shared" ca="1" si="166"/>
        <v>-</v>
      </c>
      <c r="M103" s="2211" t="str">
        <f t="shared" ca="1" si="166"/>
        <v>-</v>
      </c>
      <c r="N103" s="2211" t="str">
        <f t="shared" ca="1" si="166"/>
        <v>-</v>
      </c>
      <c r="O103" s="2211" t="str">
        <f t="shared" ca="1" si="166"/>
        <v>-</v>
      </c>
      <c r="P103" s="2211" t="str">
        <f t="shared" ca="1" si="166"/>
        <v>-</v>
      </c>
      <c r="Q103" s="2211" t="str">
        <f t="shared" ca="1" si="166"/>
        <v>-</v>
      </c>
      <c r="R103" s="2211" t="str">
        <f t="shared" ca="1" si="166"/>
        <v>-</v>
      </c>
      <c r="S103" s="2211" t="str">
        <f t="shared" si="166"/>
        <v>-</v>
      </c>
      <c r="T103" s="2211" t="str">
        <f t="shared" ca="1" si="166"/>
        <v>-</v>
      </c>
      <c r="U103" s="2211"/>
      <c r="V103" s="2211"/>
      <c r="W103" s="2211" t="str">
        <f t="shared" ref="W103:AY103" ca="1" si="167">IF(W17&lt;&gt;0,ABS(((W93*1)+(W91*3.6))/W17),"-")</f>
        <v>-</v>
      </c>
      <c r="X103" s="2211" t="str">
        <f t="shared" ca="1" si="167"/>
        <v>-</v>
      </c>
      <c r="Y103" s="2211" t="str">
        <f t="shared" ca="1" si="167"/>
        <v>-</v>
      </c>
      <c r="Z103" s="2211" t="str">
        <f t="shared" ca="1" si="167"/>
        <v>-</v>
      </c>
      <c r="AA103" s="2211" t="str">
        <f t="shared" ca="1" si="167"/>
        <v>-</v>
      </c>
      <c r="AB103" s="2211" t="str">
        <f t="shared" ca="1" si="167"/>
        <v>-</v>
      </c>
      <c r="AC103" s="2211" t="str">
        <f t="shared" ca="1" si="167"/>
        <v>-</v>
      </c>
      <c r="AD103" s="2211" t="str">
        <f t="shared" ca="1" si="167"/>
        <v>-</v>
      </c>
      <c r="AE103" s="2211" t="str">
        <f t="shared" ca="1" si="167"/>
        <v>-</v>
      </c>
      <c r="AF103" s="2211" t="str">
        <f t="shared" ca="1" si="167"/>
        <v>-</v>
      </c>
      <c r="AG103" s="2211" t="str">
        <f t="shared" ca="1" si="167"/>
        <v>-</v>
      </c>
      <c r="AH103" s="2211" t="str">
        <f t="shared" ca="1" si="167"/>
        <v>-</v>
      </c>
      <c r="AI103" s="2211" t="str">
        <f t="shared" ca="1" si="167"/>
        <v>-</v>
      </c>
      <c r="AJ103" s="2211" t="str">
        <f t="shared" ca="1" si="167"/>
        <v>-</v>
      </c>
      <c r="AK103" s="2211" t="str">
        <f t="shared" ca="1" si="167"/>
        <v>-</v>
      </c>
      <c r="AL103" s="2211" t="str">
        <f t="shared" ca="1" si="167"/>
        <v>-</v>
      </c>
      <c r="AM103" s="2211" t="str">
        <f t="shared" ca="1" si="167"/>
        <v>-</v>
      </c>
      <c r="AN103" s="2211" t="str">
        <f t="shared" ca="1" si="167"/>
        <v>-</v>
      </c>
      <c r="AO103" s="2211" t="str">
        <f t="shared" ca="1" si="167"/>
        <v>-</v>
      </c>
      <c r="AP103" s="2211" t="str">
        <f t="shared" ca="1" si="167"/>
        <v>-</v>
      </c>
      <c r="AQ103" s="2211" t="str">
        <f t="shared" ca="1" si="167"/>
        <v>-</v>
      </c>
      <c r="AR103" s="2211" t="str">
        <f t="shared" ca="1" si="167"/>
        <v>-</v>
      </c>
      <c r="AS103" s="2211" t="str">
        <f t="shared" ca="1" si="167"/>
        <v>-</v>
      </c>
      <c r="AT103" s="2211" t="str">
        <f t="shared" si="167"/>
        <v>-</v>
      </c>
      <c r="AU103" s="2211" t="str">
        <f t="shared" si="167"/>
        <v>-</v>
      </c>
      <c r="AV103" s="2211" t="str">
        <f t="shared" si="167"/>
        <v>-</v>
      </c>
      <c r="AW103" s="2211" t="str">
        <f t="shared" si="167"/>
        <v>-</v>
      </c>
      <c r="AX103" s="2211" t="str">
        <f t="shared" si="167"/>
        <v>-</v>
      </c>
      <c r="AY103" s="2211" t="str">
        <f t="shared" ca="1" si="167"/>
        <v>-</v>
      </c>
      <c r="AZ103" s="2211"/>
      <c r="BA103" s="2211" t="str">
        <f t="shared" ref="BA103:BL103" ca="1" si="168">IF(BA17&lt;&gt;0,ABS(((BA93*1)+(BA91*3.6))/BA17),"-")</f>
        <v>-</v>
      </c>
      <c r="BB103" s="2211" t="str">
        <f t="shared" ca="1" si="168"/>
        <v>-</v>
      </c>
      <c r="BC103" s="2211" t="str">
        <f t="shared" si="168"/>
        <v>-</v>
      </c>
      <c r="BD103" s="2211" t="str">
        <f t="shared" ca="1" si="168"/>
        <v>-</v>
      </c>
      <c r="BE103" s="2211" t="str">
        <f t="shared" si="168"/>
        <v>-</v>
      </c>
      <c r="BF103" s="2211" t="str">
        <f t="shared" si="168"/>
        <v>-</v>
      </c>
      <c r="BG103" s="2211" t="str">
        <f t="shared" si="168"/>
        <v>-</v>
      </c>
      <c r="BH103" s="2211" t="str">
        <f t="shared" si="168"/>
        <v>-</v>
      </c>
      <c r="BI103" s="2211" t="str">
        <f t="shared" si="168"/>
        <v>-</v>
      </c>
      <c r="BJ103" s="2211" t="str">
        <f t="shared" si="168"/>
        <v>-</v>
      </c>
      <c r="BK103" s="2211" t="str">
        <f t="shared" si="168"/>
        <v>-</v>
      </c>
      <c r="BL103" s="2211" t="str">
        <f t="shared" si="168"/>
        <v>-</v>
      </c>
      <c r="BM103" s="2212"/>
      <c r="BN103" s="2212"/>
      <c r="BO103" s="2212"/>
      <c r="BP103" s="2213"/>
      <c r="BQ103" s="648"/>
    </row>
    <row r="104" spans="1:142" s="20" customFormat="1" ht="11.25" x14ac:dyDescent="0.2">
      <c r="A104" s="564" t="str">
        <f t="shared" si="159"/>
        <v>Autoproducer CHP plants</v>
      </c>
      <c r="E104" s="2211" t="str">
        <f t="shared" ref="E104:T104" ca="1" si="169">IF(E18&lt;&gt;0,ABS(((E94*1)+(E92*3.6))/E18),"-")</f>
        <v>-</v>
      </c>
      <c r="F104" s="2211" t="str">
        <f t="shared" ca="1" si="169"/>
        <v>-</v>
      </c>
      <c r="G104" s="2211" t="str">
        <f t="shared" ca="1" si="169"/>
        <v>-</v>
      </c>
      <c r="H104" s="2211" t="str">
        <f t="shared" ca="1" si="169"/>
        <v>-</v>
      </c>
      <c r="I104" s="2211" t="str">
        <f t="shared" ca="1" si="169"/>
        <v>-</v>
      </c>
      <c r="J104" s="2211" t="str">
        <f t="shared" ca="1" si="169"/>
        <v>-</v>
      </c>
      <c r="K104" s="2211" t="str">
        <f t="shared" ca="1" si="169"/>
        <v>-</v>
      </c>
      <c r="L104" s="2211" t="str">
        <f t="shared" ca="1" si="169"/>
        <v>-</v>
      </c>
      <c r="M104" s="2211" t="str">
        <f t="shared" ca="1" si="169"/>
        <v>-</v>
      </c>
      <c r="N104" s="2211" t="str">
        <f t="shared" ca="1" si="169"/>
        <v>-</v>
      </c>
      <c r="O104" s="2211" t="str">
        <f t="shared" ca="1" si="169"/>
        <v>-</v>
      </c>
      <c r="P104" s="2211" t="str">
        <f t="shared" ca="1" si="169"/>
        <v>-</v>
      </c>
      <c r="Q104" s="2211" t="str">
        <f t="shared" ca="1" si="169"/>
        <v>-</v>
      </c>
      <c r="R104" s="2211" t="str">
        <f t="shared" ca="1" si="169"/>
        <v>-</v>
      </c>
      <c r="S104" s="2211" t="str">
        <f t="shared" si="169"/>
        <v>-</v>
      </c>
      <c r="T104" s="2211" t="str">
        <f t="shared" ca="1" si="169"/>
        <v>-</v>
      </c>
      <c r="U104" s="2211"/>
      <c r="V104" s="2211"/>
      <c r="W104" s="2211" t="str">
        <f t="shared" ref="W104:AY104" ca="1" si="170">IF(W18&lt;&gt;0,ABS(((W94*1)+(W92*3.6))/W18),"-")</f>
        <v>-</v>
      </c>
      <c r="X104" s="2211" t="str">
        <f t="shared" ca="1" si="170"/>
        <v>-</v>
      </c>
      <c r="Y104" s="2211" t="str">
        <f t="shared" ca="1" si="170"/>
        <v>-</v>
      </c>
      <c r="Z104" s="2211" t="str">
        <f t="shared" ca="1" si="170"/>
        <v>-</v>
      </c>
      <c r="AA104" s="2211" t="str">
        <f t="shared" ca="1" si="170"/>
        <v>-</v>
      </c>
      <c r="AB104" s="2211" t="str">
        <f t="shared" ca="1" si="170"/>
        <v>-</v>
      </c>
      <c r="AC104" s="2211" t="str">
        <f t="shared" ca="1" si="170"/>
        <v>-</v>
      </c>
      <c r="AD104" s="2211" t="str">
        <f t="shared" ca="1" si="170"/>
        <v>-</v>
      </c>
      <c r="AE104" s="2211" t="str">
        <f t="shared" ca="1" si="170"/>
        <v>-</v>
      </c>
      <c r="AF104" s="2211" t="str">
        <f t="shared" ca="1" si="170"/>
        <v>-</v>
      </c>
      <c r="AG104" s="2211" t="str">
        <f t="shared" ca="1" si="170"/>
        <v>-</v>
      </c>
      <c r="AH104" s="2211" t="str">
        <f t="shared" ca="1" si="170"/>
        <v>-</v>
      </c>
      <c r="AI104" s="2211" t="str">
        <f t="shared" ca="1" si="170"/>
        <v>-</v>
      </c>
      <c r="AJ104" s="2211" t="str">
        <f t="shared" ca="1" si="170"/>
        <v>-</v>
      </c>
      <c r="AK104" s="2211" t="str">
        <f t="shared" ca="1" si="170"/>
        <v>-</v>
      </c>
      <c r="AL104" s="2211" t="str">
        <f t="shared" ca="1" si="170"/>
        <v>-</v>
      </c>
      <c r="AM104" s="2211" t="str">
        <f t="shared" ca="1" si="170"/>
        <v>-</v>
      </c>
      <c r="AN104" s="2211" t="str">
        <f t="shared" ca="1" si="170"/>
        <v>-</v>
      </c>
      <c r="AO104" s="2211" t="str">
        <f t="shared" ca="1" si="170"/>
        <v>-</v>
      </c>
      <c r="AP104" s="2211" t="str">
        <f t="shared" ca="1" si="170"/>
        <v>-</v>
      </c>
      <c r="AQ104" s="2211" t="str">
        <f t="shared" ca="1" si="170"/>
        <v>-</v>
      </c>
      <c r="AR104" s="2211" t="str">
        <f t="shared" ca="1" si="170"/>
        <v>-</v>
      </c>
      <c r="AS104" s="2211" t="str">
        <f t="shared" ca="1" si="170"/>
        <v>-</v>
      </c>
      <c r="AT104" s="2211" t="str">
        <f t="shared" si="170"/>
        <v>-</v>
      </c>
      <c r="AU104" s="2211" t="str">
        <f t="shared" si="170"/>
        <v>-</v>
      </c>
      <c r="AV104" s="2211" t="str">
        <f t="shared" si="170"/>
        <v>-</v>
      </c>
      <c r="AW104" s="2211" t="str">
        <f t="shared" si="170"/>
        <v>-</v>
      </c>
      <c r="AX104" s="2211" t="str">
        <f t="shared" si="170"/>
        <v>-</v>
      </c>
      <c r="AY104" s="2211" t="str">
        <f t="shared" ca="1" si="170"/>
        <v>-</v>
      </c>
      <c r="AZ104" s="2211"/>
      <c r="BA104" s="2211" t="str">
        <f t="shared" ref="BA104:BL104" ca="1" si="171">IF(BA18&lt;&gt;0,ABS(((BA94*1)+(BA92*3.6))/BA18),"-")</f>
        <v>-</v>
      </c>
      <c r="BB104" s="2211" t="str">
        <f t="shared" ca="1" si="171"/>
        <v>-</v>
      </c>
      <c r="BC104" s="2211" t="str">
        <f t="shared" si="171"/>
        <v>-</v>
      </c>
      <c r="BD104" s="2211" t="str">
        <f t="shared" ca="1" si="171"/>
        <v>-</v>
      </c>
      <c r="BE104" s="2211" t="str">
        <f t="shared" si="171"/>
        <v>-</v>
      </c>
      <c r="BF104" s="2211" t="str">
        <f t="shared" si="171"/>
        <v>-</v>
      </c>
      <c r="BG104" s="2211" t="str">
        <f t="shared" si="171"/>
        <v>-</v>
      </c>
      <c r="BH104" s="2211" t="str">
        <f t="shared" si="171"/>
        <v>-</v>
      </c>
      <c r="BI104" s="2211" t="str">
        <f t="shared" si="171"/>
        <v>-</v>
      </c>
      <c r="BJ104" s="2211" t="str">
        <f t="shared" si="171"/>
        <v>-</v>
      </c>
      <c r="BK104" s="2211" t="str">
        <f t="shared" si="171"/>
        <v>-</v>
      </c>
      <c r="BL104" s="2211" t="str">
        <f t="shared" si="171"/>
        <v>-</v>
      </c>
      <c r="BM104" s="2212"/>
      <c r="BN104" s="2212"/>
      <c r="BO104" s="2212"/>
      <c r="BP104" s="2213"/>
      <c r="BQ104" s="648"/>
    </row>
    <row r="105" spans="1:142" s="20" customFormat="1" ht="11.25" x14ac:dyDescent="0.2">
      <c r="A105" s="564" t="str">
        <f t="shared" si="159"/>
        <v>Main activity producer heat plants</v>
      </c>
      <c r="E105" s="2211" t="str">
        <f t="shared" ref="E105:T105" ca="1" si="172">IF(E19&lt;&gt;0,ABS((E95*1)/E19),"-")</f>
        <v>-</v>
      </c>
      <c r="F105" s="2211" t="str">
        <f t="shared" ca="1" si="172"/>
        <v>-</v>
      </c>
      <c r="G105" s="2211" t="str">
        <f t="shared" ca="1" si="172"/>
        <v>-</v>
      </c>
      <c r="H105" s="2211" t="str">
        <f t="shared" ca="1" si="172"/>
        <v>-</v>
      </c>
      <c r="I105" s="2211" t="str">
        <f t="shared" ca="1" si="172"/>
        <v>-</v>
      </c>
      <c r="J105" s="2211" t="str">
        <f t="shared" ca="1" si="172"/>
        <v>-</v>
      </c>
      <c r="K105" s="2211" t="str">
        <f t="shared" ca="1" si="172"/>
        <v>-</v>
      </c>
      <c r="L105" s="2211" t="str">
        <f t="shared" ca="1" si="172"/>
        <v>-</v>
      </c>
      <c r="M105" s="2211" t="str">
        <f t="shared" ca="1" si="172"/>
        <v>-</v>
      </c>
      <c r="N105" s="2211" t="str">
        <f t="shared" ca="1" si="172"/>
        <v>-</v>
      </c>
      <c r="O105" s="2211" t="str">
        <f t="shared" ca="1" si="172"/>
        <v>-</v>
      </c>
      <c r="P105" s="2211" t="str">
        <f t="shared" ca="1" si="172"/>
        <v>-</v>
      </c>
      <c r="Q105" s="2211" t="str">
        <f t="shared" ca="1" si="172"/>
        <v>-</v>
      </c>
      <c r="R105" s="2211" t="str">
        <f t="shared" ca="1" si="172"/>
        <v>-</v>
      </c>
      <c r="S105" s="2211" t="str">
        <f t="shared" si="172"/>
        <v>-</v>
      </c>
      <c r="T105" s="2211" t="str">
        <f t="shared" ca="1" si="172"/>
        <v>-</v>
      </c>
      <c r="U105" s="2211"/>
      <c r="V105" s="2211"/>
      <c r="W105" s="2211" t="str">
        <f t="shared" ref="W105:AY105" ca="1" si="173">IF(W19&lt;&gt;0,ABS((W95*1)/W19),"-")</f>
        <v>-</v>
      </c>
      <c r="X105" s="2211" t="str">
        <f t="shared" ca="1" si="173"/>
        <v>-</v>
      </c>
      <c r="Y105" s="2211" t="str">
        <f t="shared" ca="1" si="173"/>
        <v>-</v>
      </c>
      <c r="Z105" s="2211" t="str">
        <f t="shared" ca="1" si="173"/>
        <v>-</v>
      </c>
      <c r="AA105" s="2211" t="str">
        <f t="shared" ca="1" si="173"/>
        <v>-</v>
      </c>
      <c r="AB105" s="2211" t="str">
        <f t="shared" ca="1" si="173"/>
        <v>-</v>
      </c>
      <c r="AC105" s="2211" t="str">
        <f t="shared" ca="1" si="173"/>
        <v>-</v>
      </c>
      <c r="AD105" s="2211" t="str">
        <f t="shared" ca="1" si="173"/>
        <v>-</v>
      </c>
      <c r="AE105" s="2211" t="str">
        <f t="shared" ca="1" si="173"/>
        <v>-</v>
      </c>
      <c r="AF105" s="2211" t="str">
        <f t="shared" ca="1" si="173"/>
        <v>-</v>
      </c>
      <c r="AG105" s="2211" t="str">
        <f t="shared" ca="1" si="173"/>
        <v>-</v>
      </c>
      <c r="AH105" s="2211" t="str">
        <f t="shared" ca="1" si="173"/>
        <v>-</v>
      </c>
      <c r="AI105" s="2211" t="str">
        <f t="shared" ca="1" si="173"/>
        <v>-</v>
      </c>
      <c r="AJ105" s="2211" t="str">
        <f t="shared" ca="1" si="173"/>
        <v>-</v>
      </c>
      <c r="AK105" s="2211" t="str">
        <f t="shared" ca="1" si="173"/>
        <v>-</v>
      </c>
      <c r="AL105" s="2211" t="str">
        <f t="shared" ca="1" si="173"/>
        <v>-</v>
      </c>
      <c r="AM105" s="2211" t="str">
        <f t="shared" ca="1" si="173"/>
        <v>-</v>
      </c>
      <c r="AN105" s="2211" t="str">
        <f t="shared" ca="1" si="173"/>
        <v>-</v>
      </c>
      <c r="AO105" s="2211" t="str">
        <f t="shared" ca="1" si="173"/>
        <v>-</v>
      </c>
      <c r="AP105" s="2211" t="str">
        <f t="shared" ca="1" si="173"/>
        <v>-</v>
      </c>
      <c r="AQ105" s="2211" t="str">
        <f t="shared" ca="1" si="173"/>
        <v>-</v>
      </c>
      <c r="AR105" s="2211" t="str">
        <f t="shared" ca="1" si="173"/>
        <v>-</v>
      </c>
      <c r="AS105" s="2211" t="str">
        <f t="shared" ca="1" si="173"/>
        <v>-</v>
      </c>
      <c r="AT105" s="2211" t="str">
        <f t="shared" si="173"/>
        <v>-</v>
      </c>
      <c r="AU105" s="2211" t="str">
        <f t="shared" si="173"/>
        <v>-</v>
      </c>
      <c r="AV105" s="2211" t="str">
        <f t="shared" si="173"/>
        <v>-</v>
      </c>
      <c r="AW105" s="2211" t="str">
        <f t="shared" si="173"/>
        <v>-</v>
      </c>
      <c r="AX105" s="2211" t="str">
        <f t="shared" si="173"/>
        <v>-</v>
      </c>
      <c r="AY105" s="2211" t="str">
        <f t="shared" ca="1" si="173"/>
        <v>-</v>
      </c>
      <c r="AZ105" s="2211"/>
      <c r="BA105" s="2211" t="str">
        <f t="shared" ref="BA105:BL105" ca="1" si="174">IF(BA19&lt;&gt;0,ABS((BA95*1)/BA19),"-")</f>
        <v>-</v>
      </c>
      <c r="BB105" s="2211" t="str">
        <f t="shared" ca="1" si="174"/>
        <v>-</v>
      </c>
      <c r="BC105" s="2211" t="str">
        <f t="shared" si="174"/>
        <v>-</v>
      </c>
      <c r="BD105" s="2211" t="str">
        <f t="shared" ca="1" si="174"/>
        <v>-</v>
      </c>
      <c r="BE105" s="2211" t="str">
        <f t="shared" si="174"/>
        <v>-</v>
      </c>
      <c r="BF105" s="2211" t="str">
        <f t="shared" si="174"/>
        <v>-</v>
      </c>
      <c r="BG105" s="2211" t="str">
        <f t="shared" si="174"/>
        <v>-</v>
      </c>
      <c r="BH105" s="2211" t="str">
        <f t="shared" si="174"/>
        <v>-</v>
      </c>
      <c r="BI105" s="2211" t="str">
        <f t="shared" si="174"/>
        <v>-</v>
      </c>
      <c r="BJ105" s="2211" t="str">
        <f t="shared" si="174"/>
        <v>-</v>
      </c>
      <c r="BK105" s="2211" t="str">
        <f t="shared" si="174"/>
        <v>-</v>
      </c>
      <c r="BL105" s="2211" t="str">
        <f t="shared" si="174"/>
        <v>-</v>
      </c>
      <c r="BM105" s="2212"/>
      <c r="BN105" s="2212"/>
      <c r="BO105" s="2212"/>
      <c r="BP105" s="2213"/>
      <c r="BQ105" s="648"/>
    </row>
    <row r="106" spans="1:142" s="20" customFormat="1" ht="11.25" x14ac:dyDescent="0.2">
      <c r="A106" s="566" t="str">
        <f t="shared" si="159"/>
        <v>Autoproducer heat plants</v>
      </c>
      <c r="B106" s="32"/>
      <c r="C106" s="32"/>
      <c r="D106" s="32"/>
      <c r="E106" s="2214" t="str">
        <f t="shared" ref="E106:T106" ca="1" si="175">IF(E20&lt;&gt;0,ABS((E96*1)/E20),"-")</f>
        <v>-</v>
      </c>
      <c r="F106" s="2214" t="str">
        <f t="shared" ca="1" si="175"/>
        <v>-</v>
      </c>
      <c r="G106" s="2214" t="str">
        <f t="shared" ca="1" si="175"/>
        <v>-</v>
      </c>
      <c r="H106" s="2214" t="str">
        <f t="shared" ca="1" si="175"/>
        <v>-</v>
      </c>
      <c r="I106" s="2214" t="str">
        <f t="shared" ca="1" si="175"/>
        <v>-</v>
      </c>
      <c r="J106" s="2214" t="str">
        <f t="shared" ca="1" si="175"/>
        <v>-</v>
      </c>
      <c r="K106" s="2214" t="str">
        <f t="shared" ca="1" si="175"/>
        <v>-</v>
      </c>
      <c r="L106" s="2214" t="str">
        <f t="shared" ca="1" si="175"/>
        <v>-</v>
      </c>
      <c r="M106" s="2214" t="str">
        <f t="shared" ca="1" si="175"/>
        <v>-</v>
      </c>
      <c r="N106" s="2214" t="str">
        <f t="shared" ca="1" si="175"/>
        <v>-</v>
      </c>
      <c r="O106" s="2214" t="str">
        <f t="shared" ca="1" si="175"/>
        <v>-</v>
      </c>
      <c r="P106" s="2214" t="str">
        <f t="shared" ca="1" si="175"/>
        <v>-</v>
      </c>
      <c r="Q106" s="2214" t="str">
        <f t="shared" ca="1" si="175"/>
        <v>-</v>
      </c>
      <c r="R106" s="2214" t="str">
        <f t="shared" ca="1" si="175"/>
        <v>-</v>
      </c>
      <c r="S106" s="2214" t="str">
        <f t="shared" si="175"/>
        <v>-</v>
      </c>
      <c r="T106" s="2214" t="str">
        <f t="shared" ca="1" si="175"/>
        <v>-</v>
      </c>
      <c r="U106" s="2214"/>
      <c r="V106" s="2214"/>
      <c r="W106" s="2214" t="str">
        <f t="shared" ref="W106:AY106" ca="1" si="176">IF(W20&lt;&gt;0,ABS((W96*1)/W20),"-")</f>
        <v>-</v>
      </c>
      <c r="X106" s="2214" t="str">
        <f t="shared" ca="1" si="176"/>
        <v>-</v>
      </c>
      <c r="Y106" s="2214" t="str">
        <f t="shared" ca="1" si="176"/>
        <v>-</v>
      </c>
      <c r="Z106" s="2214" t="str">
        <f t="shared" ca="1" si="176"/>
        <v>-</v>
      </c>
      <c r="AA106" s="2214" t="str">
        <f t="shared" ca="1" si="176"/>
        <v>-</v>
      </c>
      <c r="AB106" s="2214" t="str">
        <f t="shared" ca="1" si="176"/>
        <v>-</v>
      </c>
      <c r="AC106" s="2214" t="str">
        <f t="shared" ca="1" si="176"/>
        <v>-</v>
      </c>
      <c r="AD106" s="2214" t="str">
        <f t="shared" ca="1" si="176"/>
        <v>-</v>
      </c>
      <c r="AE106" s="2214" t="str">
        <f t="shared" ca="1" si="176"/>
        <v>-</v>
      </c>
      <c r="AF106" s="2214" t="str">
        <f t="shared" ca="1" si="176"/>
        <v>-</v>
      </c>
      <c r="AG106" s="2214" t="str">
        <f t="shared" ca="1" si="176"/>
        <v>-</v>
      </c>
      <c r="AH106" s="2214" t="str">
        <f t="shared" ca="1" si="176"/>
        <v>-</v>
      </c>
      <c r="AI106" s="2214" t="str">
        <f t="shared" ca="1" si="176"/>
        <v>-</v>
      </c>
      <c r="AJ106" s="2214" t="str">
        <f t="shared" ca="1" si="176"/>
        <v>-</v>
      </c>
      <c r="AK106" s="2214" t="str">
        <f t="shared" ca="1" si="176"/>
        <v>-</v>
      </c>
      <c r="AL106" s="2214" t="str">
        <f t="shared" ca="1" si="176"/>
        <v>-</v>
      </c>
      <c r="AM106" s="2214" t="str">
        <f t="shared" ca="1" si="176"/>
        <v>-</v>
      </c>
      <c r="AN106" s="2214" t="str">
        <f t="shared" ca="1" si="176"/>
        <v>-</v>
      </c>
      <c r="AO106" s="2214" t="str">
        <f t="shared" ca="1" si="176"/>
        <v>-</v>
      </c>
      <c r="AP106" s="2214" t="str">
        <f t="shared" ca="1" si="176"/>
        <v>-</v>
      </c>
      <c r="AQ106" s="2214" t="str">
        <f t="shared" ca="1" si="176"/>
        <v>-</v>
      </c>
      <c r="AR106" s="2214" t="str">
        <f t="shared" ca="1" si="176"/>
        <v>-</v>
      </c>
      <c r="AS106" s="2214" t="str">
        <f t="shared" ca="1" si="176"/>
        <v>-</v>
      </c>
      <c r="AT106" s="2214" t="str">
        <f t="shared" si="176"/>
        <v>-</v>
      </c>
      <c r="AU106" s="2214" t="str">
        <f t="shared" si="176"/>
        <v>-</v>
      </c>
      <c r="AV106" s="2214" t="str">
        <f t="shared" si="176"/>
        <v>-</v>
      </c>
      <c r="AW106" s="2214" t="str">
        <f t="shared" si="176"/>
        <v>-</v>
      </c>
      <c r="AX106" s="2214" t="str">
        <f t="shared" si="176"/>
        <v>-</v>
      </c>
      <c r="AY106" s="2214" t="str">
        <f t="shared" ca="1" si="176"/>
        <v>-</v>
      </c>
      <c r="AZ106" s="2214"/>
      <c r="BA106" s="2214" t="str">
        <f t="shared" ref="BA106:BL106" ca="1" si="177">IF(BA20&lt;&gt;0,ABS((BA96*1)/BA20),"-")</f>
        <v>-</v>
      </c>
      <c r="BB106" s="2214" t="str">
        <f t="shared" ca="1" si="177"/>
        <v>-</v>
      </c>
      <c r="BC106" s="2214" t="str">
        <f t="shared" si="177"/>
        <v>-</v>
      </c>
      <c r="BD106" s="2214" t="str">
        <f t="shared" ca="1" si="177"/>
        <v>-</v>
      </c>
      <c r="BE106" s="2214" t="str">
        <f t="shared" si="177"/>
        <v>-</v>
      </c>
      <c r="BF106" s="2214" t="str">
        <f t="shared" si="177"/>
        <v>-</v>
      </c>
      <c r="BG106" s="2214" t="str">
        <f t="shared" si="177"/>
        <v>-</v>
      </c>
      <c r="BH106" s="2214" t="str">
        <f t="shared" si="177"/>
        <v>-</v>
      </c>
      <c r="BI106" s="2214" t="str">
        <f t="shared" si="177"/>
        <v>-</v>
      </c>
      <c r="BJ106" s="2214" t="str">
        <f t="shared" si="177"/>
        <v>-</v>
      </c>
      <c r="BK106" s="2214" t="str">
        <f t="shared" si="177"/>
        <v>-</v>
      </c>
      <c r="BL106" s="2214" t="str">
        <f t="shared" si="177"/>
        <v>-</v>
      </c>
      <c r="BM106" s="2215"/>
      <c r="BN106" s="2215"/>
      <c r="BO106" s="2215"/>
      <c r="BP106" s="2216"/>
      <c r="BQ106" s="648"/>
    </row>
  </sheetData>
  <phoneticPr fontId="9" type="noConversion"/>
  <conditionalFormatting sqref="E101:BL106">
    <cfRule type="expression" dxfId="32" priority="3" stopIfTrue="1">
      <formula>AND(ISNUMBER(E101),E101&gt;1)</formula>
    </cfRule>
  </conditionalFormatting>
  <conditionalFormatting sqref="W5">
    <cfRule type="expression" dxfId="31" priority="1">
      <formula>W5&lt;0</formula>
    </cfRule>
  </conditionalFormatting>
  <hyperlinks>
    <hyperlink ref="BM2" location="ELECTR" display="ELECTR" xr:uid="{00000000-0004-0000-0900-000000000000}"/>
    <hyperlink ref="BN2" location="HEAT" display="HEAT" xr:uid="{00000000-0004-0000-0900-000001000000}"/>
    <hyperlink ref="G2" location="BITCOAL" display="Other Bituminous Coal (kt)" xr:uid="{00000000-0004-0000-0900-000002000000}"/>
    <hyperlink ref="H2" location="SUBCOAL" display="Sub-Bituminous Coal (kt)" xr:uid="{00000000-0004-0000-0900-000003000000}"/>
    <hyperlink ref="I2" location="LIGNITE" display="Lignite/Brown Coal (kt)" xr:uid="{00000000-0004-0000-0900-000004000000}"/>
    <hyperlink ref="T2" location="PEAT" display="Peat (kt)" xr:uid="{00000000-0004-0000-0900-000005000000}"/>
    <hyperlink ref="J2" location="PATFUEL" display="Patent Fuel (kt)" xr:uid="{00000000-0004-0000-0900-000006000000}"/>
    <hyperlink ref="K2" location="OVENCOKE" display="Coke Oven Coke (kt)" xr:uid="{00000000-0004-0000-0900-000007000000}"/>
    <hyperlink ref="L2" location="GASCOKE" display="Gas Coke (kt)" xr:uid="{00000000-0004-0000-0900-000008000000}"/>
    <hyperlink ref="M2" location="COALTAR" display="Coal Tar (kt)" xr:uid="{00000000-0004-0000-0900-000009000000}"/>
    <hyperlink ref="N2" location="BKB" display="BKB/Peat Briquettes " xr:uid="{00000000-0004-0000-0900-00000A000000}"/>
    <hyperlink ref="P2" location="COKEOVGS" display="Coke Oven Gas (TJ-gross)" xr:uid="{00000000-0004-0000-0900-00000B000000}"/>
    <hyperlink ref="Q2" location="BLFURGS" display="Blast Furnace Gas (TJ-gross)" xr:uid="{00000000-0004-0000-0900-00000C000000}"/>
    <hyperlink ref="R2" location="OXYSTGS" display="Oxygen Steel Furnace Gas (TJ-gross)" xr:uid="{00000000-0004-0000-0900-00000D000000}"/>
    <hyperlink ref="AT2" location="INDWASTE" display="Industrial Waste (TJ-net)" xr:uid="{00000000-0004-0000-0900-00000E000000}"/>
    <hyperlink ref="AW2" location="SBIOMASS" display="Primary Solid Biomass (TJ-net)" xr:uid="{00000000-0004-0000-0900-00000F000000}"/>
    <hyperlink ref="AU2" location="MUNWASTER" display="Municipal Waste (Renew) (TJ-net)" xr:uid="{00000000-0004-0000-0900-000010000000}"/>
    <hyperlink ref="AX2" location="GBIOMASS" display="GBIOMASS" xr:uid="{00000000-0004-0000-0900-000011000000}"/>
    <hyperlink ref="AS2" location="NATGAS" display="Natural Gas (TJ-gross)" xr:uid="{00000000-0004-0000-0900-000012000000}"/>
    <hyperlink ref="Y2" location="REFFEEDS" display="Refinery Feedstocks (kt)" xr:uid="{00000000-0004-0000-0900-000013000000}"/>
    <hyperlink ref="Z2" location="ADDITIVE" display="Additives/Blending Components (kt)" xr:uid="{00000000-0004-0000-0900-000014000000}"/>
    <hyperlink ref="AA2" location="NONCRUDE" display="Other Hydrocarbons (kt)" xr:uid="{00000000-0004-0000-0900-000015000000}"/>
    <hyperlink ref="AB2" location="REFINGAS" display="Refinery Gas (kt)" xr:uid="{00000000-0004-0000-0900-000016000000}"/>
    <hyperlink ref="AC2" location="ETHANE" display="Ethane (kt)" xr:uid="{00000000-0004-0000-0900-000017000000}"/>
    <hyperlink ref="AD2" location="LPG" display="Liquefied Petroleum Gases (kt)" xr:uid="{00000000-0004-0000-0900-000018000000}"/>
    <hyperlink ref="AK2" location="RESFUEL" display="Residual Fuel Oil (kt)" xr:uid="{00000000-0004-0000-0900-000019000000}"/>
    <hyperlink ref="AL2" location="NAPHTHA" display="Naphtha (kt)" xr:uid="{00000000-0004-0000-0900-00001A000000}"/>
    <hyperlink ref="AM2" location="WHITESP" display="White Spirit (kt)" xr:uid="{00000000-0004-0000-0900-00001B000000}"/>
    <hyperlink ref="AP2" location="PARWAX" display="Paraffin Waxes (kt)" xr:uid="{00000000-0004-0000-0900-00001C000000}"/>
    <hyperlink ref="AQ2" location="PETCOKE" display="Petroleum Coke (kt)" xr:uid="{00000000-0004-0000-0900-00001D000000}"/>
    <hyperlink ref="AR2" location="OPRODS" display="Non-specified Petroleum Products " xr:uid="{00000000-0004-0000-0900-00001E000000}"/>
    <hyperlink ref="BF2" location="HYDRO" display="Hydro" xr:uid="{00000000-0004-0000-0900-00001F000000}"/>
    <hyperlink ref="BH2" location="SOLARPV" display="Solar Photovoltaics" xr:uid="{00000000-0004-0000-0900-000020000000}"/>
    <hyperlink ref="BI2" location="SOLARTH" display="Solar Thermal" xr:uid="{00000000-0004-0000-0900-000021000000}"/>
    <hyperlink ref="BJ2" location="TIDE" display="Tide, Wave and Ocean" xr:uid="{00000000-0004-0000-0900-000022000000}"/>
    <hyperlink ref="BK2" location="WIND" display="Wind" xr:uid="{00000000-0004-0000-0900-000023000000}"/>
    <hyperlink ref="X2" location="NGL" display="Natural Gas Liquids (kt)" xr:uid="{00000000-0004-0000-0900-000024000000}"/>
    <hyperlink ref="W2" location="CRUDEOIL" display="Crude Oil (kt)" xr:uid="{00000000-0004-0000-0900-000025000000}"/>
    <hyperlink ref="E2" location="ANTCOAL" display="Anthracite (kt)" xr:uid="{00000000-0004-0000-0900-000026000000}"/>
    <hyperlink ref="F2" location="COKCOAL" display="Coking Coal (kt)" xr:uid="{00000000-0004-0000-0900-000027000000}"/>
    <hyperlink ref="O2" location="GASWKSGS" display="Gas Works Gas (TJ-gross)" xr:uid="{00000000-0004-0000-0900-000028000000}"/>
    <hyperlink ref="AV2" location="MUNWASTEN" display="Municipal Waste (Non-Renew) (TJ-net)" xr:uid="{00000000-0004-0000-0900-000029000000}"/>
    <hyperlink ref="AN2" location="LUBRIC" display="Lubricants " xr:uid="{00000000-0004-0000-0900-00002A000000}"/>
    <hyperlink ref="AO2" location="BITUMEN" display="Bitumen (kt)" xr:uid="{00000000-0004-0000-0900-00002B000000}"/>
    <hyperlink ref="BG2" location="GEOTHERM" display="Geothermal (TJ)" xr:uid="{00000000-0004-0000-0900-00002C000000}"/>
    <hyperlink ref="AY2" location="BIOGASOL" display="BIOGASOL" xr:uid="{00000000-0004-0000-0900-00002D000000}"/>
    <hyperlink ref="BA2" location="BIODIESEL" display="Biodiesel" xr:uid="{00000000-0004-0000-0900-00002E000000}"/>
    <hyperlink ref="BB2" location="OBIOLIQ" display="Other Liquid Biofuels" xr:uid="{00000000-0004-0000-0900-00002F000000}"/>
    <hyperlink ref="A6" location="IMPORTS" display="Imports                                      " xr:uid="{00000000-0004-0000-0900-000030000000}"/>
    <hyperlink ref="A7" location="EXPORTS" display="Exports                                      " xr:uid="{00000000-0004-0000-0900-000031000000}"/>
    <hyperlink ref="A8" location="MARBUNK" display="International Marine Bunkers                 " xr:uid="{00000000-0004-0000-0900-000032000000}"/>
    <hyperlink ref="A10" location="STOCKCHA" display="Stock Changes                                " xr:uid="{00000000-0004-0000-0900-000033000000}"/>
    <hyperlink ref="A11" location="DOMSUP" display="DOMSUP" xr:uid="{00000000-0004-0000-0900-000034000000}"/>
    <hyperlink ref="A12" location="TRANSFER" display="TRANSFER" xr:uid="{00000000-0004-0000-0900-000035000000}"/>
    <hyperlink ref="A13" location="STATDIFF" display="STATDIFF" xr:uid="{00000000-0004-0000-0900-000036000000}"/>
    <hyperlink ref="A14" location="TOTTRANF" display="TOTTRANF" xr:uid="{00000000-0004-0000-0900-000037000000}"/>
    <hyperlink ref="A15" location="MAINELEC" display="Main Activity Producer Electricity Plants    " xr:uid="{00000000-0004-0000-0900-000038000000}"/>
    <hyperlink ref="A16" location="AUTOELEC" display="AUTOELEC" xr:uid="{00000000-0004-0000-0900-000039000000}"/>
    <hyperlink ref="A17" location="MAINCHP" display="Main Activity Producer CHP Plants            " xr:uid="{00000000-0004-0000-0900-00003A000000}"/>
    <hyperlink ref="A18" location="AUTOCHP" display="AUTOCHP" xr:uid="{00000000-0004-0000-0900-00003B000000}"/>
    <hyperlink ref="A19" location="MAINHEAT" display="Main Activity Producer Heat Plants           " xr:uid="{00000000-0004-0000-0900-00003C000000}"/>
    <hyperlink ref="A20" location="AUTOHEAT" display="AUTOHEAT" xr:uid="{00000000-0004-0000-0900-00003D000000}"/>
    <hyperlink ref="A24" location="TPATFUEL" display="Patent Fuel Plants                           " xr:uid="{00000000-0004-0000-0900-00003E000000}"/>
    <hyperlink ref="A25" location="TCOKEOVS" display="Coke Ovens                                   " xr:uid="{00000000-0004-0000-0900-00003F000000}"/>
    <hyperlink ref="A26" location="TGASWKS" display="Gas Works                                    " xr:uid="{00000000-0004-0000-0900-000040000000}"/>
    <hyperlink ref="A27" location="TBLASTFUR" display="Blast Furnaces                               " xr:uid="{00000000-0004-0000-0900-000041000000}"/>
    <hyperlink ref="A28" location="TPETCHEM" display="Petrochemical Industry                       " xr:uid="{00000000-0004-0000-0900-000042000000}"/>
    <hyperlink ref="A29" location="TBKB" display="BKB Plants                                   " xr:uid="{00000000-0004-0000-0900-000043000000}"/>
    <hyperlink ref="A30" location="TREFINER" display="Petroleum Refineries                         " xr:uid="{00000000-0004-0000-0900-000044000000}"/>
    <hyperlink ref="A31" location="TCOALLIQ" display="Coal Liquefaction Plants                     " xr:uid="{00000000-0004-0000-0900-000045000000}"/>
    <hyperlink ref="A34" location="TCHARCOAL" display="TCHARCOAL" xr:uid="{00000000-0004-0000-0900-000046000000}"/>
    <hyperlink ref="A35" location="TNONSPEC" display="TNONSPEC" xr:uid="{00000000-0004-0000-0900-000047000000}"/>
    <hyperlink ref="A36" location="TOTENGY" display="TOTENGY" xr:uid="{00000000-0004-0000-0900-000048000000}"/>
    <hyperlink ref="A37" location="EMINES" display="Coal Mines                                   " xr:uid="{00000000-0004-0000-0900-000049000000}"/>
    <hyperlink ref="A38" location="EOILGASEX" display="Oil and Gas Extraction                       " xr:uid="{00000000-0004-0000-0900-00004A000000}"/>
    <hyperlink ref="A42" location="EBIOGAS" display="Gasification Plants for Biogas               " xr:uid="{00000000-0004-0000-0900-00004B000000}"/>
    <hyperlink ref="A50" location="EPUMPST" display="EPUMPST" xr:uid="{00000000-0004-0000-0900-00004C000000}"/>
    <hyperlink ref="A53" location="ENONSPEC" display="ENONSPEC" xr:uid="{00000000-0004-0000-0900-00004D000000}"/>
    <hyperlink ref="A54" location="DISTLOSS" display="DISTLOSS" xr:uid="{00000000-0004-0000-0900-00004E000000}"/>
    <hyperlink ref="A55" location="FINCONS" display="FINCONS" xr:uid="{00000000-0004-0000-0900-00004F000000}"/>
    <hyperlink ref="A56" location="TOTIND" display="TOTIND" xr:uid="{00000000-0004-0000-0900-000050000000}"/>
    <hyperlink ref="A57" location="IRONST" display="Iron and Steel                               " xr:uid="{00000000-0004-0000-0900-000051000000}"/>
    <hyperlink ref="A58" location="CHEMICAL" display="CHEMICAL" xr:uid="{00000000-0004-0000-0900-000052000000}"/>
    <hyperlink ref="A87" location="NECHEM" display="NECHEM" xr:uid="{00000000-0004-0000-0900-000053000000}"/>
    <hyperlink ref="A59" location="NONFERR" display="NONFERR" xr:uid="{00000000-0004-0000-0900-000054000000}"/>
    <hyperlink ref="A60" location="NONMET" display="NONMET" xr:uid="{00000000-0004-0000-0900-000055000000}"/>
    <hyperlink ref="A61" location="TRANSEQ" display="TRANSEQ" xr:uid="{00000000-0004-0000-0900-000056000000}"/>
    <hyperlink ref="A62" location="MACHINE" display="MACHINE" xr:uid="{00000000-0004-0000-0900-000057000000}"/>
    <hyperlink ref="A63" location="MINING" display="MINING" xr:uid="{00000000-0004-0000-0900-000058000000}"/>
    <hyperlink ref="A64" location="FOODPRO" display="FOODPRO" xr:uid="{00000000-0004-0000-0900-000059000000}"/>
    <hyperlink ref="A65" location="PAPERPRO" display="PAPERPRO" xr:uid="{00000000-0004-0000-0900-00005A000000}"/>
    <hyperlink ref="A66" location="WOODPRO" display="WOODPRO" xr:uid="{00000000-0004-0000-0900-00005B000000}"/>
    <hyperlink ref="A67" location="CONSTRUC" display="CONSTRUC" xr:uid="{00000000-0004-0000-0900-00005C000000}"/>
    <hyperlink ref="A68" location="TEXTILES" display="TEXTILES" xr:uid="{00000000-0004-0000-0900-00005D000000}"/>
    <hyperlink ref="A69" location="INONSPEC" display="INONSPEC" xr:uid="{00000000-0004-0000-0900-00005E000000}"/>
    <hyperlink ref="A70" location="TOTTRANS" display="TOTTRANS" xr:uid="{00000000-0004-0000-0900-00005F000000}"/>
    <hyperlink ref="A71" location="ROAD" display="Road                                         " xr:uid="{00000000-0004-0000-0900-000060000000}"/>
    <hyperlink ref="A9" location="AVBUNK" display="International Aviation Bunkers                       " xr:uid="{00000000-0004-0000-0900-000061000000}"/>
    <hyperlink ref="A72" location="DOMESAIR" display="Domestic Aviation                            " xr:uid="{00000000-0004-0000-0900-000062000000}"/>
    <hyperlink ref="A73" location="RAIL" display="Rail                                         " xr:uid="{00000000-0004-0000-0900-000063000000}"/>
    <hyperlink ref="A74" location="PIPELINE" display="PIPELINE" xr:uid="{00000000-0004-0000-0900-000064000000}"/>
    <hyperlink ref="A75" location="DOMESNAV" display="Domestic Navigation                          " xr:uid="{00000000-0004-0000-0900-000065000000}"/>
    <hyperlink ref="A78" location="RESIDENT" display="Residential                                  " xr:uid="{00000000-0004-0000-0900-000066000000}"/>
    <hyperlink ref="A79" location="COMMPUB" display="COMMPUB" xr:uid="{00000000-0004-0000-0900-000067000000}"/>
    <hyperlink ref="A80" location="AGRICULT" display="Agriculture/Forestry                         " xr:uid="{00000000-0004-0000-0900-000068000000}"/>
    <hyperlink ref="A82" location="ONONSPEC" display="ONONSPEC" xr:uid="{00000000-0004-0000-0900-000069000000}"/>
    <hyperlink ref="A83" location="NONENUSE" display="Non-Energy Use                               " xr:uid="{00000000-0004-0000-0900-00006A000000}"/>
    <hyperlink ref="A97" location="HEATOUT" display="Heat Output in TJ                            " xr:uid="{00000000-0004-0000-0900-00006B000000}"/>
    <hyperlink ref="A88" location="ELOUTPUT" display="Elect.Output in GWh                          " xr:uid="{00000000-0004-0000-0900-00006C000000}"/>
    <hyperlink ref="A32" location="TGTL" display="Gas-to-Liquids (GTL) Plants                  " xr:uid="{00000000-0004-0000-0900-00006D000000}"/>
    <hyperlink ref="A33" location="TBLENDGAS" display="For Blended Natural Gas                      " xr:uid="{00000000-0004-0000-0900-00006E000000}"/>
    <hyperlink ref="A81" location="FISHING" display="Fishing                                      " xr:uid="{00000000-0004-0000-0900-00006F000000}"/>
    <hyperlink ref="A47" location="ELNG" display="Liquefaction (LNG) / Regasification Plants   " xr:uid="{00000000-0004-0000-0900-000070000000}"/>
    <hyperlink ref="A21" location="THEAT" display="Heat Pumps                                   " xr:uid="{00000000-0004-0000-0900-000071000000}"/>
    <hyperlink ref="A22" location="TBOILER" display="Electric Boilers                             " xr:uid="{00000000-0004-0000-0900-000072000000}"/>
    <hyperlink ref="A23" location="TELE" display="Chemical heat for electricity production     " xr:uid="{00000000-0004-0000-0900-000073000000}"/>
    <hyperlink ref="A49" location="EPOWERPLT" display="Own Use in Electricity, CHP and Heat Plants  " xr:uid="{00000000-0004-0000-0900-000074000000}"/>
    <hyperlink ref="A51" location="ENUC" display="Nuclear Industry                             " xr:uid="{00000000-0004-0000-0900-000075000000}"/>
    <hyperlink ref="A39" location="EPATFUEL" display="Patent Fuel Plants                           " xr:uid="{00000000-0004-0000-0900-000076000000}"/>
    <hyperlink ref="A40" location="ECOKEOVS" display="Coke Ovens                                   " xr:uid="{00000000-0004-0000-0900-000077000000}"/>
    <hyperlink ref="A41" location="EGASWKS" display="Gas Works                                    " xr:uid="{00000000-0004-0000-0900-000078000000}"/>
    <hyperlink ref="A43" location="EBLASTFUR" display="Blast Furnaces                               " xr:uid="{00000000-0004-0000-0900-000079000000}"/>
    <hyperlink ref="A44" location="EBKB" display="BKB Plants                                   " xr:uid="{00000000-0004-0000-0900-00007A000000}"/>
    <hyperlink ref="A45" location="EREFINER" display="Petroleum Refineries                         " xr:uid="{00000000-0004-0000-0900-00007B000000}"/>
    <hyperlink ref="A46" location="ECOALLIQ" display="Coal Liquefaction Plants                     " xr:uid="{00000000-0004-0000-0900-00007C000000}"/>
    <hyperlink ref="A48" location="EGTL" display="Gas-to-Liquids (GTL) Plants                  " xr:uid="{00000000-0004-0000-0900-00007D000000}"/>
    <hyperlink ref="A52" location="ECHARCOAL" display="Charcoal Production Plants                   " xr:uid="{00000000-0004-0000-0900-00007E000000}"/>
    <hyperlink ref="A76" location="TRNONSPE" display="Non-specified (Transport)                    " xr:uid="{00000000-0004-0000-0900-00007F000000}"/>
    <hyperlink ref="A77" location="TOTOTHER" display="Other Sectors                                " xr:uid="{00000000-0004-0000-0900-000080000000}"/>
    <hyperlink ref="A84" location="NEINTREN" display="Non-Energy Use Industry/Transformation/Energy" xr:uid="{00000000-0004-0000-0900-000081000000}"/>
    <hyperlink ref="A85" location="NETRANS" display="Non-Energy Use in Transport                  " xr:uid="{00000000-0004-0000-0900-000082000000}"/>
    <hyperlink ref="A86" location="NEOTHER" display="Non-Energy Use in Other Sectors              " xr:uid="{00000000-0004-0000-0900-000083000000}"/>
    <hyperlink ref="A5" location="INDPROD" display="Total Production                                   " xr:uid="{00000000-0004-0000-0900-000084000000}"/>
    <hyperlink ref="BE2" location="NUCLEAR" display="Nuclear" xr:uid="{00000000-0004-0000-0900-000085000000}"/>
    <hyperlink ref="AJ2" location="NONBIODIES" display="Gas/Diesel Oil excl. bio" xr:uid="{00000000-0004-0000-0900-000086000000}"/>
    <hyperlink ref="AI2" location="OTHKERO" display="Other Kerosene " xr:uid="{00000000-0004-0000-0900-000087000000}"/>
    <hyperlink ref="AH2" location="JETKERO" display="Kerosene Type Jet Fuel (kt)" xr:uid="{00000000-0004-0000-0900-000088000000}"/>
    <hyperlink ref="AG2" location="JETGAS" display="Gasoline Type Jet Fuel (kt)" xr:uid="{00000000-0004-0000-0900-000089000000}"/>
    <hyperlink ref="AF2" location="AVGAS" display="Aviation Gasoline (kt)" xr:uid="{00000000-0004-0000-0900-00008A000000}"/>
    <hyperlink ref="AE2" location="NONBIOGASO" display="Motor Gasoline excl. bio" xr:uid="{00000000-0004-0000-0900-00008B000000}"/>
    <hyperlink ref="S2" location="MANGAS" display="Elec/Heat Output from non-spec. Manuf. Gases" xr:uid="{00000000-0004-0000-0900-00008C000000}"/>
    <hyperlink ref="U2" location="PEATPROD" display="Peat Products" xr:uid="{00000000-0004-0000-0900-00008D000000}"/>
    <hyperlink ref="V2" location="OILSHALE" display="Oilshale and Oil Sands" xr:uid="{00000000-0004-0000-0900-00008E000000}"/>
    <hyperlink ref="AZ2" location="BIOJETKERO" display="Bio Jet Kerosene" xr:uid="{00000000-0004-0000-0900-00008F000000}"/>
    <hyperlink ref="BD2" location="CHARCOAL" display="Charcoal " xr:uid="{00000000-0004-0000-0900-000090000000}"/>
    <hyperlink ref="BC2" location="RENEWNS" display="Non-specified primary CRW" xr:uid="{00000000-0004-0000-0900-000091000000}"/>
    <hyperlink ref="BL2" location="OTHER" display="Other Fuel Sources of Electricity" xr:uid="{00000000-0004-0000-0900-000092000000}"/>
    <hyperlink ref="BO2" location="HEATNS" display="Heat Output from non-specified comb fuels" xr:uid="{00000000-0004-0000-0900-000093000000}"/>
  </hyperlinks>
  <pageMargins left="0.75" right="0.75" top="1" bottom="1" header="0.5" footer="0.5"/>
  <pageSetup paperSize="9" orientation="portrait" r:id="rId1"/>
  <headerFooter alignWithMargins="0"/>
  <ignoredErrors>
    <ignoredError sqref="BP21 E98:T99 BA98:BP99 W99:AR99 BP11:BP14 BP15:BP20 BP22:BP54 BP88:BP92 BP55:BP87 BP93 BP94 BP95 BP96 BP97 W98:AR98 AT98:AY98 AT99:AY99 V11:AF11 AG11:AH11 AS11:BO11 BQ11 AJ11:AR11" formula="1"/>
    <ignoredError sqref="AA10" evalError="1"/>
    <ignoredError sqref="AI11" evalError="1" formula="1"/>
  </ignoredError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05b">
    <tabColor theme="1"/>
  </sheetPr>
  <dimension ref="A1:Q171"/>
  <sheetViews>
    <sheetView zoomScale="85" zoomScaleNormal="85" workbookViewId="0">
      <pane xSplit="1" ySplit="3" topLeftCell="C4" activePane="bottomRight" state="frozen"/>
      <selection pane="topRight" activeCell="BG104" sqref="BG104"/>
      <selection pane="bottomLeft" activeCell="BG104" sqref="BG104"/>
      <selection pane="bottomRight" activeCell="C19" sqref="C19"/>
    </sheetView>
  </sheetViews>
  <sheetFormatPr defaultRowHeight="12.75" x14ac:dyDescent="0.2"/>
  <cols>
    <col min="1" max="1" width="41.42578125" customWidth="1"/>
    <col min="2" max="2" width="13.85546875" hidden="1" customWidth="1"/>
    <col min="3" max="17" width="12.140625" customWidth="1"/>
    <col min="18" max="18" width="13" bestFit="1" customWidth="1"/>
  </cols>
  <sheetData>
    <row r="1" spans="1:17" ht="17.25" customHeight="1" x14ac:dyDescent="0.2">
      <c r="A1" s="13" t="s">
        <v>414</v>
      </c>
      <c r="B1" s="744" t="s">
        <v>74</v>
      </c>
    </row>
    <row r="2" spans="1:17" ht="12.75" customHeight="1" x14ac:dyDescent="0.2">
      <c r="A2" s="13" t="str">
        <f xml:space="preserve"> CountryName&amp;"  "&amp;DataYear</f>
        <v>South Africa  2019</v>
      </c>
      <c r="C2" s="13" t="s">
        <v>6912</v>
      </c>
    </row>
    <row r="3" spans="1:17" ht="47.25" customHeight="1" x14ac:dyDescent="0.2">
      <c r="C3" s="899" t="s">
        <v>1636</v>
      </c>
      <c r="D3" s="899" t="s">
        <v>853</v>
      </c>
      <c r="E3" s="899" t="s">
        <v>6913</v>
      </c>
      <c r="F3" s="899" t="s">
        <v>879</v>
      </c>
      <c r="G3" s="899" t="s">
        <v>885</v>
      </c>
      <c r="H3" s="899" t="s">
        <v>6914</v>
      </c>
      <c r="I3" s="899" t="s">
        <v>6915</v>
      </c>
      <c r="J3" s="899" t="s">
        <v>6916</v>
      </c>
      <c r="K3" s="899" t="s">
        <v>6917</v>
      </c>
      <c r="L3" s="899" t="s">
        <v>6918</v>
      </c>
      <c r="M3" s="899" t="s">
        <v>6919</v>
      </c>
      <c r="N3" s="899" t="s">
        <v>6920</v>
      </c>
      <c r="O3" s="899" t="s">
        <v>6921</v>
      </c>
      <c r="P3" s="899" t="s">
        <v>1200</v>
      </c>
      <c r="Q3" s="899" t="s">
        <v>6922</v>
      </c>
    </row>
    <row r="4" spans="1:17" x14ac:dyDescent="0.2">
      <c r="A4" s="660" t="s">
        <v>74</v>
      </c>
      <c r="B4" t="s">
        <v>1638</v>
      </c>
      <c r="C4" s="53" t="s">
        <v>1639</v>
      </c>
      <c r="D4" s="53" t="s">
        <v>1640</v>
      </c>
      <c r="E4" s="53" t="s">
        <v>1641</v>
      </c>
      <c r="F4" s="53" t="s">
        <v>1642</v>
      </c>
      <c r="G4" s="53" t="s">
        <v>1643</v>
      </c>
      <c r="H4" s="53" t="s">
        <v>1644</v>
      </c>
      <c r="I4" s="53" t="s">
        <v>1645</v>
      </c>
      <c r="J4" s="53" t="s">
        <v>1646</v>
      </c>
      <c r="K4" s="53" t="s">
        <v>1647</v>
      </c>
      <c r="L4" s="53" t="s">
        <v>1648</v>
      </c>
      <c r="M4" s="53" t="s">
        <v>1649</v>
      </c>
      <c r="N4" s="53" t="s">
        <v>1650</v>
      </c>
      <c r="O4" s="53" t="s">
        <v>1651</v>
      </c>
      <c r="P4" s="53" t="s">
        <v>1652</v>
      </c>
      <c r="Q4" s="53" t="s">
        <v>1653</v>
      </c>
    </row>
    <row r="5" spans="1:17" x14ac:dyDescent="0.2">
      <c r="A5" t="s">
        <v>326</v>
      </c>
      <c r="B5" t="s">
        <v>325</v>
      </c>
      <c r="C5">
        <f>ROUND(IF('DPU formulas'!C$5+'DPU formulas'!C$6+'DPU formulas'!C$11+'DPU formulas'!C$13+'DPU formulas'!C$12,(D5*'DPU formulas'!C$5+E5*'DPU formulas'!C$6+F5*'DPU formulas'!C$11+G5*'DPU formulas'!C$12+Q5*'DPU formulas'!C$13)/('DPU formulas'!C$5+'DPU formulas'!C$6+'DPU formulas'!C$11+'DPU formulas'!C$13+'DPU formulas'!C$12),D5),)</f>
        <v>0</v>
      </c>
      <c r="D5">
        <f>Coal_Table_4!E7</f>
        <v>0</v>
      </c>
      <c r="E5">
        <f>Coal_Table_4!E7</f>
        <v>0</v>
      </c>
      <c r="F5">
        <f>Coal_Table_4!E9</f>
        <v>0</v>
      </c>
      <c r="G5">
        <f>Coal_Table_4!E11</f>
        <v>0</v>
      </c>
      <c r="H5">
        <f>Coal_Table_4!E13</f>
        <v>0</v>
      </c>
      <c r="I5">
        <f>Coal_Table_4!E15</f>
        <v>0</v>
      </c>
      <c r="J5">
        <f>Coal_Table_4!$E$17</f>
        <v>0</v>
      </c>
      <c r="K5">
        <f>Coal_Table_4!$E$19</f>
        <v>0</v>
      </c>
      <c r="L5">
        <f>Coal_Table_4!$E$17</f>
        <v>0</v>
      </c>
      <c r="M5">
        <f>Coal_Table_4!$E$19</f>
        <v>0</v>
      </c>
      <c r="N5">
        <f>Coal_Table_4!$E$17</f>
        <v>0</v>
      </c>
      <c r="O5">
        <f>Coal_Table_4!$E$19</f>
        <v>0</v>
      </c>
      <c r="P5">
        <f>Coal_Table_4!$E$19</f>
        <v>0</v>
      </c>
      <c r="Q5">
        <f>Coal_Table_4!E21</f>
        <v>0</v>
      </c>
    </row>
    <row r="6" spans="1:17" x14ac:dyDescent="0.2">
      <c r="A6" t="s">
        <v>6923</v>
      </c>
      <c r="B6" t="s">
        <v>338</v>
      </c>
      <c r="C6">
        <f>ROUND(IF('DPU formulas'!D$5+'DPU formulas'!D$6+'DPU formulas'!D$11+'DPU formulas'!D$13+'DPU formulas'!D$12,(D6*'DPU formulas'!D$5+E6*'DPU formulas'!D$6+F6*'DPU formulas'!D$11+G6*'DPU formulas'!D$12+Q6*'DPU formulas'!D$13)/('DPU formulas'!D$5+'DPU formulas'!D$6+'DPU formulas'!D$11+'DPU formulas'!D$13+'DPU formulas'!D$12),D6),)</f>
        <v>0</v>
      </c>
      <c r="D6">
        <f>Coal_Table_4!F7</f>
        <v>0</v>
      </c>
      <c r="E6">
        <f>Coal_Table_4!F7</f>
        <v>0</v>
      </c>
      <c r="F6">
        <f>Coal_Table_4!F9</f>
        <v>0</v>
      </c>
      <c r="G6">
        <f>Coal_Table_4!F11</f>
        <v>0</v>
      </c>
      <c r="H6">
        <f>Coal_Table_4!F13</f>
        <v>0</v>
      </c>
      <c r="I6">
        <f>Coal_Table_4!F15</f>
        <v>0</v>
      </c>
      <c r="J6">
        <f>Coal_Table_4!$F$17</f>
        <v>0</v>
      </c>
      <c r="K6">
        <f>Coal_Table_4!$F$19</f>
        <v>0</v>
      </c>
      <c r="L6">
        <f>Coal_Table_4!$F$17</f>
        <v>0</v>
      </c>
      <c r="M6">
        <f>Coal_Table_4!$F$19</f>
        <v>0</v>
      </c>
      <c r="N6">
        <f>Coal_Table_4!$F$17</f>
        <v>0</v>
      </c>
      <c r="O6">
        <f>Coal_Table_4!$F$19</f>
        <v>0</v>
      </c>
      <c r="P6">
        <f>Coal_Table_4!$F$19</f>
        <v>0</v>
      </c>
      <c r="Q6">
        <f>Coal_Table_4!F21</f>
        <v>0</v>
      </c>
    </row>
    <row r="7" spans="1:17" x14ac:dyDescent="0.2">
      <c r="A7" t="s">
        <v>6924</v>
      </c>
      <c r="B7" t="s">
        <v>348</v>
      </c>
      <c r="C7">
        <f>ROUND(IF('DPU formulas'!E$5+'DPU formulas'!E$6+'DPU formulas'!E$11+'DPU formulas'!E$13+'DPU formulas'!E$12,(D7*'DPU formulas'!E$5+E7*'DPU formulas'!E$6+F7*'DPU formulas'!E$11+G7*'DPU formulas'!E$12+Q7*'DPU formulas'!E$13)/('DPU formulas'!E$5+'DPU formulas'!E$6+'DPU formulas'!E$11+'DPU formulas'!E$13+'DPU formulas'!E$12),D7),)</f>
        <v>0</v>
      </c>
      <c r="D7">
        <f>Coal_Table_4!G7</f>
        <v>0</v>
      </c>
      <c r="E7">
        <f>Coal_Table_4!G7</f>
        <v>0</v>
      </c>
      <c r="F7">
        <f>Coal_Table_4!G9</f>
        <v>0</v>
      </c>
      <c r="G7">
        <f>Coal_Table_4!G11</f>
        <v>0</v>
      </c>
      <c r="H7">
        <f>Coal_Table_4!G13</f>
        <v>0</v>
      </c>
      <c r="I7">
        <f>Coal_Table_4!G15</f>
        <v>0</v>
      </c>
      <c r="J7">
        <f>Coal_Table_4!$G$17</f>
        <v>0</v>
      </c>
      <c r="K7">
        <f>Coal_Table_4!$G$19</f>
        <v>0</v>
      </c>
      <c r="L7">
        <f>Coal_Table_4!$G$17</f>
        <v>0</v>
      </c>
      <c r="M7">
        <f>Coal_Table_4!$G$19</f>
        <v>0</v>
      </c>
      <c r="N7">
        <f>Coal_Table_4!$G$17</f>
        <v>0</v>
      </c>
      <c r="O7">
        <f>Coal_Table_4!$G$19</f>
        <v>0</v>
      </c>
      <c r="P7">
        <f>Coal_Table_4!$G$19</f>
        <v>0</v>
      </c>
      <c r="Q7">
        <f>Coal_Table_4!G21</f>
        <v>0</v>
      </c>
    </row>
    <row r="8" spans="1:17" x14ac:dyDescent="0.2">
      <c r="A8" t="s">
        <v>6925</v>
      </c>
      <c r="B8" t="s">
        <v>358</v>
      </c>
      <c r="C8">
        <f>ROUND(IF('DPU formulas'!F$5+'DPU formulas'!F$6+'DPU formulas'!F$11+'DPU formulas'!F$13+'DPU formulas'!F$12,(D8*'DPU formulas'!F$5+E8*'DPU formulas'!F$6+F8*'DPU formulas'!F$11+G8*'DPU formulas'!F$12+Q8*'DPU formulas'!F$13)/('DPU formulas'!F$5+'DPU formulas'!F$6+'DPU formulas'!F$11+'DPU formulas'!F$13+'DPU formulas'!F$12),D8),)</f>
        <v>0</v>
      </c>
      <c r="D8">
        <f>Coal_Table_4!H7</f>
        <v>0</v>
      </c>
      <c r="E8">
        <f>Coal_Table_4!H7</f>
        <v>0</v>
      </c>
      <c r="F8">
        <f>Coal_Table_4!H9</f>
        <v>0</v>
      </c>
      <c r="G8">
        <f>Coal_Table_4!H11</f>
        <v>0</v>
      </c>
      <c r="H8">
        <f>Coal_Table_4!H13</f>
        <v>0</v>
      </c>
      <c r="I8">
        <f>Coal_Table_4!H15</f>
        <v>0</v>
      </c>
      <c r="J8">
        <f>Coal_Table_4!$H$17</f>
        <v>0</v>
      </c>
      <c r="K8">
        <f>Coal_Table_4!$H$19</f>
        <v>0</v>
      </c>
      <c r="L8">
        <f>Coal_Table_4!$H$17</f>
        <v>0</v>
      </c>
      <c r="M8">
        <f>Coal_Table_4!$H$19</f>
        <v>0</v>
      </c>
      <c r="N8">
        <f>Coal_Table_4!$H$17</f>
        <v>0</v>
      </c>
      <c r="O8">
        <f>Coal_Table_4!$H$19</f>
        <v>0</v>
      </c>
      <c r="P8">
        <f>Coal_Table_4!$H$19</f>
        <v>0</v>
      </c>
      <c r="Q8">
        <f>Coal_Table_4!H21</f>
        <v>0</v>
      </c>
    </row>
    <row r="9" spans="1:17" x14ac:dyDescent="0.2">
      <c r="A9" t="s">
        <v>6926</v>
      </c>
      <c r="B9" t="s">
        <v>368</v>
      </c>
      <c r="C9">
        <f>ROUND(IF('DPU formulas'!G$5+'DPU formulas'!G$6+'DPU formulas'!G$11+'DPU formulas'!G$13+'DPU formulas'!G$12,(D9*'DPU formulas'!G$5+E9*'DPU formulas'!G$6+F9*'DPU formulas'!G$11+G9*'DPU formulas'!G$12+Q9*'DPU formulas'!G$13)/('DPU formulas'!G$5+'DPU formulas'!G$6+'DPU formulas'!G$11+'DPU formulas'!G$13+'DPU formulas'!G$12),D9),)</f>
        <v>0</v>
      </c>
      <c r="D9">
        <f>Coal_Table_4!I7</f>
        <v>0</v>
      </c>
      <c r="E9">
        <f>Coal_Table_4!I7</f>
        <v>0</v>
      </c>
      <c r="F9">
        <f>Coal_Table_4!I9</f>
        <v>0</v>
      </c>
      <c r="G9">
        <f>Coal_Table_4!I11</f>
        <v>0</v>
      </c>
      <c r="H9">
        <f>Coal_Table_4!I13</f>
        <v>0</v>
      </c>
      <c r="I9">
        <f>Coal_Table_4!I15</f>
        <v>0</v>
      </c>
      <c r="J9">
        <f>Coal_Table_4!$I$17</f>
        <v>0</v>
      </c>
      <c r="K9">
        <f>Coal_Table_4!$I$19</f>
        <v>0</v>
      </c>
      <c r="L9">
        <f>Coal_Table_4!$I$17</f>
        <v>0</v>
      </c>
      <c r="M9">
        <f>Coal_Table_4!$I$19</f>
        <v>0</v>
      </c>
      <c r="N9">
        <f>Coal_Table_4!$I$17</f>
        <v>0</v>
      </c>
      <c r="O9">
        <f>Coal_Table_4!$I$19</f>
        <v>0</v>
      </c>
      <c r="P9">
        <f>Coal_Table_4!$I$19</f>
        <v>0</v>
      </c>
      <c r="Q9">
        <f>Coal_Table_4!I21</f>
        <v>0</v>
      </c>
    </row>
    <row r="10" spans="1:17" x14ac:dyDescent="0.2">
      <c r="A10" t="s">
        <v>6927</v>
      </c>
      <c r="B10" t="s">
        <v>377</v>
      </c>
      <c r="C10">
        <f>ROUND(IF('DPU formulas'!H$5+'DPU formulas'!H$6+'DPU formulas'!H$11+'DPU formulas'!H$13+'DPU formulas'!H$12,(D10*'DPU formulas'!H$5+E10*'DPU formulas'!H$6+F10*'DPU formulas'!H$11+G10*'DPU formulas'!H$12+Q10*'DPU formulas'!H$13)/('DPU formulas'!H$5+'DPU formulas'!H$6+'DPU formulas'!H$11+'DPU formulas'!H$13+'DPU formulas'!H$12),D10),)</f>
        <v>0</v>
      </c>
      <c r="D10">
        <f>Coal_Table_4!J7</f>
        <v>0</v>
      </c>
      <c r="E10">
        <f>Coal_Table_4!J7</f>
        <v>0</v>
      </c>
      <c r="F10">
        <f>Coal_Table_4!J9</f>
        <v>0</v>
      </c>
      <c r="G10">
        <f>Coal_Table_4!J11</f>
        <v>0</v>
      </c>
      <c r="H10">
        <f>Coal_Table_4!J13</f>
        <v>0</v>
      </c>
      <c r="I10">
        <f>Coal_Table_4!J15</f>
        <v>0</v>
      </c>
      <c r="J10">
        <f>Coal_Table_4!$J$17</f>
        <v>0</v>
      </c>
      <c r="K10">
        <f>Coal_Table_4!$J$19</f>
        <v>0</v>
      </c>
      <c r="L10">
        <f>Coal_Table_4!$J$17</f>
        <v>0</v>
      </c>
      <c r="M10">
        <f>Coal_Table_4!$J$19</f>
        <v>0</v>
      </c>
      <c r="N10">
        <f>Coal_Table_4!$J$17</f>
        <v>0</v>
      </c>
      <c r="O10">
        <f>Coal_Table_4!$J$19</f>
        <v>0</v>
      </c>
      <c r="P10">
        <f>Coal_Table_4!$J$19</f>
        <v>0</v>
      </c>
      <c r="Q10">
        <f>Coal_Table_4!J21</f>
        <v>0</v>
      </c>
    </row>
    <row r="11" spans="1:17" x14ac:dyDescent="0.2">
      <c r="A11" t="s">
        <v>6928</v>
      </c>
      <c r="B11" t="s">
        <v>387</v>
      </c>
      <c r="C11">
        <f>ROUND(IF('DPU formulas'!I$5+'DPU formulas'!I$6+'DPU formulas'!I$11+'DPU formulas'!I$13+'DPU formulas'!I$12,(D11*'DPU formulas'!I$5+E11*'DPU formulas'!I$6+F11*'DPU formulas'!I$11+G11*'DPU formulas'!I$12+Q11*'DPU formulas'!I$13)/('DPU formulas'!I$5+'DPU formulas'!I$6+'DPU formulas'!I$11+'DPU formulas'!I$13+'DPU formulas'!I$12),D11),)</f>
        <v>0</v>
      </c>
      <c r="D11">
        <f>Coal_Table_4!K7</f>
        <v>0</v>
      </c>
      <c r="E11">
        <f>Coal_Table_4!K7</f>
        <v>0</v>
      </c>
      <c r="F11">
        <f>Coal_Table_4!K9</f>
        <v>0</v>
      </c>
      <c r="G11">
        <f>Coal_Table_4!K11</f>
        <v>0</v>
      </c>
      <c r="H11">
        <f>Coal_Table_4!K13</f>
        <v>0</v>
      </c>
      <c r="I11">
        <f>Coal_Table_4!K15</f>
        <v>0</v>
      </c>
      <c r="J11">
        <f>Coal_Table_4!$K$17</f>
        <v>0</v>
      </c>
      <c r="K11">
        <f>Coal_Table_4!$K$19</f>
        <v>0</v>
      </c>
      <c r="L11">
        <f>Coal_Table_4!$K$17</f>
        <v>0</v>
      </c>
      <c r="M11">
        <f>Coal_Table_4!$K$19</f>
        <v>0</v>
      </c>
      <c r="N11">
        <f>Coal_Table_4!$K$17</f>
        <v>0</v>
      </c>
      <c r="O11">
        <f>Coal_Table_4!$K$19</f>
        <v>0</v>
      </c>
      <c r="P11">
        <f>Coal_Table_4!$K$19</f>
        <v>0</v>
      </c>
      <c r="Q11">
        <f>Coal_Table_4!K21</f>
        <v>0</v>
      </c>
    </row>
    <row r="12" spans="1:17" x14ac:dyDescent="0.2">
      <c r="A12" t="s">
        <v>6929</v>
      </c>
      <c r="B12" t="s">
        <v>397</v>
      </c>
      <c r="C12">
        <f>ROUND(IF('DPU formulas'!J$5+'DPU formulas'!J$6+'DPU formulas'!J$11+'DPU formulas'!J$13+'DPU formulas'!J$12,(D12*'DPU formulas'!J$5+E12*'DPU formulas'!J$6+F12*'DPU formulas'!J$11+G12*'DPU formulas'!J$12+Q12*'DPU formulas'!J$13)/('DPU formulas'!J$5+'DPU formulas'!J$6+'DPU formulas'!J$11+'DPU formulas'!J$13+'DPU formulas'!J$12),D12),)</f>
        <v>0</v>
      </c>
      <c r="D12">
        <f>Coal_Table_4!L7</f>
        <v>0</v>
      </c>
      <c r="E12">
        <f>Coal_Table_4!L7</f>
        <v>0</v>
      </c>
      <c r="F12">
        <f>Coal_Table_4!L9</f>
        <v>0</v>
      </c>
      <c r="G12">
        <f>Coal_Table_4!L11</f>
        <v>0</v>
      </c>
      <c r="H12">
        <f>Coal_Table_4!L13</f>
        <v>0</v>
      </c>
      <c r="I12">
        <f>Coal_Table_4!L15</f>
        <v>0</v>
      </c>
      <c r="J12">
        <f>Coal_Table_4!$L$17</f>
        <v>0</v>
      </c>
      <c r="K12">
        <f>Coal_Table_4!$L$19</f>
        <v>0</v>
      </c>
      <c r="L12">
        <f>Coal_Table_4!$L$17</f>
        <v>0</v>
      </c>
      <c r="M12">
        <f>Coal_Table_4!$L$19</f>
        <v>0</v>
      </c>
      <c r="N12">
        <f>Coal_Table_4!$L$17</f>
        <v>0</v>
      </c>
      <c r="O12">
        <f>Coal_Table_4!$L$19</f>
        <v>0</v>
      </c>
      <c r="P12">
        <f>Coal_Table_4!$L$19</f>
        <v>0</v>
      </c>
      <c r="Q12">
        <f>Coal_Table_4!L21</f>
        <v>0</v>
      </c>
    </row>
    <row r="13" spans="1:17" x14ac:dyDescent="0.2">
      <c r="A13" t="s">
        <v>6930</v>
      </c>
      <c r="B13" t="s">
        <v>407</v>
      </c>
      <c r="C13">
        <f>ROUND(IF('DPU formulas'!K$5+'DPU formulas'!K$6+'DPU formulas'!K$11+'DPU formulas'!K$13+'DPU formulas'!K$12,(D13*'DPU formulas'!K$5+E13*'DPU formulas'!K$6+F13*'DPU formulas'!K$11+G13*'DPU formulas'!K$12+Q13*'DPU formulas'!K$13)/('DPU formulas'!K$5+'DPU formulas'!K$6+'DPU formulas'!K$11+'DPU formulas'!K$13+'DPU formulas'!K$12),D13),)</f>
        <v>0</v>
      </c>
      <c r="D13">
        <f>Coal_Table_4!M7</f>
        <v>0</v>
      </c>
      <c r="E13">
        <f>Coal_Table_4!M7</f>
        <v>0</v>
      </c>
      <c r="F13">
        <f>Coal_Table_4!M9</f>
        <v>0</v>
      </c>
      <c r="G13">
        <f>Coal_Table_4!M11</f>
        <v>0</v>
      </c>
      <c r="H13">
        <f>Coal_Table_4!M13</f>
        <v>0</v>
      </c>
      <c r="I13">
        <f>Coal_Table_4!M15</f>
        <v>0</v>
      </c>
      <c r="J13">
        <f>Coal_Table_4!$M$17</f>
        <v>0</v>
      </c>
      <c r="K13">
        <f>Coal_Table_4!$M$19</f>
        <v>0</v>
      </c>
      <c r="L13">
        <f>Coal_Table_4!$M$17</f>
        <v>0</v>
      </c>
      <c r="M13">
        <f>Coal_Table_4!$M$19</f>
        <v>0</v>
      </c>
      <c r="N13">
        <f>Coal_Table_4!$M$17</f>
        <v>0</v>
      </c>
      <c r="O13">
        <f>Coal_Table_4!$M$19</f>
        <v>0</v>
      </c>
      <c r="P13">
        <f>Coal_Table_4!$M$19</f>
        <v>0</v>
      </c>
      <c r="Q13">
        <f>Coal_Table_4!M21</f>
        <v>0</v>
      </c>
    </row>
    <row r="14" spans="1:17" x14ac:dyDescent="0.2">
      <c r="A14" t="s">
        <v>6931</v>
      </c>
      <c r="B14" t="s">
        <v>418</v>
      </c>
      <c r="C14">
        <f>ROUND(IF('DPU formulas'!L$5+'DPU formulas'!L$6+'DPU formulas'!L$11+'DPU formulas'!L$13+'DPU formulas'!L$12,(D14*'DPU formulas'!L$5+E14*'DPU formulas'!L$6+F14*'DPU formulas'!L$11+G14*'DPU formulas'!L$12+Q14*'DPU formulas'!L$13)/('DPU formulas'!L$5+'DPU formulas'!L$6+'DPU formulas'!L$11+'DPU formulas'!L$13+'DPU formulas'!L$12),D14),)</f>
        <v>0</v>
      </c>
      <c r="D14">
        <f>Coal_Table_4!N7</f>
        <v>0</v>
      </c>
      <c r="E14">
        <f>Coal_Table_4!N7</f>
        <v>0</v>
      </c>
      <c r="F14">
        <f>Coal_Table_4!N9</f>
        <v>0</v>
      </c>
      <c r="G14">
        <f>Coal_Table_4!N11</f>
        <v>0</v>
      </c>
      <c r="H14">
        <f>Coal_Table_4!N13</f>
        <v>0</v>
      </c>
      <c r="I14">
        <f>Coal_Table_4!N15</f>
        <v>0</v>
      </c>
      <c r="J14">
        <f>Coal_Table_4!$N$17</f>
        <v>0</v>
      </c>
      <c r="K14">
        <f>Coal_Table_4!$N$19</f>
        <v>0</v>
      </c>
      <c r="L14">
        <f>Coal_Table_4!$N$17</f>
        <v>0</v>
      </c>
      <c r="M14">
        <f>Coal_Table_4!$N$19</f>
        <v>0</v>
      </c>
      <c r="N14">
        <f>Coal_Table_4!$N$17</f>
        <v>0</v>
      </c>
      <c r="O14">
        <f>Coal_Table_4!$N$19</f>
        <v>0</v>
      </c>
      <c r="P14">
        <f>Coal_Table_4!$N$19</f>
        <v>0</v>
      </c>
      <c r="Q14">
        <f>Coal_Table_4!N21</f>
        <v>0</v>
      </c>
    </row>
    <row r="15" spans="1:17" x14ac:dyDescent="0.2">
      <c r="A15" t="s">
        <v>470</v>
      </c>
      <c r="B15" t="s">
        <v>469</v>
      </c>
      <c r="C15">
        <f>ROUND(IF('DPU formulas'!R$5+'DPU formulas'!R$6+'DPU formulas'!R$11+'DPU formulas'!R$13+'DPU formulas'!R$12,(D15*'DPU formulas'!R$5+E15*'DPU formulas'!R$6+F15*'DPU formulas'!R$11+G15*'DPU formulas'!R$12+Q15*'DPU formulas'!R$13)/('DPU formulas'!R$5+'DPU formulas'!R$6+'DPU formulas'!R$11+'DPU formulas'!R$13+'DPU formulas'!R$12),D15),)</f>
        <v>0</v>
      </c>
      <c r="D15">
        <f>Coal_Table_4!O$7</f>
        <v>0</v>
      </c>
      <c r="E15">
        <f>Coal_Table_4!O$7</f>
        <v>0</v>
      </c>
      <c r="F15">
        <f>Coal_Table_4!O$9</f>
        <v>0</v>
      </c>
      <c r="G15">
        <f>Coal_Table_4!O$11</f>
        <v>0</v>
      </c>
      <c r="H15">
        <f>Coal_Table_4!O$13</f>
        <v>0</v>
      </c>
      <c r="I15">
        <f>Coal_Table_4!O$15</f>
        <v>0</v>
      </c>
      <c r="J15">
        <f>Coal_Table_4!$O$17</f>
        <v>0</v>
      </c>
      <c r="K15">
        <f>Coal_Table_4!$O$19</f>
        <v>0</v>
      </c>
      <c r="L15">
        <f>Coal_Table_4!$O$17</f>
        <v>0</v>
      </c>
      <c r="M15">
        <f>Coal_Table_4!$O$19</f>
        <v>0</v>
      </c>
      <c r="N15">
        <f>Coal_Table_4!$O$17</f>
        <v>0</v>
      </c>
      <c r="O15">
        <f>Coal_Table_4!$O$19</f>
        <v>0</v>
      </c>
      <c r="P15">
        <f>Coal_Table_4!$O$19</f>
        <v>0</v>
      </c>
      <c r="Q15">
        <f>Coal_Table_4!O$21</f>
        <v>0</v>
      </c>
    </row>
    <row r="16" spans="1:17" x14ac:dyDescent="0.2">
      <c r="A16" t="s">
        <v>6932</v>
      </c>
      <c r="B16" t="s">
        <v>476</v>
      </c>
      <c r="C16">
        <f>ROUND(IF('DPU formulas'!S$5+'DPU formulas'!S$6+'DPU formulas'!S$11+'DPU formulas'!S$13+'DPU formulas'!S$12,(D16*'DPU formulas'!S$5+E16*'DPU formulas'!S$6+F16*'DPU formulas'!S$11+G16*'DPU formulas'!S$12+Q16*'DPU formulas'!S$13)/('DPU formulas'!S$5+'DPU formulas'!S$6+'DPU formulas'!S$11+'DPU formulas'!S$13+'DPU formulas'!S$12),D16),)</f>
        <v>0</v>
      </c>
      <c r="D16">
        <f>Coal_Table_4!P$7</f>
        <v>0</v>
      </c>
      <c r="E16">
        <f>Coal_Table_4!P$7</f>
        <v>0</v>
      </c>
      <c r="F16">
        <f>Coal_Table_4!P$9</f>
        <v>0</v>
      </c>
      <c r="G16">
        <f>Coal_Table_4!P$11</f>
        <v>0</v>
      </c>
      <c r="H16">
        <f>Coal_Table_4!P$13</f>
        <v>0</v>
      </c>
      <c r="I16">
        <f>Coal_Table_4!P$15</f>
        <v>0</v>
      </c>
      <c r="J16">
        <f>Coal_Table_4!$P$17</f>
        <v>0</v>
      </c>
      <c r="K16">
        <f>Coal_Table_4!$P$19</f>
        <v>0</v>
      </c>
      <c r="L16">
        <f>Coal_Table_4!$P$17</f>
        <v>0</v>
      </c>
      <c r="M16">
        <f>Coal_Table_4!$P$19</f>
        <v>0</v>
      </c>
      <c r="N16">
        <f>Coal_Table_4!$P$17</f>
        <v>0</v>
      </c>
      <c r="O16">
        <f>Coal_Table_4!$P$19</f>
        <v>0</v>
      </c>
      <c r="P16">
        <f>Coal_Table_4!$P$19</f>
        <v>0</v>
      </c>
      <c r="Q16">
        <f>Coal_Table_4!P$21</f>
        <v>0</v>
      </c>
    </row>
    <row r="17" spans="1:17" x14ac:dyDescent="0.2">
      <c r="A17" t="s">
        <v>6933</v>
      </c>
      <c r="B17" t="s">
        <v>483</v>
      </c>
      <c r="C17">
        <f>ROUND(IF('DPU formulas'!T$5+'DPU formulas'!T$6+'DPU formulas'!T$11+'DPU formulas'!T$13+'DPU formulas'!T$12,(D17*'DPU formulas'!T$5+E17*'DPU formulas'!T$6+F17*'DPU formulas'!T$11+G17*'DPU formulas'!T$12+Q17*'DPU formulas'!T$13)/('DPU formulas'!T$5+'DPU formulas'!T$6+'DPU formulas'!T$11+'DPU formulas'!T$13+'DPU formulas'!T$12),D17),)</f>
        <v>0</v>
      </c>
      <c r="D17">
        <f>Coal_Table_4!Q$7</f>
        <v>0</v>
      </c>
      <c r="E17">
        <f>Coal_Table_4!Q$7</f>
        <v>0</v>
      </c>
      <c r="F17">
        <f>Coal_Table_4!Q$9</f>
        <v>0</v>
      </c>
      <c r="G17">
        <f>Coal_Table_4!Q$11</f>
        <v>0</v>
      </c>
      <c r="H17">
        <f>Coal_Table_4!Q$13</f>
        <v>0</v>
      </c>
      <c r="I17">
        <f>Coal_Table_4!Q$15</f>
        <v>0</v>
      </c>
      <c r="J17">
        <f>Coal_Table_4!$Q$17</f>
        <v>0</v>
      </c>
      <c r="K17">
        <f>Coal_Table_4!$Q$19</f>
        <v>0</v>
      </c>
      <c r="L17">
        <f>Coal_Table_4!$Q$17</f>
        <v>0</v>
      </c>
      <c r="M17">
        <f>Coal_Table_4!$Q$19</f>
        <v>0</v>
      </c>
      <c r="N17">
        <f>Coal_Table_4!$Q$17</f>
        <v>0</v>
      </c>
      <c r="O17">
        <f>Coal_Table_4!$Q$19</f>
        <v>0</v>
      </c>
      <c r="P17">
        <f>Coal_Table_4!$Q$19</f>
        <v>0</v>
      </c>
      <c r="Q17">
        <f>Coal_Table_4!Q$21</f>
        <v>0</v>
      </c>
    </row>
    <row r="18" spans="1:17" x14ac:dyDescent="0.2">
      <c r="A18" t="s">
        <v>6934</v>
      </c>
      <c r="B18" t="s">
        <v>493</v>
      </c>
      <c r="C18">
        <f>Oil_Table_1!E30</f>
        <v>0</v>
      </c>
      <c r="D18">
        <f>Oil_Table_1!E27</f>
        <v>0</v>
      </c>
      <c r="E18" s="33" t="s">
        <v>1656</v>
      </c>
      <c r="F18">
        <f>Oil_Table_1!E28</f>
        <v>0</v>
      </c>
      <c r="G18">
        <f>Oil_Table_1!E29</f>
        <v>0</v>
      </c>
    </row>
    <row r="19" spans="1:17" x14ac:dyDescent="0.2">
      <c r="A19" t="s">
        <v>6935</v>
      </c>
      <c r="B19" t="s">
        <v>500</v>
      </c>
      <c r="C19">
        <f>Oil_Table_1!F30</f>
        <v>0</v>
      </c>
      <c r="D19">
        <f>Oil_Table_1!F27</f>
        <v>0</v>
      </c>
      <c r="E19" s="33" t="s">
        <v>1656</v>
      </c>
      <c r="F19">
        <f>Oil_Table_1!F28</f>
        <v>0</v>
      </c>
      <c r="G19">
        <f>Oil_Table_1!F29</f>
        <v>0</v>
      </c>
    </row>
    <row r="20" spans="1:17" x14ac:dyDescent="0.2">
      <c r="A20" t="s">
        <v>6936</v>
      </c>
      <c r="B20" t="s">
        <v>507</v>
      </c>
      <c r="C20">
        <f>Oil_Table_1!G30</f>
        <v>0</v>
      </c>
      <c r="D20">
        <f>Oil_Table_1!G27</f>
        <v>0</v>
      </c>
      <c r="E20" s="33" t="s">
        <v>1656</v>
      </c>
      <c r="F20">
        <f>Oil_Table_1!G28</f>
        <v>0</v>
      </c>
      <c r="G20">
        <f>Oil_Table_1!G29</f>
        <v>0</v>
      </c>
    </row>
    <row r="21" spans="1:17" x14ac:dyDescent="0.2">
      <c r="A21" t="s">
        <v>6937</v>
      </c>
      <c r="B21" t="s">
        <v>514</v>
      </c>
      <c r="C21">
        <f>Oil_Table_1!H30</f>
        <v>0</v>
      </c>
      <c r="D21">
        <f>Oil_Table_1!H27</f>
        <v>0</v>
      </c>
      <c r="E21" s="33" t="s">
        <v>1656</v>
      </c>
      <c r="F21">
        <f>Oil_Table_1!H28</f>
        <v>0</v>
      </c>
      <c r="G21">
        <f>Oil_Table_1!H29</f>
        <v>0</v>
      </c>
    </row>
    <row r="22" spans="1:17" x14ac:dyDescent="0.2">
      <c r="A22" t="s">
        <v>6938</v>
      </c>
      <c r="B22" t="s">
        <v>521</v>
      </c>
      <c r="C22">
        <f>Oil_Table_1!J30</f>
        <v>0</v>
      </c>
      <c r="D22">
        <f>Oil_Table_1!J27</f>
        <v>0</v>
      </c>
      <c r="E22" s="33" t="s">
        <v>1656</v>
      </c>
      <c r="F22">
        <f>Oil_Table_1!J28</f>
        <v>0</v>
      </c>
      <c r="G22">
        <f>Oil_Table_1!J29</f>
        <v>0</v>
      </c>
    </row>
    <row r="23" spans="1:17" x14ac:dyDescent="0.2">
      <c r="A23" t="s">
        <v>1679</v>
      </c>
      <c r="B23" t="s">
        <v>531</v>
      </c>
      <c r="C23" s="900">
        <f>INDEX(G103:T103,IF(ISNA($D$101),4,$D$101))</f>
        <v>48100</v>
      </c>
    </row>
    <row r="24" spans="1:17" x14ac:dyDescent="0.2">
      <c r="A24" t="s">
        <v>539</v>
      </c>
      <c r="B24" t="s">
        <v>538</v>
      </c>
      <c r="C24" s="901">
        <f t="shared" ref="C24:C39" si="0">INDEX(G104:T104,IF(ISNA($D$101),4,$D$101))</f>
        <v>49400</v>
      </c>
    </row>
    <row r="25" spans="1:17" x14ac:dyDescent="0.2">
      <c r="A25" t="s">
        <v>1680</v>
      </c>
      <c r="B25" t="s">
        <v>545</v>
      </c>
      <c r="C25" s="901">
        <f t="shared" si="0"/>
        <v>46767</v>
      </c>
    </row>
    <row r="26" spans="1:17" x14ac:dyDescent="0.2">
      <c r="A26" t="s">
        <v>1681</v>
      </c>
      <c r="B26" t="s">
        <v>552</v>
      </c>
      <c r="C26" s="901">
        <f t="shared" si="0"/>
        <v>44045</v>
      </c>
    </row>
    <row r="27" spans="1:17" x14ac:dyDescent="0.2">
      <c r="A27" t="s">
        <v>1682</v>
      </c>
      <c r="B27" t="s">
        <v>559</v>
      </c>
      <c r="C27" s="901">
        <f t="shared" si="0"/>
        <v>45552</v>
      </c>
      <c r="E27" s="13" t="s">
        <v>6939</v>
      </c>
    </row>
    <row r="28" spans="1:17" x14ac:dyDescent="0.2">
      <c r="A28" t="s">
        <v>1683</v>
      </c>
      <c r="B28" t="s">
        <v>566</v>
      </c>
      <c r="C28" s="901">
        <f t="shared" si="0"/>
        <v>40738</v>
      </c>
    </row>
    <row r="29" spans="1:17" x14ac:dyDescent="0.2">
      <c r="A29" t="s">
        <v>1684</v>
      </c>
      <c r="B29" t="s">
        <v>573</v>
      </c>
      <c r="C29" s="901">
        <f t="shared" si="0"/>
        <v>41073</v>
      </c>
    </row>
    <row r="30" spans="1:17" x14ac:dyDescent="0.2">
      <c r="A30" t="s">
        <v>1685</v>
      </c>
      <c r="B30" t="s">
        <v>580</v>
      </c>
      <c r="C30" s="901">
        <f t="shared" si="0"/>
        <v>43250</v>
      </c>
    </row>
    <row r="31" spans="1:17" x14ac:dyDescent="0.2">
      <c r="A31" t="s">
        <v>1686</v>
      </c>
      <c r="B31" t="s">
        <v>587</v>
      </c>
      <c r="C31" s="901">
        <f t="shared" si="0"/>
        <v>42915</v>
      </c>
    </row>
    <row r="32" spans="1:17" x14ac:dyDescent="0.2">
      <c r="A32" t="s">
        <v>1687</v>
      </c>
      <c r="B32" t="s">
        <v>594</v>
      </c>
      <c r="C32" s="901">
        <f t="shared" si="0"/>
        <v>41826</v>
      </c>
    </row>
    <row r="33" spans="1:3" x14ac:dyDescent="0.2">
      <c r="A33" t="s">
        <v>602</v>
      </c>
      <c r="B33" t="s">
        <v>601</v>
      </c>
      <c r="C33" s="901">
        <f t="shared" si="0"/>
        <v>44924</v>
      </c>
    </row>
    <row r="34" spans="1:3" x14ac:dyDescent="0.2">
      <c r="A34" t="s">
        <v>1688</v>
      </c>
      <c r="B34" t="s">
        <v>608</v>
      </c>
      <c r="C34" s="901">
        <f t="shared" si="0"/>
        <v>42496</v>
      </c>
    </row>
    <row r="35" spans="1:3" x14ac:dyDescent="0.2">
      <c r="A35" t="s">
        <v>616</v>
      </c>
      <c r="B35" t="s">
        <v>615</v>
      </c>
      <c r="C35" s="901">
        <f t="shared" si="0"/>
        <v>42000</v>
      </c>
    </row>
    <row r="36" spans="1:3" x14ac:dyDescent="0.2">
      <c r="A36" t="s">
        <v>623</v>
      </c>
      <c r="B36" t="s">
        <v>622</v>
      </c>
      <c r="C36" s="901">
        <f t="shared" si="0"/>
        <v>39000</v>
      </c>
    </row>
    <row r="37" spans="1:3" x14ac:dyDescent="0.2">
      <c r="A37" t="s">
        <v>1689</v>
      </c>
      <c r="B37" t="s">
        <v>629</v>
      </c>
      <c r="C37" s="901">
        <f t="shared" si="0"/>
        <v>40000</v>
      </c>
    </row>
    <row r="38" spans="1:3" x14ac:dyDescent="0.2">
      <c r="A38" t="s">
        <v>1690</v>
      </c>
      <c r="B38" t="s">
        <v>636</v>
      </c>
      <c r="C38" s="901">
        <f t="shared" si="0"/>
        <v>32000</v>
      </c>
    </row>
    <row r="39" spans="1:3" x14ac:dyDescent="0.2">
      <c r="A39" t="s">
        <v>1691</v>
      </c>
      <c r="B39" t="s">
        <v>643</v>
      </c>
      <c r="C39" s="902">
        <f t="shared" si="0"/>
        <v>40000</v>
      </c>
    </row>
    <row r="40" spans="1:3" x14ac:dyDescent="0.2">
      <c r="A40" t="s">
        <v>6940</v>
      </c>
      <c r="B40" t="s">
        <v>696</v>
      </c>
      <c r="C40">
        <f>IF(Ren_Table_3a!E46,Ren_Table_3a!E46,26800)</f>
        <v>26800</v>
      </c>
    </row>
    <row r="41" spans="1:3" x14ac:dyDescent="0.2">
      <c r="A41" t="s">
        <v>6941</v>
      </c>
      <c r="B41" t="s">
        <v>703</v>
      </c>
      <c r="C41">
        <f>IF(Ren_Table_3a!E49,Ren_Table_3a!E49,44600)</f>
        <v>44600</v>
      </c>
    </row>
    <row r="42" spans="1:3" x14ac:dyDescent="0.2">
      <c r="A42" t="s">
        <v>6942</v>
      </c>
      <c r="B42" t="s">
        <v>710</v>
      </c>
      <c r="C42">
        <f>IF(Ren_Table_3a!E48,Ren_Table_3a!E48,36800)</f>
        <v>36800</v>
      </c>
    </row>
    <row r="43" spans="1:3" x14ac:dyDescent="0.2">
      <c r="A43" t="s">
        <v>6943</v>
      </c>
      <c r="B43" t="s">
        <v>717</v>
      </c>
      <c r="C43">
        <f>IF(Ren_Table_3a!E50,Ren_Table_3a!E50,36800)</f>
        <v>36800</v>
      </c>
    </row>
    <row r="44" spans="1:3" x14ac:dyDescent="0.2">
      <c r="A44" t="s">
        <v>6944</v>
      </c>
      <c r="B44" t="s">
        <v>731</v>
      </c>
      <c r="C44">
        <f>IF(Ren_Table_3a!E51,Ren_Table_3a!E51,30800)</f>
        <v>30800</v>
      </c>
    </row>
    <row r="49" collapsed="1" x14ac:dyDescent="0.2"/>
    <row r="100" spans="3:17" x14ac:dyDescent="0.2">
      <c r="C100" s="37" t="s">
        <v>29</v>
      </c>
      <c r="D100" s="903" t="str">
        <f>CountryName</f>
        <v>South Africa</v>
      </c>
      <c r="F100" s="13" t="s">
        <v>1672</v>
      </c>
    </row>
    <row r="101" spans="3:17" x14ac:dyDescent="0.2">
      <c r="C101" s="37" t="s">
        <v>1673</v>
      </c>
      <c r="D101" s="903">
        <f>IF(ISNA(VLOOKUP(CountryName,$C$103:$D$176,2,FALSE)),4,VLOOKUP(CountryName,$C$103:$D$176,2,FALSE))</f>
        <v>9</v>
      </c>
      <c r="G101" s="12">
        <v>1</v>
      </c>
      <c r="H101" s="12">
        <v>2</v>
      </c>
      <c r="I101" s="12">
        <v>3</v>
      </c>
      <c r="J101" s="12">
        <v>4</v>
      </c>
      <c r="K101" s="12">
        <v>5</v>
      </c>
      <c r="L101" s="12">
        <v>6</v>
      </c>
      <c r="M101" s="12">
        <v>7</v>
      </c>
      <c r="N101" s="12">
        <v>8</v>
      </c>
      <c r="O101" s="12">
        <v>9</v>
      </c>
      <c r="P101" s="12">
        <v>10</v>
      </c>
      <c r="Q101" s="12">
        <v>11</v>
      </c>
    </row>
    <row r="102" spans="3:17" x14ac:dyDescent="0.2">
      <c r="C102" s="37" t="s">
        <v>6945</v>
      </c>
      <c r="G102" s="12" t="s">
        <v>1674</v>
      </c>
      <c r="H102" s="12" t="s">
        <v>1675</v>
      </c>
      <c r="I102" s="12" t="s">
        <v>1676</v>
      </c>
      <c r="J102" s="12" t="s">
        <v>1677</v>
      </c>
      <c r="K102" s="12" t="s">
        <v>115</v>
      </c>
      <c r="L102" s="12" t="s">
        <v>141</v>
      </c>
      <c r="M102" s="12" t="s">
        <v>1678</v>
      </c>
      <c r="N102" s="12" t="s">
        <v>144</v>
      </c>
      <c r="O102" s="12" t="s">
        <v>20</v>
      </c>
      <c r="P102" s="12" t="s">
        <v>140</v>
      </c>
      <c r="Q102" s="12" t="s">
        <v>137</v>
      </c>
    </row>
    <row r="103" spans="3:17" x14ac:dyDescent="0.2">
      <c r="C103" s="33" t="s">
        <v>114</v>
      </c>
      <c r="D103">
        <v>1</v>
      </c>
      <c r="F103" s="33" t="s">
        <v>1679</v>
      </c>
      <c r="G103">
        <v>49500</v>
      </c>
      <c r="H103">
        <v>48100</v>
      </c>
      <c r="I103">
        <v>48100</v>
      </c>
      <c r="J103">
        <v>48100</v>
      </c>
      <c r="K103">
        <v>48100</v>
      </c>
      <c r="L103">
        <v>35008</v>
      </c>
      <c r="M103">
        <v>46055</v>
      </c>
      <c r="N103">
        <v>48100</v>
      </c>
      <c r="O103">
        <v>48100</v>
      </c>
      <c r="P103">
        <v>48100</v>
      </c>
      <c r="Q103">
        <v>49500</v>
      </c>
    </row>
    <row r="104" spans="3:17" x14ac:dyDescent="0.2">
      <c r="C104" s="33" t="s">
        <v>115</v>
      </c>
      <c r="D104">
        <v>5</v>
      </c>
      <c r="F104" s="33" t="s">
        <v>539</v>
      </c>
      <c r="G104">
        <v>49500</v>
      </c>
      <c r="H104">
        <v>49400</v>
      </c>
      <c r="I104">
        <v>49400</v>
      </c>
      <c r="J104">
        <v>49400</v>
      </c>
      <c r="K104">
        <v>49400</v>
      </c>
      <c r="L104">
        <v>49400</v>
      </c>
      <c r="M104">
        <v>49400</v>
      </c>
      <c r="N104">
        <v>49400</v>
      </c>
      <c r="O104">
        <v>49400</v>
      </c>
      <c r="P104">
        <v>49400</v>
      </c>
      <c r="Q104">
        <v>49500</v>
      </c>
    </row>
    <row r="105" spans="3:17" x14ac:dyDescent="0.2">
      <c r="C105" s="33" t="s">
        <v>116</v>
      </c>
      <c r="D105">
        <v>1</v>
      </c>
      <c r="F105" s="33" t="s">
        <v>1680</v>
      </c>
      <c r="G105">
        <v>46000</v>
      </c>
      <c r="H105">
        <v>47300</v>
      </c>
      <c r="I105">
        <v>47700</v>
      </c>
      <c r="J105">
        <v>47300</v>
      </c>
      <c r="K105">
        <v>49404</v>
      </c>
      <c r="L105">
        <v>46473</v>
      </c>
      <c r="M105">
        <v>50242</v>
      </c>
      <c r="N105">
        <v>45544</v>
      </c>
      <c r="O105">
        <v>46767</v>
      </c>
      <c r="P105">
        <v>46306</v>
      </c>
      <c r="Q105">
        <v>46000</v>
      </c>
    </row>
    <row r="106" spans="3:17" x14ac:dyDescent="0.2">
      <c r="C106" s="33" t="s">
        <v>77</v>
      </c>
      <c r="D106">
        <v>3</v>
      </c>
      <c r="F106" s="33" t="s">
        <v>1681</v>
      </c>
      <c r="G106">
        <v>44000</v>
      </c>
      <c r="H106">
        <v>44800</v>
      </c>
      <c r="I106">
        <v>44600</v>
      </c>
      <c r="J106">
        <v>44800</v>
      </c>
      <c r="K106">
        <v>44800</v>
      </c>
      <c r="L106">
        <v>43543</v>
      </c>
      <c r="M106">
        <v>43124</v>
      </c>
      <c r="N106">
        <v>43961</v>
      </c>
      <c r="O106">
        <v>44045</v>
      </c>
      <c r="P106">
        <v>43878</v>
      </c>
      <c r="Q106">
        <v>44000</v>
      </c>
    </row>
    <row r="107" spans="3:17" x14ac:dyDescent="0.2">
      <c r="C107" s="33" t="s">
        <v>79</v>
      </c>
      <c r="D107">
        <v>1</v>
      </c>
      <c r="F107" s="33" t="s">
        <v>1682</v>
      </c>
      <c r="G107">
        <v>44000</v>
      </c>
      <c r="H107">
        <v>44800</v>
      </c>
      <c r="I107">
        <v>44600</v>
      </c>
      <c r="J107">
        <v>44800</v>
      </c>
      <c r="K107">
        <v>44800</v>
      </c>
      <c r="L107">
        <v>44380</v>
      </c>
      <c r="M107">
        <v>43124</v>
      </c>
      <c r="N107">
        <v>43961</v>
      </c>
      <c r="O107">
        <v>45552</v>
      </c>
      <c r="P107">
        <v>43878</v>
      </c>
      <c r="Q107">
        <v>44000</v>
      </c>
    </row>
    <row r="108" spans="3:17" x14ac:dyDescent="0.2">
      <c r="C108" s="33" t="s">
        <v>117</v>
      </c>
      <c r="D108">
        <v>1</v>
      </c>
      <c r="F108" s="33" t="s">
        <v>1683</v>
      </c>
      <c r="G108">
        <v>43000</v>
      </c>
      <c r="H108">
        <v>44800</v>
      </c>
      <c r="I108">
        <v>44600</v>
      </c>
      <c r="J108">
        <v>44800</v>
      </c>
      <c r="K108">
        <v>44800</v>
      </c>
      <c r="L108">
        <v>44800</v>
      </c>
      <c r="M108">
        <v>43124</v>
      </c>
      <c r="N108">
        <v>44800</v>
      </c>
      <c r="O108">
        <v>40738</v>
      </c>
      <c r="P108">
        <v>43878</v>
      </c>
      <c r="Q108">
        <v>43000</v>
      </c>
    </row>
    <row r="109" spans="3:17" x14ac:dyDescent="0.2">
      <c r="C109" s="33" t="s">
        <v>118</v>
      </c>
      <c r="D109">
        <v>1</v>
      </c>
      <c r="F109" s="33" t="s">
        <v>1684</v>
      </c>
      <c r="G109">
        <v>43000</v>
      </c>
      <c r="H109">
        <v>44600</v>
      </c>
      <c r="I109">
        <v>44500</v>
      </c>
      <c r="J109">
        <v>44600</v>
      </c>
      <c r="K109">
        <v>44600</v>
      </c>
      <c r="L109">
        <v>43543</v>
      </c>
      <c r="M109">
        <v>43124</v>
      </c>
      <c r="N109">
        <v>43199</v>
      </c>
      <c r="O109">
        <v>41073</v>
      </c>
      <c r="P109">
        <v>43333</v>
      </c>
      <c r="Q109">
        <v>43000</v>
      </c>
    </row>
    <row r="110" spans="3:17" x14ac:dyDescent="0.2">
      <c r="C110" s="33" t="s">
        <v>80</v>
      </c>
      <c r="D110">
        <v>1</v>
      </c>
      <c r="F110" s="33" t="s">
        <v>1685</v>
      </c>
      <c r="G110">
        <v>43000</v>
      </c>
      <c r="H110">
        <v>43800</v>
      </c>
      <c r="I110">
        <v>42900</v>
      </c>
      <c r="J110">
        <v>43800</v>
      </c>
      <c r="K110">
        <v>43800</v>
      </c>
      <c r="L110">
        <v>43543</v>
      </c>
      <c r="M110">
        <v>43124</v>
      </c>
      <c r="N110">
        <v>43208</v>
      </c>
      <c r="O110">
        <v>43250</v>
      </c>
      <c r="P110">
        <v>43208</v>
      </c>
      <c r="Q110">
        <v>43000</v>
      </c>
    </row>
    <row r="111" spans="3:17" x14ac:dyDescent="0.2">
      <c r="C111" s="33" t="s">
        <v>119</v>
      </c>
      <c r="D111">
        <v>1</v>
      </c>
      <c r="F111" s="33" t="s">
        <v>1686</v>
      </c>
      <c r="G111">
        <v>42600</v>
      </c>
      <c r="H111">
        <v>42600</v>
      </c>
      <c r="I111">
        <v>42600</v>
      </c>
      <c r="J111">
        <v>43300</v>
      </c>
      <c r="K111">
        <v>43300</v>
      </c>
      <c r="L111">
        <v>42267</v>
      </c>
      <c r="M111">
        <v>42705</v>
      </c>
      <c r="N111">
        <v>42496</v>
      </c>
      <c r="O111">
        <v>42915</v>
      </c>
      <c r="P111">
        <v>42998</v>
      </c>
      <c r="Q111">
        <v>42600</v>
      </c>
    </row>
    <row r="112" spans="3:17" x14ac:dyDescent="0.2">
      <c r="C112" s="33" t="s">
        <v>141</v>
      </c>
      <c r="D112">
        <v>6</v>
      </c>
      <c r="F112" s="33" t="s">
        <v>1687</v>
      </c>
      <c r="G112">
        <v>40000</v>
      </c>
      <c r="H112">
        <v>40200</v>
      </c>
      <c r="I112">
        <v>42600</v>
      </c>
      <c r="J112">
        <v>40200</v>
      </c>
      <c r="K112">
        <v>40200</v>
      </c>
      <c r="L112">
        <v>40068</v>
      </c>
      <c r="M112">
        <v>41868</v>
      </c>
      <c r="N112">
        <v>41500</v>
      </c>
      <c r="O112">
        <v>41826</v>
      </c>
      <c r="P112">
        <v>40989</v>
      </c>
      <c r="Q112">
        <v>40000</v>
      </c>
    </row>
    <row r="113" spans="3:17" x14ac:dyDescent="0.2">
      <c r="C113" s="33" t="s">
        <v>120</v>
      </c>
      <c r="D113">
        <v>1</v>
      </c>
      <c r="F113" s="33" t="s">
        <v>602</v>
      </c>
      <c r="G113">
        <v>44000</v>
      </c>
      <c r="H113">
        <v>45000</v>
      </c>
      <c r="I113">
        <v>43200</v>
      </c>
      <c r="J113">
        <v>45000</v>
      </c>
      <c r="K113">
        <v>45000</v>
      </c>
      <c r="L113">
        <v>44506</v>
      </c>
      <c r="M113">
        <v>43124</v>
      </c>
      <c r="N113">
        <v>44129</v>
      </c>
      <c r="O113">
        <v>44924</v>
      </c>
      <c r="P113">
        <v>44129</v>
      </c>
      <c r="Q113">
        <v>44000</v>
      </c>
    </row>
    <row r="114" spans="3:17" x14ac:dyDescent="0.2">
      <c r="C114" s="33" t="s">
        <v>81</v>
      </c>
      <c r="D114">
        <v>2</v>
      </c>
      <c r="F114" s="33" t="s">
        <v>1688</v>
      </c>
      <c r="G114">
        <v>43600</v>
      </c>
      <c r="H114">
        <v>43000</v>
      </c>
      <c r="I114">
        <v>43000</v>
      </c>
      <c r="J114">
        <v>43000</v>
      </c>
      <c r="K114">
        <v>43000</v>
      </c>
      <c r="L114">
        <v>47060</v>
      </c>
      <c r="M114">
        <v>38519</v>
      </c>
      <c r="N114">
        <v>43208</v>
      </c>
      <c r="O114">
        <v>42496</v>
      </c>
      <c r="P114">
        <v>43585</v>
      </c>
      <c r="Q114">
        <v>43600</v>
      </c>
    </row>
    <row r="115" spans="3:17" x14ac:dyDescent="0.2">
      <c r="C115" s="33" t="s">
        <v>82</v>
      </c>
      <c r="D115">
        <v>2</v>
      </c>
      <c r="F115" s="33" t="s">
        <v>616</v>
      </c>
      <c r="G115">
        <v>42000</v>
      </c>
      <c r="H115">
        <v>42000</v>
      </c>
      <c r="I115">
        <v>42900</v>
      </c>
      <c r="J115">
        <v>42000</v>
      </c>
      <c r="K115">
        <v>42000</v>
      </c>
      <c r="L115">
        <v>41372</v>
      </c>
      <c r="M115">
        <v>38519</v>
      </c>
      <c r="N115">
        <v>42140</v>
      </c>
      <c r="O115">
        <v>42000</v>
      </c>
      <c r="P115">
        <v>42705</v>
      </c>
      <c r="Q115">
        <v>42000</v>
      </c>
    </row>
    <row r="116" spans="3:17" x14ac:dyDescent="0.2">
      <c r="C116" s="33" t="s">
        <v>121</v>
      </c>
      <c r="D116">
        <v>1</v>
      </c>
      <c r="F116" s="33" t="s">
        <v>623</v>
      </c>
      <c r="G116">
        <v>39000</v>
      </c>
      <c r="H116">
        <v>40000</v>
      </c>
      <c r="I116">
        <v>38800</v>
      </c>
      <c r="J116">
        <v>39000</v>
      </c>
      <c r="K116">
        <v>39000</v>
      </c>
      <c r="L116">
        <v>40828</v>
      </c>
      <c r="M116">
        <v>39000</v>
      </c>
      <c r="N116">
        <v>41800</v>
      </c>
      <c r="O116">
        <v>39000</v>
      </c>
      <c r="P116">
        <v>42705</v>
      </c>
      <c r="Q116">
        <v>39000</v>
      </c>
    </row>
    <row r="117" spans="3:17" x14ac:dyDescent="0.2">
      <c r="C117" s="33" t="s">
        <v>122</v>
      </c>
      <c r="D117">
        <v>1</v>
      </c>
      <c r="F117" s="33" t="s">
        <v>1689</v>
      </c>
      <c r="G117">
        <v>40000</v>
      </c>
      <c r="H117">
        <v>40000</v>
      </c>
      <c r="I117">
        <v>40000</v>
      </c>
      <c r="J117">
        <v>40000</v>
      </c>
      <c r="K117">
        <v>40000</v>
      </c>
      <c r="L117">
        <v>40000</v>
      </c>
      <c r="M117">
        <v>40000</v>
      </c>
      <c r="N117">
        <v>43333</v>
      </c>
      <c r="O117">
        <v>40000</v>
      </c>
      <c r="P117">
        <v>40000</v>
      </c>
      <c r="Q117">
        <v>40000</v>
      </c>
    </row>
    <row r="118" spans="3:17" x14ac:dyDescent="0.2">
      <c r="C118" s="33" t="s">
        <v>83</v>
      </c>
      <c r="D118">
        <v>1</v>
      </c>
      <c r="F118" s="33" t="s">
        <v>1690</v>
      </c>
      <c r="G118">
        <v>32000</v>
      </c>
      <c r="H118">
        <v>32000</v>
      </c>
      <c r="I118">
        <v>33800</v>
      </c>
      <c r="J118">
        <v>32000</v>
      </c>
      <c r="K118">
        <v>32000</v>
      </c>
      <c r="L118">
        <v>35007</v>
      </c>
      <c r="M118">
        <v>32000</v>
      </c>
      <c r="N118">
        <v>36400</v>
      </c>
      <c r="O118">
        <v>32000</v>
      </c>
      <c r="P118">
        <v>32000</v>
      </c>
      <c r="Q118">
        <v>32000</v>
      </c>
    </row>
    <row r="119" spans="3:17" x14ac:dyDescent="0.2">
      <c r="C119" s="33" t="s">
        <v>84</v>
      </c>
      <c r="D119">
        <v>1</v>
      </c>
      <c r="F119" s="33" t="s">
        <v>1691</v>
      </c>
      <c r="G119">
        <v>40000</v>
      </c>
      <c r="H119">
        <v>40000</v>
      </c>
      <c r="I119">
        <v>40000</v>
      </c>
      <c r="J119">
        <v>40000</v>
      </c>
      <c r="K119">
        <v>40000</v>
      </c>
      <c r="L119">
        <v>40763</v>
      </c>
      <c r="M119">
        <v>38519</v>
      </c>
      <c r="N119">
        <v>42496</v>
      </c>
      <c r="O119">
        <v>40000</v>
      </c>
      <c r="P119">
        <v>42705</v>
      </c>
      <c r="Q119">
        <v>40000</v>
      </c>
    </row>
    <row r="120" spans="3:17" x14ac:dyDescent="0.2">
      <c r="C120" s="33" t="s">
        <v>85</v>
      </c>
      <c r="D120">
        <v>1</v>
      </c>
    </row>
    <row r="121" spans="3:17" x14ac:dyDescent="0.2">
      <c r="C121" s="33" t="s">
        <v>86</v>
      </c>
      <c r="D121">
        <v>1</v>
      </c>
    </row>
    <row r="122" spans="3:17" x14ac:dyDescent="0.2">
      <c r="C122" s="33" t="s">
        <v>6946</v>
      </c>
      <c r="D122">
        <v>1</v>
      </c>
    </row>
    <row r="123" spans="3:17" x14ac:dyDescent="0.2">
      <c r="C123" s="33" t="s">
        <v>87</v>
      </c>
      <c r="D123">
        <v>1</v>
      </c>
    </row>
    <row r="124" spans="3:17" x14ac:dyDescent="0.2">
      <c r="C124" s="33" t="s">
        <v>123</v>
      </c>
      <c r="D124">
        <v>1</v>
      </c>
    </row>
    <row r="125" spans="3:17" x14ac:dyDescent="0.2">
      <c r="C125" s="33" t="s">
        <v>88</v>
      </c>
      <c r="D125">
        <v>1</v>
      </c>
    </row>
    <row r="126" spans="3:17" x14ac:dyDescent="0.2">
      <c r="C126" s="33" t="s">
        <v>124</v>
      </c>
      <c r="D126">
        <v>1</v>
      </c>
    </row>
    <row r="127" spans="3:17" x14ac:dyDescent="0.2">
      <c r="C127" s="33" t="s">
        <v>89</v>
      </c>
      <c r="D127">
        <v>1</v>
      </c>
    </row>
    <row r="128" spans="3:17" x14ac:dyDescent="0.2">
      <c r="C128" s="33" t="s">
        <v>90</v>
      </c>
      <c r="D128">
        <v>1</v>
      </c>
    </row>
    <row r="129" spans="3:4" x14ac:dyDescent="0.2">
      <c r="C129" s="33" t="s">
        <v>91</v>
      </c>
      <c r="D129">
        <v>1</v>
      </c>
    </row>
    <row r="130" spans="3:4" x14ac:dyDescent="0.2">
      <c r="C130" s="33" t="s">
        <v>143</v>
      </c>
      <c r="D130">
        <v>4</v>
      </c>
    </row>
    <row r="131" spans="3:4" x14ac:dyDescent="0.2">
      <c r="C131" s="33" t="s">
        <v>92</v>
      </c>
      <c r="D131">
        <v>1</v>
      </c>
    </row>
    <row r="132" spans="3:4" x14ac:dyDescent="0.2">
      <c r="C132" s="33" t="s">
        <v>93</v>
      </c>
      <c r="D132">
        <v>3</v>
      </c>
    </row>
    <row r="133" spans="3:4" x14ac:dyDescent="0.2">
      <c r="C133" s="33" t="s">
        <v>94</v>
      </c>
      <c r="D133">
        <v>1</v>
      </c>
    </row>
    <row r="134" spans="3:4" x14ac:dyDescent="0.2">
      <c r="C134" s="33" t="s">
        <v>95</v>
      </c>
      <c r="D134">
        <v>3</v>
      </c>
    </row>
    <row r="135" spans="3:4" x14ac:dyDescent="0.2">
      <c r="C135" s="33" t="s">
        <v>125</v>
      </c>
      <c r="D135">
        <v>1</v>
      </c>
    </row>
    <row r="136" spans="3:4" x14ac:dyDescent="0.2">
      <c r="C136" s="33" t="s">
        <v>96</v>
      </c>
      <c r="D136">
        <v>3</v>
      </c>
    </row>
    <row r="137" spans="3:4" x14ac:dyDescent="0.2">
      <c r="C137" s="33" t="s">
        <v>126</v>
      </c>
      <c r="D137">
        <v>1</v>
      </c>
    </row>
    <row r="138" spans="3:4" x14ac:dyDescent="0.2">
      <c r="C138" s="33" t="s">
        <v>127</v>
      </c>
      <c r="D138">
        <v>1</v>
      </c>
    </row>
    <row r="139" spans="3:4" x14ac:dyDescent="0.2">
      <c r="C139" s="33" t="s">
        <v>97</v>
      </c>
      <c r="D139">
        <v>1</v>
      </c>
    </row>
    <row r="140" spans="3:4" x14ac:dyDescent="0.2">
      <c r="C140" s="33" t="s">
        <v>98</v>
      </c>
      <c r="D140">
        <v>1</v>
      </c>
    </row>
    <row r="141" spans="3:4" x14ac:dyDescent="0.2">
      <c r="C141" s="33" t="s">
        <v>99</v>
      </c>
      <c r="D141">
        <v>1</v>
      </c>
    </row>
    <row r="142" spans="3:4" x14ac:dyDescent="0.2">
      <c r="C142" s="33" t="s">
        <v>144</v>
      </c>
      <c r="D142">
        <v>8</v>
      </c>
    </row>
    <row r="143" spans="3:4" x14ac:dyDescent="0.2">
      <c r="C143" s="33" t="s">
        <v>128</v>
      </c>
      <c r="D143">
        <v>1</v>
      </c>
    </row>
    <row r="144" spans="3:4" x14ac:dyDescent="0.2">
      <c r="C144" s="33" t="s">
        <v>100</v>
      </c>
      <c r="D144">
        <v>2</v>
      </c>
    </row>
    <row r="145" spans="3:4" x14ac:dyDescent="0.2">
      <c r="C145" s="33" t="s">
        <v>129</v>
      </c>
      <c r="D145">
        <v>1</v>
      </c>
    </row>
    <row r="146" spans="3:4" x14ac:dyDescent="0.2">
      <c r="C146" s="33" t="s">
        <v>130</v>
      </c>
      <c r="D146">
        <v>1</v>
      </c>
    </row>
    <row r="147" spans="3:4" x14ac:dyDescent="0.2">
      <c r="C147" s="33" t="s">
        <v>139</v>
      </c>
      <c r="D147">
        <v>4</v>
      </c>
    </row>
    <row r="148" spans="3:4" x14ac:dyDescent="0.2">
      <c r="C148" s="33" t="s">
        <v>101</v>
      </c>
      <c r="D148">
        <v>1</v>
      </c>
    </row>
    <row r="149" spans="3:4" x14ac:dyDescent="0.2">
      <c r="C149" s="33" t="s">
        <v>102</v>
      </c>
      <c r="D149">
        <v>3</v>
      </c>
    </row>
    <row r="150" spans="3:4" x14ac:dyDescent="0.2">
      <c r="C150" s="33" t="s">
        <v>103</v>
      </c>
      <c r="D150">
        <v>1</v>
      </c>
    </row>
    <row r="151" spans="3:4" x14ac:dyDescent="0.2">
      <c r="C151" s="33" t="s">
        <v>142</v>
      </c>
      <c r="D151">
        <v>7</v>
      </c>
    </row>
    <row r="152" spans="3:4" x14ac:dyDescent="0.2">
      <c r="C152" s="33" t="s">
        <v>104</v>
      </c>
      <c r="D152">
        <v>1</v>
      </c>
    </row>
    <row r="153" spans="3:4" x14ac:dyDescent="0.2">
      <c r="C153" s="33" t="s">
        <v>105</v>
      </c>
      <c r="D153">
        <v>1</v>
      </c>
    </row>
    <row r="154" spans="3:4" x14ac:dyDescent="0.2">
      <c r="C154" s="33" t="s">
        <v>132</v>
      </c>
      <c r="D154">
        <v>1</v>
      </c>
    </row>
    <row r="155" spans="3:4" x14ac:dyDescent="0.2">
      <c r="C155" s="33" t="s">
        <v>133</v>
      </c>
      <c r="D155">
        <v>1</v>
      </c>
    </row>
    <row r="156" spans="3:4" x14ac:dyDescent="0.2">
      <c r="C156" s="33" t="s">
        <v>134</v>
      </c>
      <c r="D156">
        <v>1</v>
      </c>
    </row>
    <row r="157" spans="3:4" x14ac:dyDescent="0.2">
      <c r="C157" s="33" t="s">
        <v>106</v>
      </c>
      <c r="D157">
        <v>1</v>
      </c>
    </row>
    <row r="158" spans="3:4" x14ac:dyDescent="0.2">
      <c r="C158" s="33" t="s">
        <v>107</v>
      </c>
      <c r="D158">
        <v>1</v>
      </c>
    </row>
    <row r="159" spans="3:4" x14ac:dyDescent="0.2">
      <c r="C159" s="33" t="s">
        <v>20</v>
      </c>
      <c r="D159">
        <v>9</v>
      </c>
    </row>
    <row r="160" spans="3:4" x14ac:dyDescent="0.2">
      <c r="C160" s="33" t="s">
        <v>108</v>
      </c>
      <c r="D160">
        <v>1</v>
      </c>
    </row>
    <row r="161" spans="3:4" x14ac:dyDescent="0.2">
      <c r="C161" s="33" t="s">
        <v>145</v>
      </c>
      <c r="D161">
        <v>4</v>
      </c>
    </row>
    <row r="162" spans="3:4" x14ac:dyDescent="0.2">
      <c r="C162" s="33" t="s">
        <v>109</v>
      </c>
      <c r="D162">
        <v>1</v>
      </c>
    </row>
    <row r="163" spans="3:4" x14ac:dyDescent="0.2">
      <c r="C163" s="33" t="s">
        <v>110</v>
      </c>
      <c r="D163">
        <v>1</v>
      </c>
    </row>
    <row r="164" spans="3:4" x14ac:dyDescent="0.2">
      <c r="C164" s="33" t="s">
        <v>135</v>
      </c>
      <c r="D164">
        <v>1</v>
      </c>
    </row>
    <row r="165" spans="3:4" x14ac:dyDescent="0.2">
      <c r="C165" s="33" t="s">
        <v>140</v>
      </c>
      <c r="D165">
        <v>10</v>
      </c>
    </row>
    <row r="166" spans="3:4" x14ac:dyDescent="0.2">
      <c r="C166" s="33" t="s">
        <v>111</v>
      </c>
      <c r="D166">
        <v>1</v>
      </c>
    </row>
    <row r="167" spans="3:4" x14ac:dyDescent="0.2">
      <c r="C167" s="33" t="s">
        <v>136</v>
      </c>
      <c r="D167">
        <v>1</v>
      </c>
    </row>
    <row r="168" spans="3:4" x14ac:dyDescent="0.2">
      <c r="C168" s="33" t="s">
        <v>137</v>
      </c>
      <c r="D168">
        <v>11</v>
      </c>
    </row>
    <row r="169" spans="3:4" x14ac:dyDescent="0.2">
      <c r="C169" s="33" t="s">
        <v>112</v>
      </c>
      <c r="D169">
        <v>1</v>
      </c>
    </row>
    <row r="170" spans="3:4" x14ac:dyDescent="0.2">
      <c r="C170" s="33" t="s">
        <v>113</v>
      </c>
      <c r="D170">
        <v>2</v>
      </c>
    </row>
    <row r="171" spans="3:4" x14ac:dyDescent="0.2">
      <c r="C171" s="33" t="s">
        <v>138</v>
      </c>
      <c r="D171">
        <v>1</v>
      </c>
    </row>
  </sheetData>
  <printOptions horizontalCentered="1" verticalCentered="1"/>
  <pageMargins left="0" right="0" top="0" bottom="0" header="0.51181102362204722" footer="0"/>
  <pageSetup paperSize="9" scale="54" fitToWidth="2" orientation="landscape" r:id="rId1"/>
  <headerFooter alignWithMargins="0">
    <oddHeader>&amp;A</oddHeader>
    <oddFooter>&amp;R&amp;D  &amp;T</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04b">
    <tabColor theme="1"/>
  </sheetPr>
  <dimension ref="A1:BP106"/>
  <sheetViews>
    <sheetView zoomScaleNormal="100" workbookViewId="0">
      <pane xSplit="2" ySplit="4" topLeftCell="C47" activePane="bottomRight" state="frozen"/>
      <selection pane="topRight" activeCell="BG104" sqref="BG104"/>
      <selection pane="bottomLeft" activeCell="BG104" sqref="BG104"/>
      <selection pane="bottomRight" activeCell="S93" sqref="S93"/>
    </sheetView>
  </sheetViews>
  <sheetFormatPr defaultRowHeight="12.75" x14ac:dyDescent="0.2"/>
  <cols>
    <col min="1" max="1" width="34.7109375" bestFit="1" customWidth="1"/>
    <col min="2" max="2" width="13.5703125" hidden="1" customWidth="1"/>
    <col min="3" max="68" width="12.28515625" customWidth="1"/>
  </cols>
  <sheetData>
    <row r="1" spans="1:68" x14ac:dyDescent="0.2">
      <c r="A1" s="259" t="s">
        <v>209</v>
      </c>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AS1" s="20"/>
      <c r="AT1" s="20"/>
      <c r="AU1" s="20"/>
      <c r="AV1" s="20"/>
      <c r="AW1" s="20"/>
      <c r="AX1" s="20"/>
      <c r="AY1" s="20"/>
      <c r="AZ1" s="20"/>
      <c r="BA1" s="20"/>
      <c r="BB1" s="20"/>
      <c r="BC1" s="20"/>
      <c r="BD1" s="20"/>
      <c r="BE1" s="20"/>
      <c r="BF1" s="20"/>
      <c r="BG1" s="20"/>
      <c r="BH1" s="20"/>
      <c r="BI1" s="20"/>
      <c r="BJ1" s="20"/>
      <c r="BK1" s="20"/>
      <c r="BL1" s="20"/>
      <c r="BM1" s="20"/>
      <c r="BN1" s="20"/>
      <c r="BO1" s="20"/>
      <c r="BP1" s="20"/>
    </row>
    <row r="2" spans="1:68" ht="12.75" customHeight="1" x14ac:dyDescent="0.2">
      <c r="A2" s="709"/>
      <c r="B2" s="386"/>
      <c r="C2" s="709" t="s">
        <v>6947</v>
      </c>
      <c r="D2" s="386"/>
      <c r="E2" s="386"/>
      <c r="F2" s="386"/>
      <c r="G2" s="386"/>
      <c r="H2" s="386"/>
      <c r="I2" s="386"/>
      <c r="J2" s="386"/>
      <c r="K2" s="386"/>
      <c r="L2" s="588"/>
      <c r="M2" s="709" t="s">
        <v>6948</v>
      </c>
      <c r="N2" s="386"/>
      <c r="O2" s="386"/>
      <c r="P2" s="386"/>
      <c r="Q2" s="588"/>
      <c r="R2" s="892" t="s">
        <v>6949</v>
      </c>
      <c r="S2" s="892" t="s">
        <v>6950</v>
      </c>
      <c r="T2" s="892" t="s">
        <v>6951</v>
      </c>
      <c r="U2" s="709" t="s">
        <v>6952</v>
      </c>
      <c r="V2" s="386"/>
      <c r="W2" s="386"/>
      <c r="X2" s="386"/>
      <c r="Y2" s="588"/>
      <c r="Z2" s="709" t="s">
        <v>6953</v>
      </c>
      <c r="AA2" s="386"/>
      <c r="AB2" s="386"/>
      <c r="AC2" s="386"/>
      <c r="AD2" s="386"/>
      <c r="AE2" s="386"/>
      <c r="AF2" s="386"/>
      <c r="AG2" s="386"/>
      <c r="AH2" s="386"/>
      <c r="AI2" s="386"/>
      <c r="AJ2" s="386"/>
      <c r="AK2" s="386"/>
      <c r="AL2" s="386"/>
      <c r="AM2" s="386"/>
      <c r="AN2" s="386"/>
      <c r="AO2" s="386"/>
      <c r="AP2" s="588"/>
      <c r="AQ2" s="892" t="s">
        <v>6954</v>
      </c>
      <c r="AR2" s="709" t="s">
        <v>6955</v>
      </c>
      <c r="AS2" s="386"/>
      <c r="AT2" s="386"/>
      <c r="AU2" s="386"/>
      <c r="AV2" s="386"/>
      <c r="AW2" s="386"/>
      <c r="AX2" s="386"/>
      <c r="AY2" s="386"/>
      <c r="AZ2" s="386"/>
      <c r="BA2" s="386"/>
      <c r="BB2" s="588"/>
      <c r="BC2" s="709" t="s">
        <v>6956</v>
      </c>
      <c r="BD2" s="386"/>
      <c r="BE2" s="386"/>
      <c r="BF2" s="386"/>
      <c r="BG2" s="386"/>
      <c r="BH2" s="386"/>
      <c r="BI2" s="386"/>
      <c r="BJ2" s="386"/>
      <c r="BK2" s="386"/>
      <c r="BL2" s="386"/>
      <c r="BM2" s="386"/>
      <c r="BN2" s="386"/>
      <c r="BO2" s="386"/>
      <c r="BP2" s="588"/>
    </row>
    <row r="3" spans="1:68" ht="53.25" customHeight="1" x14ac:dyDescent="0.2">
      <c r="A3" s="894" t="str">
        <f xml:space="preserve"> CountryName &amp; " "&amp; DataYear</f>
        <v>South Africa 2019</v>
      </c>
      <c r="B3" s="20"/>
      <c r="C3" s="895" t="s">
        <v>326</v>
      </c>
      <c r="D3" s="896" t="s">
        <v>6923</v>
      </c>
      <c r="E3" s="896" t="s">
        <v>6924</v>
      </c>
      <c r="F3" s="896" t="s">
        <v>6957</v>
      </c>
      <c r="G3" s="896" t="s">
        <v>369</v>
      </c>
      <c r="H3" s="896" t="s">
        <v>6927</v>
      </c>
      <c r="I3" s="896" t="s">
        <v>6958</v>
      </c>
      <c r="J3" s="896" t="s">
        <v>6929</v>
      </c>
      <c r="K3" s="896" t="s">
        <v>6959</v>
      </c>
      <c r="L3" s="897" t="s">
        <v>418</v>
      </c>
      <c r="M3" s="895" t="s">
        <v>6960</v>
      </c>
      <c r="N3" s="896" t="s">
        <v>6961</v>
      </c>
      <c r="O3" s="896" t="s">
        <v>6962</v>
      </c>
      <c r="P3" s="896" t="s">
        <v>6963</v>
      </c>
      <c r="Q3" s="897" t="s">
        <v>6964</v>
      </c>
      <c r="R3" s="898"/>
      <c r="S3" s="898"/>
      <c r="T3" s="898"/>
      <c r="U3" s="895" t="s">
        <v>6934</v>
      </c>
      <c r="V3" s="896" t="s">
        <v>6965</v>
      </c>
      <c r="W3" s="896" t="s">
        <v>6936</v>
      </c>
      <c r="X3" s="896" t="s">
        <v>6966</v>
      </c>
      <c r="Y3" s="897" t="s">
        <v>6938</v>
      </c>
      <c r="Z3" s="895" t="s">
        <v>6967</v>
      </c>
      <c r="AA3" s="896" t="s">
        <v>539</v>
      </c>
      <c r="AB3" s="896" t="s">
        <v>6968</v>
      </c>
      <c r="AC3" s="896" t="s">
        <v>6969</v>
      </c>
      <c r="AD3" s="896" t="s">
        <v>1682</v>
      </c>
      <c r="AE3" s="896" t="s">
        <v>1683</v>
      </c>
      <c r="AF3" s="896" t="s">
        <v>6970</v>
      </c>
      <c r="AG3" s="896" t="s">
        <v>6971</v>
      </c>
      <c r="AH3" s="896" t="s">
        <v>6972</v>
      </c>
      <c r="AI3" s="896" t="s">
        <v>6973</v>
      </c>
      <c r="AJ3" s="896" t="s">
        <v>602</v>
      </c>
      <c r="AK3" s="896" t="s">
        <v>6974</v>
      </c>
      <c r="AL3" s="896" t="s">
        <v>616</v>
      </c>
      <c r="AM3" s="896" t="s">
        <v>6975</v>
      </c>
      <c r="AN3" s="896" t="s">
        <v>6976</v>
      </c>
      <c r="AO3" s="896" t="s">
        <v>6977</v>
      </c>
      <c r="AP3" s="897" t="s">
        <v>6978</v>
      </c>
      <c r="AQ3" s="898"/>
      <c r="AR3" s="895" t="s">
        <v>6979</v>
      </c>
      <c r="AS3" s="896" t="s">
        <v>6980</v>
      </c>
      <c r="AT3" s="896" t="s">
        <v>6981</v>
      </c>
      <c r="AU3" s="896" t="s">
        <v>6982</v>
      </c>
      <c r="AV3" s="896" t="s">
        <v>6983</v>
      </c>
      <c r="AW3" s="896" t="s">
        <v>6984</v>
      </c>
      <c r="AX3" s="896" t="s">
        <v>6985</v>
      </c>
      <c r="AY3" s="896" t="s">
        <v>6986</v>
      </c>
      <c r="AZ3" s="896" t="s">
        <v>6987</v>
      </c>
      <c r="BA3" s="896" t="s">
        <v>6988</v>
      </c>
      <c r="BB3" s="897" t="s">
        <v>6989</v>
      </c>
      <c r="BC3" s="895" t="s">
        <v>741</v>
      </c>
      <c r="BD3" s="896" t="s">
        <v>751</v>
      </c>
      <c r="BE3" s="896" t="s">
        <v>6990</v>
      </c>
      <c r="BF3" s="896" t="s">
        <v>6991</v>
      </c>
      <c r="BG3" s="896" t="s">
        <v>6992</v>
      </c>
      <c r="BH3" s="896" t="s">
        <v>6993</v>
      </c>
      <c r="BI3" s="896" t="s">
        <v>789</v>
      </c>
      <c r="BJ3" s="896" t="s">
        <v>6994</v>
      </c>
      <c r="BK3" s="896" t="s">
        <v>6995</v>
      </c>
      <c r="BL3" s="896" t="s">
        <v>6996</v>
      </c>
      <c r="BM3" s="896" t="s">
        <v>6913</v>
      </c>
      <c r="BN3" s="896" t="s">
        <v>6997</v>
      </c>
      <c r="BO3" s="896" t="s">
        <v>6998</v>
      </c>
      <c r="BP3" s="897" t="s">
        <v>6999</v>
      </c>
    </row>
    <row r="4" spans="1:68" hidden="1" x14ac:dyDescent="0.2">
      <c r="A4" s="589"/>
      <c r="B4" s="20" t="s">
        <v>1628</v>
      </c>
      <c r="C4" s="589" t="s">
        <v>325</v>
      </c>
      <c r="D4" s="20" t="s">
        <v>338</v>
      </c>
      <c r="E4" s="20" t="s">
        <v>348</v>
      </c>
      <c r="F4" s="20" t="s">
        <v>358</v>
      </c>
      <c r="G4" s="20" t="s">
        <v>368</v>
      </c>
      <c r="H4" s="20" t="s">
        <v>377</v>
      </c>
      <c r="I4" s="20" t="s">
        <v>387</v>
      </c>
      <c r="J4" s="20" t="s">
        <v>397</v>
      </c>
      <c r="K4" s="20" t="s">
        <v>407</v>
      </c>
      <c r="L4" s="590" t="s">
        <v>418</v>
      </c>
      <c r="M4" s="589" t="s">
        <v>428</v>
      </c>
      <c r="N4" s="20" t="s">
        <v>441</v>
      </c>
      <c r="O4" s="20" t="s">
        <v>448</v>
      </c>
      <c r="P4" s="20" t="s">
        <v>455</v>
      </c>
      <c r="Q4" s="590" t="s">
        <v>462</v>
      </c>
      <c r="R4" s="682" t="s">
        <v>469</v>
      </c>
      <c r="S4" s="682" t="s">
        <v>476</v>
      </c>
      <c r="T4" s="682" t="s">
        <v>483</v>
      </c>
      <c r="U4" s="589" t="s">
        <v>493</v>
      </c>
      <c r="V4" s="20" t="s">
        <v>500</v>
      </c>
      <c r="W4" s="20" t="s">
        <v>507</v>
      </c>
      <c r="X4" s="20" t="s">
        <v>514</v>
      </c>
      <c r="Y4" s="590" t="s">
        <v>521</v>
      </c>
      <c r="Z4" s="589" t="s">
        <v>531</v>
      </c>
      <c r="AA4" s="20" t="s">
        <v>538</v>
      </c>
      <c r="AB4" s="20" t="s">
        <v>545</v>
      </c>
      <c r="AC4" s="20" t="s">
        <v>7000</v>
      </c>
      <c r="AD4" s="20" t="s">
        <v>559</v>
      </c>
      <c r="AE4" s="20" t="s">
        <v>566</v>
      </c>
      <c r="AF4" s="20" t="s">
        <v>7001</v>
      </c>
      <c r="AG4" s="20" t="s">
        <v>580</v>
      </c>
      <c r="AH4" s="20" t="s">
        <v>7002</v>
      </c>
      <c r="AI4" s="20" t="s">
        <v>594</v>
      </c>
      <c r="AJ4" s="20" t="s">
        <v>601</v>
      </c>
      <c r="AK4" s="20" t="s">
        <v>608</v>
      </c>
      <c r="AL4" s="20" t="s">
        <v>615</v>
      </c>
      <c r="AM4" s="20" t="s">
        <v>622</v>
      </c>
      <c r="AN4" s="20" t="s">
        <v>629</v>
      </c>
      <c r="AO4" s="20" t="s">
        <v>636</v>
      </c>
      <c r="AP4" s="590" t="s">
        <v>643</v>
      </c>
      <c r="AQ4" s="682" t="s">
        <v>653</v>
      </c>
      <c r="AR4" s="589" t="s">
        <v>659</v>
      </c>
      <c r="AS4" s="20" t="s">
        <v>669</v>
      </c>
      <c r="AT4" s="20" t="s">
        <v>676</v>
      </c>
      <c r="AU4" s="20" t="s">
        <v>682</v>
      </c>
      <c r="AV4" s="20" t="s">
        <v>689</v>
      </c>
      <c r="AW4" s="20" t="s">
        <v>696</v>
      </c>
      <c r="AX4" s="20" t="s">
        <v>703</v>
      </c>
      <c r="AY4" s="20" t="s">
        <v>710</v>
      </c>
      <c r="AZ4" s="20" t="s">
        <v>717</v>
      </c>
      <c r="BA4" s="20" t="s">
        <v>724</v>
      </c>
      <c r="BB4" s="590" t="s">
        <v>731</v>
      </c>
      <c r="BC4" s="589" t="s">
        <v>740</v>
      </c>
      <c r="BD4" s="20" t="s">
        <v>750</v>
      </c>
      <c r="BE4" s="20" t="s">
        <v>757</v>
      </c>
      <c r="BF4" s="20" t="s">
        <v>767</v>
      </c>
      <c r="BG4" s="20" t="s">
        <v>774</v>
      </c>
      <c r="BH4" s="20" t="s">
        <v>781</v>
      </c>
      <c r="BI4" s="20" t="s">
        <v>788</v>
      </c>
      <c r="BJ4" s="20" t="s">
        <v>795</v>
      </c>
      <c r="BK4" s="20" t="s">
        <v>802</v>
      </c>
      <c r="BL4" s="20" t="s">
        <v>809</v>
      </c>
      <c r="BM4" s="20" t="s">
        <v>816</v>
      </c>
      <c r="BN4" s="20" t="s">
        <v>823</v>
      </c>
      <c r="BO4" s="20" t="s">
        <v>830</v>
      </c>
      <c r="BP4" s="590" t="s">
        <v>837</v>
      </c>
    </row>
    <row r="5" spans="1:68" x14ac:dyDescent="0.2">
      <c r="A5" s="893" t="s">
        <v>853</v>
      </c>
      <c r="B5" s="256" t="s">
        <v>852</v>
      </c>
      <c r="C5" s="256">
        <f>Coal_Table_1!E6</f>
        <v>0</v>
      </c>
      <c r="D5" s="256">
        <f>Coal_Table_1!F6</f>
        <v>0</v>
      </c>
      <c r="E5" s="256">
        <f>Coal_Table_1!G6</f>
        <v>0</v>
      </c>
      <c r="F5" s="256">
        <f>Coal_Table_1!H6</f>
        <v>0</v>
      </c>
      <c r="G5" s="256">
        <f>Coal_Table_1!I6</f>
        <v>0</v>
      </c>
      <c r="H5" s="256">
        <f>Coal_Table_1!J6</f>
        <v>0</v>
      </c>
      <c r="I5" s="256">
        <f>Coal_Table_1!K6</f>
        <v>0</v>
      </c>
      <c r="J5" s="256">
        <f>Coal_Table_1!L6</f>
        <v>0</v>
      </c>
      <c r="K5" s="256">
        <f>Coal_Table_1!M6</f>
        <v>0</v>
      </c>
      <c r="L5" s="256">
        <f>Coal_Table_1!N6</f>
        <v>0</v>
      </c>
      <c r="M5" s="256">
        <f>Coal_Table_1!O6</f>
        <v>0</v>
      </c>
      <c r="N5" s="256">
        <f>Coal_Table_1!P6</f>
        <v>0</v>
      </c>
      <c r="O5" s="256">
        <f>Coal_Table_1!Q6</f>
        <v>0</v>
      </c>
      <c r="P5" s="256">
        <f>Coal_Table_1!R6</f>
        <v>0</v>
      </c>
      <c r="Q5" s="256"/>
      <c r="R5" s="256">
        <f>Coal_Table_1!S6</f>
        <v>0</v>
      </c>
      <c r="S5" s="256">
        <f>Coal_Table_1!T6</f>
        <v>0</v>
      </c>
      <c r="T5" s="256">
        <f>Coal_Table_1!U6</f>
        <v>0</v>
      </c>
      <c r="U5" s="256">
        <f>Oil_Table_1!E10</f>
        <v>0</v>
      </c>
      <c r="V5" s="256">
        <f>Oil_Table_1!F10</f>
        <v>0</v>
      </c>
      <c r="W5" s="256">
        <v>0</v>
      </c>
      <c r="X5" s="256">
        <f>Oil_Table_1!H10</f>
        <v>0</v>
      </c>
      <c r="Y5" s="256">
        <f>Oil_Table_1!J10</f>
        <v>0</v>
      </c>
      <c r="Z5" s="256">
        <f>Oil_Table_2a!G12</f>
        <v>0</v>
      </c>
      <c r="AA5" s="256">
        <f>Oil_Table_2a!H12</f>
        <v>0</v>
      </c>
      <c r="AB5" s="256">
        <f>Oil_Table_2a!I12</f>
        <v>0</v>
      </c>
      <c r="AC5" s="256">
        <f>Oil_Table_2a!M12</f>
        <v>0</v>
      </c>
      <c r="AD5" s="256">
        <f>Oil_Table_2a!N12</f>
        <v>0</v>
      </c>
      <c r="AE5" s="256">
        <f>Oil_Table_2a!O12</f>
        <v>0</v>
      </c>
      <c r="AF5" s="256">
        <f>Oil_Table_2a!R12</f>
        <v>0</v>
      </c>
      <c r="AG5" s="256">
        <f>Oil_Table_2a!S12</f>
        <v>0</v>
      </c>
      <c r="AH5" s="256">
        <f>Oil_Table_2a!X12</f>
        <v>0</v>
      </c>
      <c r="AI5" s="256">
        <f>Oil_Table_2a!Y12</f>
        <v>0</v>
      </c>
      <c r="AJ5" s="256">
        <f>Oil_Table_2a!J12</f>
        <v>0</v>
      </c>
      <c r="AK5" s="256">
        <f>Oil_Table_2a!AB12</f>
        <v>0</v>
      </c>
      <c r="AL5" s="256">
        <f>Oil_Table_2a!AC12</f>
        <v>0</v>
      </c>
      <c r="AM5" s="256">
        <f>Oil_Table_2a!AD12</f>
        <v>0</v>
      </c>
      <c r="AN5" s="256">
        <f>Oil_Table_2a!AE12</f>
        <v>0</v>
      </c>
      <c r="AO5" s="256">
        <f>Oil_Table_2a!AF12</f>
        <v>0</v>
      </c>
      <c r="AP5" s="256">
        <f>Oil_Table_2a!AG12</f>
        <v>0</v>
      </c>
      <c r="AQ5" s="256">
        <f>Gas_Table_1!F6</f>
        <v>0</v>
      </c>
      <c r="AR5" s="256">
        <f>Ren_Table_2a!G8</f>
        <v>0</v>
      </c>
      <c r="AS5" s="256">
        <f>Ren_Table_2a!H8</f>
        <v>0</v>
      </c>
      <c r="AT5" s="256">
        <f>Ren_Table_2a!I8</f>
        <v>0</v>
      </c>
      <c r="AU5" s="256">
        <f>Ren_Table_2a!J8</f>
        <v>0</v>
      </c>
      <c r="AV5" s="256">
        <f>Ren_Table_2a!L8</f>
        <v>0</v>
      </c>
      <c r="AW5" s="256">
        <f>Ren_Table_2a!M8</f>
        <v>0</v>
      </c>
      <c r="AX5" s="256">
        <f>ROUND(Ren_Table_2a!O8, 3)</f>
        <v>0</v>
      </c>
      <c r="AY5" s="256">
        <f>ROUND(Ren_Table_2a!P8,3)</f>
        <v>0</v>
      </c>
      <c r="AZ5" s="256">
        <f>ROUND(Ren_Table_2a!Q8,3)</f>
        <v>0</v>
      </c>
      <c r="BA5" s="256"/>
      <c r="BB5" s="256">
        <f>Ren_Table_2a!K8</f>
        <v>0</v>
      </c>
      <c r="BC5" s="256"/>
      <c r="BD5" s="256"/>
      <c r="BE5" s="256">
        <f>Ren_Table_2a!E8</f>
        <v>0</v>
      </c>
      <c r="BF5" s="256"/>
      <c r="BG5" s="256">
        <f>Ren_Table_2a!F8</f>
        <v>0</v>
      </c>
      <c r="BH5" s="256"/>
      <c r="BI5" s="256"/>
      <c r="BJ5" s="256"/>
      <c r="BK5" s="256"/>
      <c r="BL5" s="256"/>
      <c r="BM5" s="256"/>
      <c r="BN5" s="256">
        <f>Ele_Table_3!F6</f>
        <v>0</v>
      </c>
      <c r="BO5" s="256">
        <f>Ele_Table_3!G6</f>
        <v>0</v>
      </c>
      <c r="BP5" s="265"/>
    </row>
    <row r="6" spans="1:68" x14ac:dyDescent="0.2">
      <c r="A6" s="589" t="s">
        <v>7003</v>
      </c>
      <c r="B6" s="20" t="s">
        <v>863</v>
      </c>
      <c r="C6" s="20">
        <f>Coal_Table_1!E9</f>
        <v>0</v>
      </c>
      <c r="D6" s="20">
        <f>Coal_Table_1!F9</f>
        <v>0</v>
      </c>
      <c r="E6" s="20">
        <f>Coal_Table_1!G9</f>
        <v>0</v>
      </c>
      <c r="F6" s="20">
        <f>Coal_Table_1!H9</f>
        <v>0</v>
      </c>
      <c r="G6" s="20">
        <f>Coal_Table_1!I9</f>
        <v>0</v>
      </c>
      <c r="H6" s="20">
        <v>0</v>
      </c>
      <c r="I6" s="20">
        <v>0</v>
      </c>
      <c r="J6" s="20">
        <v>0</v>
      </c>
      <c r="K6" s="20">
        <v>0</v>
      </c>
      <c r="L6" s="20">
        <v>0</v>
      </c>
      <c r="M6" s="20">
        <v>0</v>
      </c>
      <c r="N6" s="20">
        <v>0</v>
      </c>
      <c r="O6" s="20">
        <v>0</v>
      </c>
      <c r="P6" s="20">
        <v>0</v>
      </c>
      <c r="Q6" s="20"/>
      <c r="R6" s="20">
        <v>0</v>
      </c>
      <c r="S6" s="20">
        <v>0</v>
      </c>
      <c r="T6" s="20">
        <v>0</v>
      </c>
      <c r="U6" s="20"/>
      <c r="V6" s="20"/>
      <c r="W6" s="20"/>
      <c r="X6" s="20">
        <f>Oil_Table_1!H33-Oil_Table_1!I33</f>
        <v>0</v>
      </c>
      <c r="Y6" s="20">
        <f>Oil_Table_1!J33</f>
        <v>0</v>
      </c>
      <c r="Z6" s="20"/>
      <c r="AA6" s="20"/>
      <c r="AB6" s="20"/>
      <c r="AC6" s="20"/>
      <c r="AD6" s="20"/>
      <c r="AE6" s="20"/>
      <c r="AF6" s="20"/>
      <c r="AG6" s="20"/>
      <c r="AH6" s="20"/>
      <c r="AI6" s="20"/>
      <c r="AJ6" s="20"/>
      <c r="AK6" s="20"/>
      <c r="AL6" s="20"/>
      <c r="AM6" s="20"/>
      <c r="AN6" s="20"/>
      <c r="AO6" s="20"/>
      <c r="AP6" s="20"/>
      <c r="AQ6" s="20">
        <f>Gas_Table_1!F33</f>
        <v>0</v>
      </c>
      <c r="AR6" s="20"/>
      <c r="AS6" s="20"/>
      <c r="AT6" s="20"/>
      <c r="AU6" s="20"/>
      <c r="AV6" s="20"/>
      <c r="AW6" s="20"/>
      <c r="AX6" s="20"/>
      <c r="AY6" s="20"/>
      <c r="AZ6" s="20"/>
      <c r="BA6" s="20"/>
      <c r="BB6" s="20"/>
      <c r="BC6" s="20"/>
      <c r="BD6" s="20"/>
      <c r="BE6" s="20"/>
      <c r="BF6" s="20"/>
      <c r="BG6" s="20"/>
      <c r="BH6" s="20"/>
      <c r="BI6" s="20"/>
      <c r="BJ6" s="20"/>
      <c r="BK6" s="20"/>
      <c r="BL6" s="20"/>
      <c r="BM6" s="20"/>
      <c r="BN6" s="20"/>
      <c r="BO6" s="20"/>
      <c r="BP6" s="590"/>
    </row>
    <row r="7" spans="1:68" x14ac:dyDescent="0.2">
      <c r="A7" s="589" t="s">
        <v>7004</v>
      </c>
      <c r="B7" s="20" t="s">
        <v>866</v>
      </c>
      <c r="C7" s="20"/>
      <c r="D7" s="20"/>
      <c r="E7" s="20"/>
      <c r="F7" s="20"/>
      <c r="G7" s="20"/>
      <c r="H7" s="20">
        <f>Coal_Table_1!J19</f>
        <v>0</v>
      </c>
      <c r="I7" s="20">
        <f>Coal_Table_1!K19</f>
        <v>0</v>
      </c>
      <c r="J7" s="20">
        <f>Coal_Table_1!L19</f>
        <v>0</v>
      </c>
      <c r="K7" s="20">
        <f>Coal_Table_1!M19</f>
        <v>0</v>
      </c>
      <c r="L7" s="20">
        <f>Coal_Table_1!N19</f>
        <v>0</v>
      </c>
      <c r="M7" s="20">
        <f>Coal_Table_1!O19</f>
        <v>0</v>
      </c>
      <c r="N7" s="20">
        <f>Coal_Table_1!P19</f>
        <v>0</v>
      </c>
      <c r="O7" s="20">
        <f>Coal_Table_1!Q19</f>
        <v>0</v>
      </c>
      <c r="P7" s="20">
        <f>Coal_Table_1!R19</f>
        <v>0</v>
      </c>
      <c r="Q7" s="20"/>
      <c r="R7" s="20"/>
      <c r="S7" s="20">
        <f>Coal_Table_1!T19</f>
        <v>0</v>
      </c>
      <c r="T7" s="20">
        <f>Coal_Table_1!U19</f>
        <v>0</v>
      </c>
      <c r="U7" s="20"/>
      <c r="V7" s="20"/>
      <c r="W7" s="20"/>
      <c r="X7" s="20">
        <f>Oil_Table_1!H34-Oil_Table_1!I34</f>
        <v>0</v>
      </c>
      <c r="Y7" s="20">
        <f>Oil_Table_1!J34</f>
        <v>0</v>
      </c>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590"/>
    </row>
    <row r="8" spans="1:68" x14ac:dyDescent="0.2">
      <c r="A8" s="589" t="s">
        <v>7005</v>
      </c>
      <c r="B8" s="20" t="s">
        <v>869</v>
      </c>
      <c r="C8" s="20"/>
      <c r="D8" s="20"/>
      <c r="E8" s="20"/>
      <c r="F8" s="20"/>
      <c r="G8" s="20"/>
      <c r="H8" s="20">
        <f>Coal_Table_1!J18</f>
        <v>0</v>
      </c>
      <c r="I8" s="20">
        <f>Coal_Table_1!K18</f>
        <v>0</v>
      </c>
      <c r="J8" s="20">
        <f>Coal_Table_1!L18</f>
        <v>0</v>
      </c>
      <c r="K8" s="20">
        <f>Coal_Table_1!M18</f>
        <v>0</v>
      </c>
      <c r="L8" s="20">
        <f>Coal_Table_1!N18</f>
        <v>0</v>
      </c>
      <c r="M8" s="20">
        <f>Coal_Table_1!O18</f>
        <v>0</v>
      </c>
      <c r="N8" s="20">
        <f>Coal_Table_1!P18</f>
        <v>0</v>
      </c>
      <c r="O8" s="20">
        <f>Coal_Table_1!Q18</f>
        <v>0</v>
      </c>
      <c r="P8" s="20">
        <f>Coal_Table_1!R18</f>
        <v>0</v>
      </c>
      <c r="Q8" s="20"/>
      <c r="R8" s="20"/>
      <c r="S8" s="20">
        <f>Coal_Table_1!T18</f>
        <v>0</v>
      </c>
      <c r="T8" s="20">
        <f>Coal_Table_1!U18</f>
        <v>0</v>
      </c>
      <c r="U8" s="20"/>
      <c r="V8" s="20"/>
      <c r="W8" s="20">
        <f>Oil_Table_1!G12</f>
        <v>0</v>
      </c>
      <c r="X8" s="20"/>
      <c r="Y8" s="20"/>
      <c r="Z8" s="20"/>
      <c r="AA8" s="20"/>
      <c r="AB8" s="20"/>
      <c r="AC8" s="20"/>
      <c r="AD8" s="20"/>
      <c r="AE8" s="20"/>
      <c r="AF8" s="20"/>
      <c r="AG8" s="20"/>
      <c r="AH8" s="20"/>
      <c r="AI8" s="20"/>
      <c r="AJ8" s="20"/>
      <c r="AK8" s="20"/>
      <c r="AL8" s="20"/>
      <c r="AM8" s="20"/>
      <c r="AN8" s="20"/>
      <c r="AO8" s="20"/>
      <c r="AP8" s="20"/>
      <c r="AQ8" s="20">
        <f>Gas_Table_1!F32</f>
        <v>0</v>
      </c>
      <c r="AR8" s="20"/>
      <c r="AS8" s="20"/>
      <c r="AT8" s="20"/>
      <c r="AU8" s="20"/>
      <c r="AV8" s="20"/>
      <c r="AW8" s="20"/>
      <c r="AX8" s="20"/>
      <c r="AY8" s="20"/>
      <c r="AZ8" s="20"/>
      <c r="BA8" s="20"/>
      <c r="BB8" s="20"/>
      <c r="BC8" s="20"/>
      <c r="BD8" s="20"/>
      <c r="BE8" s="20"/>
      <c r="BF8" s="20"/>
      <c r="BG8" s="20"/>
      <c r="BH8" s="20"/>
      <c r="BI8" s="20"/>
      <c r="BJ8" s="20"/>
      <c r="BK8" s="20"/>
      <c r="BL8" s="20"/>
      <c r="BM8" s="20"/>
      <c r="BN8" s="20"/>
      <c r="BO8" s="20"/>
      <c r="BP8" s="590"/>
    </row>
    <row r="9" spans="1:68" x14ac:dyDescent="0.2">
      <c r="A9" s="589" t="s">
        <v>7006</v>
      </c>
      <c r="B9" s="20" t="s">
        <v>872</v>
      </c>
      <c r="C9" s="20"/>
      <c r="D9" s="20"/>
      <c r="E9" s="20"/>
      <c r="F9" s="20"/>
      <c r="G9" s="20"/>
      <c r="H9" s="20">
        <f>Coal_Table_1!J20</f>
        <v>0</v>
      </c>
      <c r="I9" s="20">
        <f>Coal_Table_1!K20</f>
        <v>0</v>
      </c>
      <c r="J9" s="20">
        <f>Coal_Table_1!L20</f>
        <v>0</v>
      </c>
      <c r="K9" s="20">
        <f>Coal_Table_1!M20</f>
        <v>0</v>
      </c>
      <c r="L9" s="20">
        <f>Coal_Table_1!N20</f>
        <v>0</v>
      </c>
      <c r="M9" s="20">
        <f>Coal_Table_1!O20</f>
        <v>0</v>
      </c>
      <c r="N9" s="20">
        <f>Coal_Table_1!P20</f>
        <v>0</v>
      </c>
      <c r="O9" s="20">
        <f>Coal_Table_1!Q20</f>
        <v>0</v>
      </c>
      <c r="P9" s="20">
        <f>Coal_Table_1!R20</f>
        <v>0</v>
      </c>
      <c r="Q9" s="20"/>
      <c r="R9" s="20"/>
      <c r="S9" s="20">
        <f>Coal_Table_1!T20</f>
        <v>0</v>
      </c>
      <c r="T9" s="20">
        <f>Coal_Table_1!U20</f>
        <v>0</v>
      </c>
      <c r="U9" s="20"/>
      <c r="V9" s="20"/>
      <c r="W9" s="20"/>
      <c r="X9" s="20"/>
      <c r="Y9" s="20">
        <f>Oil_Table_1!J35</f>
        <v>0</v>
      </c>
      <c r="Z9" s="20"/>
      <c r="AA9" s="20"/>
      <c r="AB9" s="20"/>
      <c r="AC9" s="20"/>
      <c r="AD9" s="20"/>
      <c r="AE9" s="20"/>
      <c r="AF9" s="20"/>
      <c r="AG9" s="20"/>
      <c r="AH9" s="20"/>
      <c r="AI9" s="20"/>
      <c r="AJ9" s="20"/>
      <c r="AK9" s="20"/>
      <c r="AL9" s="20"/>
      <c r="AM9" s="20"/>
      <c r="AN9" s="20"/>
      <c r="AO9" s="20"/>
      <c r="AP9" s="20"/>
      <c r="AQ9" s="20">
        <f>Gas_Table_1!F34</f>
        <v>0</v>
      </c>
      <c r="AR9" s="20"/>
      <c r="AS9" s="20"/>
      <c r="AT9" s="20"/>
      <c r="AU9" s="20"/>
      <c r="AV9" s="20"/>
      <c r="AW9" s="20"/>
      <c r="AX9" s="20"/>
      <c r="AY9" s="20"/>
      <c r="AZ9" s="20"/>
      <c r="BA9" s="20"/>
      <c r="BB9" s="20"/>
      <c r="BC9" s="20"/>
      <c r="BD9" s="20"/>
      <c r="BE9" s="20"/>
      <c r="BF9" s="20"/>
      <c r="BG9" s="20"/>
      <c r="BH9" s="20"/>
      <c r="BI9" s="20"/>
      <c r="BJ9" s="20"/>
      <c r="BK9" s="20"/>
      <c r="BL9" s="20"/>
      <c r="BM9" s="20"/>
      <c r="BN9" s="20"/>
      <c r="BO9" s="20"/>
      <c r="BP9" s="590"/>
    </row>
    <row r="10" spans="1:68" x14ac:dyDescent="0.2">
      <c r="A10" s="589" t="s">
        <v>7007</v>
      </c>
      <c r="B10" s="20" t="s">
        <v>875</v>
      </c>
      <c r="C10" s="20"/>
      <c r="D10" s="20"/>
      <c r="E10" s="20"/>
      <c r="F10" s="20"/>
      <c r="G10" s="20"/>
      <c r="H10" s="20">
        <f>Coal_Table_1!J9-(Coal_Table_1!J18+Coal_Table_1!J19+Coal_Table_1!J20)</f>
        <v>0</v>
      </c>
      <c r="I10" s="20">
        <f>Coal_Table_1!K9-(Coal_Table_1!K18+Coal_Table_1!K19+Coal_Table_1!K20)</f>
        <v>0</v>
      </c>
      <c r="J10" s="20">
        <f>Coal_Table_1!L9-(Coal_Table_1!L18+Coal_Table_1!L19+Coal_Table_1!L20)</f>
        <v>0</v>
      </c>
      <c r="K10" s="20">
        <f>Coal_Table_1!M9-(Coal_Table_1!M18+Coal_Table_1!M19+Coal_Table_1!M20)</f>
        <v>0</v>
      </c>
      <c r="L10" s="20">
        <f>Coal_Table_1!N9-(Coal_Table_1!N18+Coal_Table_1!N19+Coal_Table_1!N20)</f>
        <v>0</v>
      </c>
      <c r="M10" s="20">
        <f>Coal_Table_1!O9-(Coal_Table_1!O18+Coal_Table_1!O19+Coal_Table_1!O20)</f>
        <v>0</v>
      </c>
      <c r="N10" s="20">
        <f>Coal_Table_1!P9-(Coal_Table_1!P18+Coal_Table_1!P19+Coal_Table_1!P20)</f>
        <v>0</v>
      </c>
      <c r="O10" s="20">
        <f>Coal_Table_1!Q9-(Coal_Table_1!Q18+Coal_Table_1!Q19+Coal_Table_1!Q20)</f>
        <v>0</v>
      </c>
      <c r="P10" s="20">
        <f>Coal_Table_1!R9-(Coal_Table_1!R18+Coal_Table_1!R19+Coal_Table_1!R20)</f>
        <v>0</v>
      </c>
      <c r="Q10" s="20"/>
      <c r="R10" s="20"/>
      <c r="S10" s="20">
        <f>Coal_Table_1!T9-(Coal_Table_1!T18+Coal_Table_1!T19+Coal_Table_1!T20)</f>
        <v>0</v>
      </c>
      <c r="T10" s="20">
        <f>Coal_Table_1!U9-(Coal_Table_1!U18+Coal_Table_1!U19+Coal_Table_1!U20)</f>
        <v>0</v>
      </c>
      <c r="U10" s="20"/>
      <c r="V10" s="20"/>
      <c r="W10" s="20"/>
      <c r="X10" s="20">
        <f>(Oil_Table_1!H11-Oil_Table_1!I11)-X6-X7-X9</f>
        <v>0</v>
      </c>
      <c r="Y10" s="20">
        <f>Oil_Table_1!J11-Y6-Y7-Y9</f>
        <v>0</v>
      </c>
      <c r="Z10" s="20"/>
      <c r="AA10" s="20"/>
      <c r="AB10" s="20"/>
      <c r="AC10" s="20"/>
      <c r="AD10" s="20"/>
      <c r="AE10" s="20"/>
      <c r="AF10" s="20"/>
      <c r="AG10" s="20"/>
      <c r="AH10" s="20"/>
      <c r="AI10" s="20"/>
      <c r="AJ10" s="20"/>
      <c r="AK10" s="20"/>
      <c r="AL10" s="20"/>
      <c r="AM10" s="20"/>
      <c r="AN10" s="20"/>
      <c r="AO10" s="20"/>
      <c r="AP10" s="20"/>
      <c r="AQ10" s="20">
        <f>Gas_Table_1!F10-AQ6-AQ8-AQ9</f>
        <v>0</v>
      </c>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590"/>
    </row>
    <row r="11" spans="1:68" x14ac:dyDescent="0.2">
      <c r="A11" s="589" t="s">
        <v>879</v>
      </c>
      <c r="B11" s="20" t="s">
        <v>878</v>
      </c>
      <c r="C11" s="20">
        <f>Coal_Table_1!E10</f>
        <v>0</v>
      </c>
      <c r="D11" s="20">
        <f>Coal_Table_1!F10</f>
        <v>0</v>
      </c>
      <c r="E11" s="20">
        <f>Coal_Table_1!G10</f>
        <v>0</v>
      </c>
      <c r="F11" s="20">
        <f>Coal_Table_1!H10</f>
        <v>0</v>
      </c>
      <c r="G11" s="20">
        <f>Coal_Table_1!I10</f>
        <v>0</v>
      </c>
      <c r="H11" s="20">
        <f>Coal_Table_1!J10</f>
        <v>0</v>
      </c>
      <c r="I11" s="20">
        <f>Coal_Table_1!K10</f>
        <v>0</v>
      </c>
      <c r="J11" s="20">
        <f>Coal_Table_1!L10</f>
        <v>0</v>
      </c>
      <c r="K11" s="20">
        <f>Coal_Table_1!M10</f>
        <v>0</v>
      </c>
      <c r="L11" s="20">
        <f>Coal_Table_1!N10</f>
        <v>0</v>
      </c>
      <c r="M11" s="20">
        <f>Coal_Table_1!O10</f>
        <v>0</v>
      </c>
      <c r="N11" s="20">
        <f>Coal_Table_1!P10</f>
        <v>0</v>
      </c>
      <c r="O11" s="20">
        <f>Coal_Table_1!Q10</f>
        <v>0</v>
      </c>
      <c r="P11" s="20">
        <f>Coal_Table_1!R10</f>
        <v>0</v>
      </c>
      <c r="Q11" s="20"/>
      <c r="R11" s="20">
        <f>Coal_Table_1!S10</f>
        <v>0</v>
      </c>
      <c r="S11" s="20">
        <f>Coal_Table_1!T10</f>
        <v>0</v>
      </c>
      <c r="T11" s="20">
        <f>Coal_Table_1!U10</f>
        <v>0</v>
      </c>
      <c r="U11" s="20">
        <f>Oil_Table_1!E14</f>
        <v>0</v>
      </c>
      <c r="V11" s="20">
        <f>Oil_Table_1!F14</f>
        <v>0</v>
      </c>
      <c r="W11" s="20">
        <f>Oil_Table_1!G14</f>
        <v>0</v>
      </c>
      <c r="X11" s="20">
        <f>Oil_Table_1!H14-Oil_Table_1!I14</f>
        <v>0</v>
      </c>
      <c r="Y11" s="20">
        <f>Oil_Table_1!J14</f>
        <v>0</v>
      </c>
      <c r="Z11" s="20">
        <f>Oil_Table_2a!G15</f>
        <v>0</v>
      </c>
      <c r="AA11" s="20">
        <f>Oil_Table_2a!H15</f>
        <v>0</v>
      </c>
      <c r="AB11" s="20">
        <f>Oil_Table_2a!I15</f>
        <v>0</v>
      </c>
      <c r="AC11" s="20">
        <f>Oil_Table_2a!M15</f>
        <v>0</v>
      </c>
      <c r="AD11" s="20">
        <f>Oil_Table_2a!N15</f>
        <v>0</v>
      </c>
      <c r="AE11" s="20">
        <f>Oil_Table_2a!O15</f>
        <v>0</v>
      </c>
      <c r="AF11" s="20">
        <f>Oil_Table_2a!R15</f>
        <v>0</v>
      </c>
      <c r="AG11" s="20">
        <f>Oil_Table_2a!S15</f>
        <v>0</v>
      </c>
      <c r="AH11" s="20">
        <f>(Oil_Table_2a!X15 )</f>
        <v>0</v>
      </c>
      <c r="AI11" s="20">
        <f>Oil_Table_2a!Y15</f>
        <v>0</v>
      </c>
      <c r="AJ11" s="20">
        <f>Oil_Table_2a!J15</f>
        <v>0</v>
      </c>
      <c r="AK11" s="20">
        <f>Oil_Table_2a!AB15</f>
        <v>0</v>
      </c>
      <c r="AL11" s="20">
        <f>Oil_Table_2a!AC15</f>
        <v>0</v>
      </c>
      <c r="AM11" s="20">
        <f>Oil_Table_2a!AD15</f>
        <v>0</v>
      </c>
      <c r="AN11" s="20">
        <f>Oil_Table_2a!AE15</f>
        <v>0</v>
      </c>
      <c r="AO11" s="20">
        <f>Oil_Table_2a!AF15</f>
        <v>0</v>
      </c>
      <c r="AP11" s="20">
        <f>Oil_Table_2a!AG15</f>
        <v>0</v>
      </c>
      <c r="AQ11" s="20">
        <f>Gas_Table_1!F11</f>
        <v>0</v>
      </c>
      <c r="AR11" s="20">
        <f>Ren_Table_2a!G9</f>
        <v>0</v>
      </c>
      <c r="AS11" s="20">
        <f>Ren_Table_2a!H9</f>
        <v>0</v>
      </c>
      <c r="AT11" s="20">
        <f>Ren_Table_2a!I9</f>
        <v>0</v>
      </c>
      <c r="AU11" s="20">
        <f>Ren_Table_2a!J9</f>
        <v>0</v>
      </c>
      <c r="AV11" s="20">
        <f>Ren_Table_2a!L9</f>
        <v>0</v>
      </c>
      <c r="AW11" s="626">
        <f>ROUND((Ren_Table_2a!M9),3)+Oil_Table_2a!L15</f>
        <v>0</v>
      </c>
      <c r="AX11" s="626">
        <f>ROUND((Ren_Table_2a!O9),3)+Oil_Table_2a!Q15</f>
        <v>0</v>
      </c>
      <c r="AY11" s="626">
        <f>ROUND((Ren_Table_2a!P9), 3)+Oil_Table_2a!W15</f>
        <v>0</v>
      </c>
      <c r="AZ11" s="20">
        <f>ROUND((Ren_Table_2a!Q9), 3)</f>
        <v>0</v>
      </c>
      <c r="BA11" s="20"/>
      <c r="BB11" s="20">
        <f>Ren_Table_2a!K9</f>
        <v>0</v>
      </c>
      <c r="BC11" s="20"/>
      <c r="BD11" s="20"/>
      <c r="BE11" s="20">
        <f>-Ren_Table_2a!E9</f>
        <v>0</v>
      </c>
      <c r="BF11" s="20"/>
      <c r="BG11" s="20">
        <f>-Ren_Table_2a!F9</f>
        <v>0</v>
      </c>
      <c r="BH11" s="20"/>
      <c r="BI11" s="20"/>
      <c r="BJ11" s="20"/>
      <c r="BK11" s="20"/>
      <c r="BL11" s="20"/>
      <c r="BM11" s="20"/>
      <c r="BN11" s="20">
        <f>Ele_Table_3!F9</f>
        <v>0</v>
      </c>
      <c r="BO11" s="20">
        <f>Ele_Table_3!G9</f>
        <v>0</v>
      </c>
      <c r="BP11" s="590"/>
    </row>
    <row r="12" spans="1:68" x14ac:dyDescent="0.2">
      <c r="A12" s="589" t="s">
        <v>885</v>
      </c>
      <c r="B12" s="20" t="s">
        <v>884</v>
      </c>
      <c r="C12" s="20">
        <f>-Coal_Table_1!E11</f>
        <v>0</v>
      </c>
      <c r="D12" s="20">
        <f>-Coal_Table_1!F11</f>
        <v>0</v>
      </c>
      <c r="E12" s="20">
        <f>-Coal_Table_1!G11</f>
        <v>0</v>
      </c>
      <c r="F12" s="20">
        <f>-Coal_Table_1!H11</f>
        <v>0</v>
      </c>
      <c r="G12" s="20">
        <f>-Coal_Table_1!I11</f>
        <v>0</v>
      </c>
      <c r="H12" s="20">
        <f>-Coal_Table_1!J11</f>
        <v>0</v>
      </c>
      <c r="I12" s="20">
        <f>-Coal_Table_1!K11</f>
        <v>0</v>
      </c>
      <c r="J12" s="20">
        <f>-Coal_Table_1!L11</f>
        <v>0</v>
      </c>
      <c r="K12" s="20">
        <f>-Coal_Table_1!M11</f>
        <v>0</v>
      </c>
      <c r="L12" s="20">
        <f>-Coal_Table_1!N11</f>
        <v>0</v>
      </c>
      <c r="M12" s="20">
        <f>-Coal_Table_1!O11</f>
        <v>0</v>
      </c>
      <c r="N12" s="20">
        <f>-Coal_Table_1!P11</f>
        <v>0</v>
      </c>
      <c r="O12" s="20">
        <f>-Coal_Table_1!Q11</f>
        <v>0</v>
      </c>
      <c r="P12" s="20">
        <f>-Coal_Table_1!R11</f>
        <v>0</v>
      </c>
      <c r="Q12" s="20"/>
      <c r="R12" s="20">
        <f>-Coal_Table_1!S11</f>
        <v>0</v>
      </c>
      <c r="S12" s="20">
        <f>-Coal_Table_1!T11</f>
        <v>0</v>
      </c>
      <c r="T12" s="20">
        <f>-Coal_Table_1!U11</f>
        <v>0</v>
      </c>
      <c r="U12" s="20">
        <f>-Oil_Table_1!E15</f>
        <v>0</v>
      </c>
      <c r="V12" s="20">
        <f>-Oil_Table_1!F15</f>
        <v>0</v>
      </c>
      <c r="W12" s="20">
        <f>-Oil_Table_1!G15</f>
        <v>0</v>
      </c>
      <c r="X12" s="20">
        <f>-(Oil_Table_1!H15-Oil_Table_1!I15)</f>
        <v>0</v>
      </c>
      <c r="Y12" s="20">
        <f>-Oil_Table_1!J15</f>
        <v>0</v>
      </c>
      <c r="Z12" s="20">
        <f>-Oil_Table_2a!G16</f>
        <v>0</v>
      </c>
      <c r="AA12" s="20">
        <f>-Oil_Table_2a!H16</f>
        <v>0</v>
      </c>
      <c r="AB12" s="20">
        <f>-Oil_Table_2a!I16</f>
        <v>0</v>
      </c>
      <c r="AC12" s="20">
        <f>-(Oil_Table_2a!M16)</f>
        <v>0</v>
      </c>
      <c r="AD12" s="20">
        <f>-Oil_Table_2a!N16</f>
        <v>0</v>
      </c>
      <c r="AE12" s="20">
        <f>-Oil_Table_2a!O16</f>
        <v>0</v>
      </c>
      <c r="AF12" s="20">
        <f>-Oil_Table_2a!R16</f>
        <v>0</v>
      </c>
      <c r="AG12" s="20">
        <f>-Oil_Table_2a!S16</f>
        <v>0</v>
      </c>
      <c r="AH12" s="20">
        <f>-(Oil_Table_2a!X16 )</f>
        <v>0</v>
      </c>
      <c r="AI12" s="20">
        <f>-Oil_Table_2a!Y16</f>
        <v>0</v>
      </c>
      <c r="AJ12" s="20">
        <f>-Oil_Table_2a!J16</f>
        <v>0</v>
      </c>
      <c r="AK12" s="20">
        <f>-Oil_Table_2a!AB16</f>
        <v>0</v>
      </c>
      <c r="AL12" s="20">
        <f>-Oil_Table_2a!AC16</f>
        <v>0</v>
      </c>
      <c r="AM12" s="20">
        <f>-Oil_Table_2a!AD16</f>
        <v>0</v>
      </c>
      <c r="AN12" s="20">
        <f>-Oil_Table_2a!AE16</f>
        <v>0</v>
      </c>
      <c r="AO12" s="20">
        <f>-Oil_Table_2a!AF16</f>
        <v>0</v>
      </c>
      <c r="AP12" s="20">
        <f>-Oil_Table_2a!AG16</f>
        <v>0</v>
      </c>
      <c r="AQ12" s="20">
        <f>-Gas_Table_1!F12</f>
        <v>0</v>
      </c>
      <c r="AR12" s="20">
        <f>-Ren_Table_2a!G10</f>
        <v>0</v>
      </c>
      <c r="AS12" s="20">
        <f>-Ren_Table_2a!H10</f>
        <v>0</v>
      </c>
      <c r="AT12" s="20">
        <f>-Ren_Table_2a!I10</f>
        <v>0</v>
      </c>
      <c r="AU12" s="20">
        <f>-Ren_Table_2a!J10</f>
        <v>0</v>
      </c>
      <c r="AV12" s="20">
        <f>-Ren_Table_2a!L10</f>
        <v>0</v>
      </c>
      <c r="AW12" s="626">
        <f>-(ROUND((Ren_Table_2a!M10),3)+Oil_Table_2a!L16)</f>
        <v>0</v>
      </c>
      <c r="AX12" s="626">
        <f>-(ROUND((Ren_Table_2a!O10),3)+Oil_Table_2a!Q16)</f>
        <v>0</v>
      </c>
      <c r="AY12" s="626">
        <f>-(ROUND((Ren_Table_2a!P10),3)+Oil_Table_2a!W16)</f>
        <v>0</v>
      </c>
      <c r="AZ12" s="20">
        <f>-(ROUND((Ren_Table_2a!Q10),3))</f>
        <v>0</v>
      </c>
      <c r="BA12" s="20"/>
      <c r="BB12" s="20">
        <f>-Ren_Table_2a!K10</f>
        <v>0</v>
      </c>
      <c r="BC12" s="20"/>
      <c r="BD12" s="20"/>
      <c r="BE12" s="20">
        <f>-Ren_Table_2a!E10</f>
        <v>0</v>
      </c>
      <c r="BF12" s="20"/>
      <c r="BG12" s="20">
        <f>-Ren_Table_2a!F10</f>
        <v>0</v>
      </c>
      <c r="BH12" s="20"/>
      <c r="BI12" s="20"/>
      <c r="BJ12" s="20"/>
      <c r="BK12" s="20"/>
      <c r="BL12" s="20"/>
      <c r="BM12" s="20"/>
      <c r="BN12" s="20">
        <f>-Ele_Table_3!F10</f>
        <v>0</v>
      </c>
      <c r="BO12" s="20">
        <f>-Ele_Table_3!G10</f>
        <v>0</v>
      </c>
      <c r="BP12" s="590"/>
    </row>
    <row r="13" spans="1:68" x14ac:dyDescent="0.2">
      <c r="A13" s="589" t="s">
        <v>891</v>
      </c>
      <c r="B13" s="20" t="s">
        <v>890</v>
      </c>
      <c r="C13" s="20">
        <f>Coal_Table_1!E12</f>
        <v>0</v>
      </c>
      <c r="D13" s="20">
        <f>Coal_Table_1!F12</f>
        <v>0</v>
      </c>
      <c r="E13" s="20">
        <f>Coal_Table_1!G12</f>
        <v>0</v>
      </c>
      <c r="F13" s="20">
        <f>Coal_Table_1!H12</f>
        <v>0</v>
      </c>
      <c r="G13" s="20">
        <f>Coal_Table_1!I12</f>
        <v>0</v>
      </c>
      <c r="H13" s="20">
        <f>Coal_Table_1!J12</f>
        <v>0</v>
      </c>
      <c r="I13" s="20">
        <f>Coal_Table_1!K12</f>
        <v>0</v>
      </c>
      <c r="J13" s="20">
        <f>Coal_Table_1!L12</f>
        <v>0</v>
      </c>
      <c r="K13" s="20">
        <f>Coal_Table_1!M12</f>
        <v>0</v>
      </c>
      <c r="L13" s="20">
        <f>Coal_Table_1!N12</f>
        <v>0</v>
      </c>
      <c r="M13" s="20">
        <f>Coal_Table_1!O12</f>
        <v>0</v>
      </c>
      <c r="N13" s="20">
        <f>Coal_Table_1!P12</f>
        <v>0</v>
      </c>
      <c r="O13" s="20">
        <f>Coal_Table_1!Q12</f>
        <v>0</v>
      </c>
      <c r="P13" s="20">
        <f>Coal_Table_1!R12</f>
        <v>0</v>
      </c>
      <c r="Q13" s="20"/>
      <c r="R13" s="20">
        <f>Coal_Table_1!S12</f>
        <v>0</v>
      </c>
      <c r="S13" s="20">
        <f>Coal_Table_1!T12</f>
        <v>0</v>
      </c>
      <c r="T13" s="20">
        <f>Coal_Table_1!U12</f>
        <v>0</v>
      </c>
      <c r="U13" s="20"/>
      <c r="V13" s="20"/>
      <c r="W13" s="20"/>
      <c r="X13" s="20"/>
      <c r="Y13" s="20"/>
      <c r="Z13" s="20">
        <f>-Oil_Table_2a!G17</f>
        <v>0</v>
      </c>
      <c r="AA13" s="20">
        <f>-Oil_Table_2a!H17</f>
        <v>0</v>
      </c>
      <c r="AB13" s="20">
        <f>-Oil_Table_2a!I17</f>
        <v>0</v>
      </c>
      <c r="AC13" s="20">
        <f>-(Oil_Table_2a!M17)</f>
        <v>0</v>
      </c>
      <c r="AD13" s="20">
        <f>-Oil_Table_2a!N17</f>
        <v>0</v>
      </c>
      <c r="AE13" s="20">
        <f>-Oil_Table_2a!O17</f>
        <v>0</v>
      </c>
      <c r="AF13" s="20">
        <f>-Oil_Table_2a!R17</f>
        <v>0</v>
      </c>
      <c r="AG13" s="20">
        <f>-Oil_Table_2a!S17</f>
        <v>0</v>
      </c>
      <c r="AH13" s="20">
        <f>-(Oil_Table_2a!X17 )</f>
        <v>0</v>
      </c>
      <c r="AI13" s="20">
        <f>-Oil_Table_2a!Y17</f>
        <v>0</v>
      </c>
      <c r="AJ13" s="20">
        <f>-Oil_Table_2a!J17</f>
        <v>0</v>
      </c>
      <c r="AK13" s="20">
        <f>-Oil_Table_2a!AB17</f>
        <v>0</v>
      </c>
      <c r="AL13" s="20">
        <f>-Oil_Table_2a!AC17</f>
        <v>0</v>
      </c>
      <c r="AM13" s="20">
        <f>-Oil_Table_2a!AD17</f>
        <v>0</v>
      </c>
      <c r="AN13" s="20">
        <f>-Oil_Table_2a!AE17</f>
        <v>0</v>
      </c>
      <c r="AO13" s="20">
        <f>-Oil_Table_2a!AF17</f>
        <v>0</v>
      </c>
      <c r="AP13" s="20">
        <f>-Oil_Table_2a!AG17</f>
        <v>0</v>
      </c>
      <c r="AQ13" s="20">
        <f>Gas_Table_1!F13</f>
        <v>0</v>
      </c>
      <c r="AR13" s="20"/>
      <c r="AS13" s="20"/>
      <c r="AT13" s="20"/>
      <c r="AU13" s="20"/>
      <c r="AV13" s="20"/>
      <c r="AW13" s="20">
        <f>-Oil_Table_2a!L17</f>
        <v>0</v>
      </c>
      <c r="AX13" s="20">
        <f>-Oil_Table_2a!Q17</f>
        <v>0</v>
      </c>
      <c r="AY13" s="20">
        <f>-Oil_Table_2a!W17</f>
        <v>0</v>
      </c>
      <c r="AZ13" s="20"/>
      <c r="BA13" s="20"/>
      <c r="BB13" s="20"/>
      <c r="BC13" s="20"/>
      <c r="BD13" s="20"/>
      <c r="BE13" s="20"/>
      <c r="BF13" s="20"/>
      <c r="BG13" s="20"/>
      <c r="BH13" s="20"/>
      <c r="BI13" s="20"/>
      <c r="BJ13" s="20"/>
      <c r="BK13" s="20"/>
      <c r="BL13" s="20"/>
      <c r="BM13" s="20"/>
      <c r="BN13" s="20"/>
      <c r="BO13" s="20"/>
      <c r="BP13" s="590"/>
    </row>
    <row r="14" spans="1:68" x14ac:dyDescent="0.2">
      <c r="A14" s="589" t="s">
        <v>898</v>
      </c>
      <c r="B14" s="20" t="s">
        <v>897</v>
      </c>
      <c r="C14" s="20"/>
      <c r="D14" s="20"/>
      <c r="E14" s="20"/>
      <c r="F14" s="20"/>
      <c r="G14" s="20"/>
      <c r="H14" s="20"/>
      <c r="I14" s="20"/>
      <c r="J14" s="20"/>
      <c r="K14" s="20"/>
      <c r="L14" s="20"/>
      <c r="M14" s="20"/>
      <c r="N14" s="20"/>
      <c r="O14" s="20"/>
      <c r="P14" s="20"/>
      <c r="Q14" s="20"/>
      <c r="R14" s="20"/>
      <c r="S14" s="20"/>
      <c r="T14" s="20"/>
      <c r="U14" s="20">
        <f>Oil_Table_3a!E37</f>
        <v>0</v>
      </c>
      <c r="V14" s="20">
        <f>Oil_Table_3a!F37</f>
        <v>0</v>
      </c>
      <c r="W14" s="20"/>
      <c r="X14" s="20"/>
      <c r="Y14" s="20"/>
      <c r="Z14" s="20">
        <f>-Oil_Table_3a!G37</f>
        <v>0</v>
      </c>
      <c r="AA14" s="20">
        <f>-Oil_Table_3a!H37</f>
        <v>0</v>
      </c>
      <c r="AB14" s="20">
        <f>-Oil_Table_3a!I37</f>
        <v>0</v>
      </c>
      <c r="AC14" s="20">
        <f>-(Oil_Table_3a!M37)</f>
        <v>0</v>
      </c>
      <c r="AD14" s="20">
        <f>-Oil_Table_3a!N37</f>
        <v>0</v>
      </c>
      <c r="AE14" s="20">
        <f>-Oil_Table_3a!O37</f>
        <v>0</v>
      </c>
      <c r="AF14" s="20">
        <f>-Oil_Table_3a!R37</f>
        <v>0</v>
      </c>
      <c r="AG14" s="20">
        <f>-Oil_Table_3a!S37</f>
        <v>0</v>
      </c>
      <c r="AH14" s="20">
        <f>-Oil_Table_3a!X37</f>
        <v>0</v>
      </c>
      <c r="AI14" s="20">
        <f>-Oil_Table_3a!Y37</f>
        <v>0</v>
      </c>
      <c r="AJ14" s="20">
        <f>-Oil_Table_3a!J37</f>
        <v>0</v>
      </c>
      <c r="AK14" s="20">
        <f>-Oil_Table_3a!AB37</f>
        <v>0</v>
      </c>
      <c r="AL14" s="20">
        <f>-Oil_Table_3a!AC37</f>
        <v>0</v>
      </c>
      <c r="AM14" s="20">
        <f>-Oil_Table_3a!AD37</f>
        <v>0</v>
      </c>
      <c r="AN14" s="20">
        <f>-Oil_Table_3a!AE37</f>
        <v>0</v>
      </c>
      <c r="AO14" s="20">
        <f>-Oil_Table_3a!AF37</f>
        <v>0</v>
      </c>
      <c r="AP14" s="20">
        <f>-Oil_Table_3a!AG37</f>
        <v>0</v>
      </c>
      <c r="AQ14" s="20"/>
      <c r="AR14" s="20"/>
      <c r="AS14" s="20"/>
      <c r="AT14" s="20"/>
      <c r="AU14" s="20"/>
      <c r="AV14" s="20"/>
      <c r="AW14" s="20">
        <f>-Oil_Table_3a!L37</f>
        <v>0</v>
      </c>
      <c r="AX14" s="20">
        <f>-Oil_Table_3a!Q37</f>
        <v>0</v>
      </c>
      <c r="AY14" s="20">
        <f>-Oil_Table_3a!W37</f>
        <v>0</v>
      </c>
      <c r="AZ14" s="20"/>
      <c r="BA14" s="20"/>
      <c r="BB14" s="20"/>
      <c r="BC14" s="20"/>
      <c r="BD14" s="20"/>
      <c r="BE14" s="20"/>
      <c r="BF14" s="20"/>
      <c r="BG14" s="20"/>
      <c r="BH14" s="20"/>
      <c r="BI14" s="20"/>
      <c r="BJ14" s="20"/>
      <c r="BK14" s="20"/>
      <c r="BL14" s="20"/>
      <c r="BM14" s="20"/>
      <c r="BN14" s="20"/>
      <c r="BO14" s="20"/>
      <c r="BP14" s="590"/>
    </row>
    <row r="15" spans="1:68" x14ac:dyDescent="0.2">
      <c r="A15" s="589" t="s">
        <v>905</v>
      </c>
      <c r="B15" s="20" t="s">
        <v>904</v>
      </c>
      <c r="C15" s="20">
        <f>Coal_Table_1!E13</f>
        <v>0</v>
      </c>
      <c r="D15" s="20">
        <f>Coal_Table_1!F13</f>
        <v>0</v>
      </c>
      <c r="E15" s="20">
        <f>Coal_Table_1!G13</f>
        <v>0</v>
      </c>
      <c r="F15" s="20">
        <f>Coal_Table_1!H13</f>
        <v>0</v>
      </c>
      <c r="G15" s="20">
        <f>Coal_Table_1!I13</f>
        <v>0</v>
      </c>
      <c r="H15" s="20">
        <f>Coal_Table_1!J13</f>
        <v>0</v>
      </c>
      <c r="I15" s="20">
        <f>Coal_Table_1!K13</f>
        <v>0</v>
      </c>
      <c r="J15" s="20">
        <f>Coal_Table_1!L13</f>
        <v>0</v>
      </c>
      <c r="K15" s="20">
        <f>Coal_Table_1!M13</f>
        <v>0</v>
      </c>
      <c r="L15" s="20">
        <f>Coal_Table_1!N13</f>
        <v>0</v>
      </c>
      <c r="M15" s="20">
        <f>Coal_Table_1!O13</f>
        <v>0</v>
      </c>
      <c r="N15" s="20">
        <f>Coal_Table_1!P13</f>
        <v>0</v>
      </c>
      <c r="O15" s="20">
        <f>Coal_Table_1!Q13</f>
        <v>0</v>
      </c>
      <c r="P15" s="20">
        <f>Coal_Table_1!R13</f>
        <v>0</v>
      </c>
      <c r="Q15" s="20"/>
      <c r="R15" s="20">
        <f>Coal_Table_1!S13</f>
        <v>0</v>
      </c>
      <c r="S15" s="20">
        <f>Coal_Table_1!T13</f>
        <v>0</v>
      </c>
      <c r="T15" s="20">
        <f>Coal_Table_1!U13</f>
        <v>0</v>
      </c>
      <c r="U15" s="20">
        <f>Oil_Table_1!E17</f>
        <v>0</v>
      </c>
      <c r="V15" s="20">
        <f>Oil_Table_1!F17</f>
        <v>0</v>
      </c>
      <c r="W15" s="20">
        <f>Oil_Table_1!G17</f>
        <v>0</v>
      </c>
      <c r="X15" s="20">
        <f>Oil_Table_1!H17-Oil_Table_1!I17</f>
        <v>0</v>
      </c>
      <c r="Y15" s="20">
        <f>Oil_Table_1!J17</f>
        <v>0</v>
      </c>
      <c r="Z15" s="20">
        <f>Oil_Table_2a!G20</f>
        <v>0</v>
      </c>
      <c r="AA15" s="20">
        <f>Oil_Table_2a!H20</f>
        <v>0</v>
      </c>
      <c r="AB15" s="20">
        <f>Oil_Table_2a!I20</f>
        <v>0</v>
      </c>
      <c r="AC15" s="20">
        <f>Oil_Table_2a!M20</f>
        <v>0</v>
      </c>
      <c r="AD15" s="20">
        <f>Oil_Table_2a!N20</f>
        <v>0</v>
      </c>
      <c r="AE15" s="20">
        <f>Oil_Table_2a!O20</f>
        <v>0</v>
      </c>
      <c r="AF15" s="20">
        <f>Oil_Table_2a!R20</f>
        <v>0</v>
      </c>
      <c r="AG15" s="20">
        <f>Oil_Table_2a!S20</f>
        <v>0</v>
      </c>
      <c r="AH15" s="20">
        <f>Oil_Table_2a!X20</f>
        <v>0</v>
      </c>
      <c r="AI15" s="20">
        <f>Oil_Table_2a!Y20</f>
        <v>0</v>
      </c>
      <c r="AJ15" s="20">
        <f>Oil_Table_2a!J20</f>
        <v>0</v>
      </c>
      <c r="AK15" s="20">
        <f>Oil_Table_2a!AB20</f>
        <v>0</v>
      </c>
      <c r="AL15" s="20">
        <f>Oil_Table_2a!AC20</f>
        <v>0</v>
      </c>
      <c r="AM15" s="20">
        <f>Oil_Table_2a!AD20</f>
        <v>0</v>
      </c>
      <c r="AN15" s="20">
        <f>Oil_Table_2a!AE20</f>
        <v>0</v>
      </c>
      <c r="AO15" s="20">
        <f>Oil_Table_2a!AF20</f>
        <v>0</v>
      </c>
      <c r="AP15" s="20">
        <f>Oil_Table_2a!AG20</f>
        <v>0</v>
      </c>
      <c r="AQ15" s="20">
        <f>Gas_Table_1!F14</f>
        <v>0</v>
      </c>
      <c r="AR15" s="20">
        <f>Ren_Table_2a!G11</f>
        <v>0</v>
      </c>
      <c r="AS15" s="20">
        <f>Ren_Table_2a!H11</f>
        <v>0</v>
      </c>
      <c r="AT15" s="20">
        <f>Ren_Table_2a!I11</f>
        <v>0</v>
      </c>
      <c r="AU15" s="20">
        <f>Ren_Table_2a!J11</f>
        <v>0</v>
      </c>
      <c r="AV15" s="20">
        <f>Ren_Table_2a!L11</f>
        <v>0</v>
      </c>
      <c r="AW15" s="626">
        <f>ROUND(Ren_Table_2a!M11,3)+Oil_Table_2a!L20+Oil_Table_2a!L11+Oil_Table_2a!L12-ROUND(Ren_Table_2a!M26,3)</f>
        <v>0</v>
      </c>
      <c r="AX15" s="626">
        <f>ROUND(Ren_Table_2a!O11,3)+Oil_Table_2a!Q20+Oil_Table_2a!Q11+Oil_Table_2a!Q12-ROUND(Ren_Table_2a!O26,3)</f>
        <v>0</v>
      </c>
      <c r="AY15" s="626">
        <f>ROUND(Ren_Table_2a!P11,3)+Oil_Table_2a!W20+Oil_Table_2a!W11+Oil_Table_2a!W12-ROUND(Ren_Table_2a!P26,3)</f>
        <v>0</v>
      </c>
      <c r="AZ15" s="20">
        <f>ROUND((Ren_Table_2a!Q11),3)</f>
        <v>0</v>
      </c>
      <c r="BA15" s="20"/>
      <c r="BB15" s="20">
        <f>Ren_Table_2a!K11</f>
        <v>0</v>
      </c>
      <c r="BC15" s="20"/>
      <c r="BD15" s="20"/>
      <c r="BE15" s="20"/>
      <c r="BF15" s="20"/>
      <c r="BG15" s="20"/>
      <c r="BH15" s="20"/>
      <c r="BI15" s="20"/>
      <c r="BJ15" s="20"/>
      <c r="BK15" s="20"/>
      <c r="BL15" s="20"/>
      <c r="BM15" s="20"/>
      <c r="BN15" s="20"/>
      <c r="BO15" s="20"/>
      <c r="BP15" s="590"/>
    </row>
    <row r="16" spans="1:68" x14ac:dyDescent="0.2">
      <c r="A16" s="893" t="s">
        <v>911</v>
      </c>
      <c r="B16" s="256" t="s">
        <v>916</v>
      </c>
      <c r="C16" s="256">
        <f t="shared" ref="C16:AR16" si="0">SUM(C5:C15)</f>
        <v>0</v>
      </c>
      <c r="D16" s="256">
        <f t="shared" si="0"/>
        <v>0</v>
      </c>
      <c r="E16" s="256">
        <f t="shared" si="0"/>
        <v>0</v>
      </c>
      <c r="F16" s="256">
        <f t="shared" si="0"/>
        <v>0</v>
      </c>
      <c r="G16" s="256">
        <f t="shared" si="0"/>
        <v>0</v>
      </c>
      <c r="H16" s="256">
        <f t="shared" ref="H16:P16" si="1">SUM(H5:H15)</f>
        <v>0</v>
      </c>
      <c r="I16" s="256">
        <f t="shared" si="1"/>
        <v>0</v>
      </c>
      <c r="J16" s="256">
        <f t="shared" si="1"/>
        <v>0</v>
      </c>
      <c r="K16" s="256">
        <f t="shared" si="1"/>
        <v>0</v>
      </c>
      <c r="L16" s="256">
        <f t="shared" si="1"/>
        <v>0</v>
      </c>
      <c r="M16" s="256">
        <f t="shared" si="1"/>
        <v>0</v>
      </c>
      <c r="N16" s="256">
        <f t="shared" si="1"/>
        <v>0</v>
      </c>
      <c r="O16" s="256">
        <f t="shared" si="1"/>
        <v>0</v>
      </c>
      <c r="P16" s="256">
        <f t="shared" si="1"/>
        <v>0</v>
      </c>
      <c r="Q16" s="256">
        <f t="shared" si="0"/>
        <v>0</v>
      </c>
      <c r="R16" s="256">
        <f>SUM(R5:R15)</f>
        <v>0</v>
      </c>
      <c r="S16" s="256">
        <f>SUM(S5:S15)</f>
        <v>0</v>
      </c>
      <c r="T16" s="256">
        <f>SUM(T5:T15)</f>
        <v>0</v>
      </c>
      <c r="U16" s="256">
        <f t="shared" si="0"/>
        <v>0</v>
      </c>
      <c r="V16" s="256">
        <f t="shared" si="0"/>
        <v>0</v>
      </c>
      <c r="W16" s="256">
        <f t="shared" si="0"/>
        <v>0</v>
      </c>
      <c r="X16" s="256">
        <f t="shared" si="0"/>
        <v>0</v>
      </c>
      <c r="Y16" s="256">
        <f t="shared" si="0"/>
        <v>0</v>
      </c>
      <c r="Z16" s="256">
        <f t="shared" si="0"/>
        <v>0</v>
      </c>
      <c r="AA16" s="256">
        <f t="shared" si="0"/>
        <v>0</v>
      </c>
      <c r="AB16" s="256">
        <f t="shared" si="0"/>
        <v>0</v>
      </c>
      <c r="AC16" s="256">
        <f t="shared" si="0"/>
        <v>0</v>
      </c>
      <c r="AD16" s="256">
        <f t="shared" si="0"/>
        <v>0</v>
      </c>
      <c r="AE16" s="256">
        <f t="shared" si="0"/>
        <v>0</v>
      </c>
      <c r="AF16" s="256">
        <f t="shared" si="0"/>
        <v>0</v>
      </c>
      <c r="AG16" s="256">
        <f t="shared" si="0"/>
        <v>0</v>
      </c>
      <c r="AH16" s="256">
        <f t="shared" si="0"/>
        <v>0</v>
      </c>
      <c r="AI16" s="256">
        <f t="shared" si="0"/>
        <v>0</v>
      </c>
      <c r="AJ16" s="256">
        <f t="shared" si="0"/>
        <v>0</v>
      </c>
      <c r="AK16" s="256">
        <f t="shared" si="0"/>
        <v>0</v>
      </c>
      <c r="AL16" s="256">
        <f t="shared" si="0"/>
        <v>0</v>
      </c>
      <c r="AM16" s="256">
        <f t="shared" si="0"/>
        <v>0</v>
      </c>
      <c r="AN16" s="256">
        <f t="shared" si="0"/>
        <v>0</v>
      </c>
      <c r="AO16" s="256">
        <f t="shared" si="0"/>
        <v>0</v>
      </c>
      <c r="AP16" s="256">
        <f t="shared" si="0"/>
        <v>0</v>
      </c>
      <c r="AQ16" s="256">
        <f>SUM(AQ5:AQ15)</f>
        <v>0</v>
      </c>
      <c r="AR16" s="256">
        <f t="shared" si="0"/>
        <v>0</v>
      </c>
      <c r="AS16" s="256">
        <f t="shared" ref="AS16:AZ16" si="2">SUM(AS5:AS15)</f>
        <v>0</v>
      </c>
      <c r="AT16" s="256">
        <f t="shared" si="2"/>
        <v>0</v>
      </c>
      <c r="AU16" s="256">
        <f t="shared" si="2"/>
        <v>0</v>
      </c>
      <c r="AV16" s="256">
        <f t="shared" si="2"/>
        <v>0</v>
      </c>
      <c r="AW16" s="256">
        <f t="shared" si="2"/>
        <v>0</v>
      </c>
      <c r="AX16" s="256">
        <f t="shared" si="2"/>
        <v>0</v>
      </c>
      <c r="AY16" s="256">
        <f t="shared" si="2"/>
        <v>0</v>
      </c>
      <c r="AZ16" s="256">
        <f t="shared" si="2"/>
        <v>0</v>
      </c>
      <c r="BA16" s="256"/>
      <c r="BB16" s="256">
        <f>SUM(BB5:BB15)</f>
        <v>0</v>
      </c>
      <c r="BC16" s="256"/>
      <c r="BD16" s="256"/>
      <c r="BE16" s="256">
        <f>SUM(BE5:BE15)</f>
        <v>0</v>
      </c>
      <c r="BF16" s="256"/>
      <c r="BG16" s="256">
        <f>SUM(BG5:BG15)</f>
        <v>0</v>
      </c>
      <c r="BH16" s="256"/>
      <c r="BI16" s="256"/>
      <c r="BJ16" s="256"/>
      <c r="BK16" s="256"/>
      <c r="BL16" s="256"/>
      <c r="BM16" s="256"/>
      <c r="BN16" s="256">
        <f>BN5+BN11+BN12</f>
        <v>0</v>
      </c>
      <c r="BO16" s="256">
        <f>BO5+BO11+BO12</f>
        <v>0</v>
      </c>
      <c r="BP16" s="265"/>
    </row>
    <row r="17" spans="1:68" x14ac:dyDescent="0.2">
      <c r="A17" s="589" t="s">
        <v>923</v>
      </c>
      <c r="B17" s="20" t="s">
        <v>922</v>
      </c>
      <c r="C17" s="20"/>
      <c r="D17" s="20"/>
      <c r="E17" s="20"/>
      <c r="F17" s="20"/>
      <c r="G17" s="20"/>
      <c r="H17" s="20"/>
      <c r="I17" s="20"/>
      <c r="J17" s="20"/>
      <c r="K17" s="20"/>
      <c r="L17" s="20"/>
      <c r="M17" s="20"/>
      <c r="N17" s="20"/>
      <c r="O17" s="20"/>
      <c r="P17" s="20"/>
      <c r="Q17" s="20"/>
      <c r="R17" s="20"/>
      <c r="S17" s="20"/>
      <c r="T17" s="20"/>
      <c r="U17" s="20">
        <f>Oil_Table_2a!E18</f>
        <v>0</v>
      </c>
      <c r="V17" s="20">
        <f>(Oil_Table_2a!F18 + Oil_Table_2a!F11) - Oil_Table_1!F16</f>
        <v>0</v>
      </c>
      <c r="W17" s="20">
        <f>Oil_Table_1!G13-Oil_Table_1!G16</f>
        <v>0</v>
      </c>
      <c r="X17" s="20">
        <f>-(Oil_Table_1!H16-Oil_Table_1!I16)</f>
        <v>0</v>
      </c>
      <c r="Y17" s="20">
        <f>-Oil_Table_1!J16</f>
        <v>0</v>
      </c>
      <c r="Z17" s="20">
        <f>(Oil_Table_2a!G11+Oil_Table_2a!G13+Oil_Table_2a!G18)-Oil_Table_2a!G19</f>
        <v>0</v>
      </c>
      <c r="AA17" s="20">
        <f>(Oil_Table_2a!H11+Oil_Table_2a!H13+Oil_Table_2a!H18)-Oil_Table_2a!H19</f>
        <v>0</v>
      </c>
      <c r="AB17" s="20">
        <f>(Oil_Table_2a!I11+Oil_Table_2a!I13+Oil_Table_2a!I18)-Oil_Table_2a!I19</f>
        <v>0</v>
      </c>
      <c r="AC17" s="20">
        <f>((Oil_Table_2a!M11+Oil_Table_2a!M13+Oil_Table_2a!M18)-Oil_Table_2a!M19)</f>
        <v>0</v>
      </c>
      <c r="AD17" s="20">
        <f>(Oil_Table_2a!N11+Oil_Table_2a!N13+Oil_Table_2a!N18)-Oil_Table_2a!N19</f>
        <v>0</v>
      </c>
      <c r="AE17" s="20">
        <f>(Oil_Table_2a!O11+Oil_Table_2a!O13+Oil_Table_2a!O18)-Oil_Table_2a!O19</f>
        <v>0</v>
      </c>
      <c r="AF17" s="20">
        <f>(Oil_Table_2a!R11+Oil_Table_2a!R13+Oil_Table_2a!R18)-Oil_Table_2a!R19</f>
        <v>0</v>
      </c>
      <c r="AG17" s="20">
        <f>(Oil_Table_2a!S11+Oil_Table_2a!S13+Oil_Table_2a!S18)-Oil_Table_2a!S19</f>
        <v>0</v>
      </c>
      <c r="AH17" s="20">
        <f>((Oil_Table_2a!X11+Oil_Table_2a!X13+Oil_Table_2a!X18)-Oil_Table_2a!X19)</f>
        <v>0</v>
      </c>
      <c r="AI17" s="20">
        <f>(Oil_Table_2a!Y11+Oil_Table_2a!Y13+Oil_Table_2a!Y18)-Oil_Table_2a!Y19</f>
        <v>0</v>
      </c>
      <c r="AJ17" s="20">
        <f>(Oil_Table_2a!J11+Oil_Table_2a!J13+Oil_Table_2a!J18)-Oil_Table_2a!J19</f>
        <v>0</v>
      </c>
      <c r="AK17" s="20">
        <f>(Oil_Table_2a!AB11+Oil_Table_2a!AB13+Oil_Table_2a!AB18)-Oil_Table_2a!AB19</f>
        <v>0</v>
      </c>
      <c r="AL17" s="20">
        <f>(Oil_Table_2a!AC11+Oil_Table_2a!AC13+Oil_Table_2a!AC18)-Oil_Table_2a!AC19</f>
        <v>0</v>
      </c>
      <c r="AM17" s="20">
        <f>(Oil_Table_2a!AD11+Oil_Table_2a!AD13+Oil_Table_2a!AD18)-Oil_Table_2a!AD19</f>
        <v>0</v>
      </c>
      <c r="AN17" s="20">
        <f>(Oil_Table_2a!AE11+Oil_Table_2a!AE13+Oil_Table_2a!AE18)-Oil_Table_2a!AE19</f>
        <v>0</v>
      </c>
      <c r="AO17" s="20">
        <f>(Oil_Table_2a!AF11+Oil_Table_2a!AF13+Oil_Table_2a!AF18)-Oil_Table_2a!AF19</f>
        <v>0</v>
      </c>
      <c r="AP17" s="20">
        <f>(Oil_Table_2a!AG11+Oil_Table_2a!AG13+Oil_Table_2a!AG18)-Oil_Table_2a!AG19</f>
        <v>0</v>
      </c>
      <c r="AQ17" s="20"/>
      <c r="AR17" s="20"/>
      <c r="AS17" s="20"/>
      <c r="AT17" s="20"/>
      <c r="AU17" s="20"/>
      <c r="AV17" s="20"/>
      <c r="AW17" s="20">
        <f>Oil_Table_2a!L18+Oil_Table_2a!L19+Oil_Table_2a!L13</f>
        <v>0</v>
      </c>
      <c r="AX17" s="20">
        <f>Oil_Table_2a!Q18+Oil_Table_2a!Q19+Oil_Table_2a!Q13</f>
        <v>0</v>
      </c>
      <c r="AY17" s="20">
        <f>Oil_Table_2a!W18+Oil_Table_2a!W19+Oil_Table_2a!W13</f>
        <v>0</v>
      </c>
      <c r="AZ17" s="20"/>
      <c r="BA17" s="20"/>
      <c r="BB17" s="20"/>
      <c r="BC17" s="20"/>
      <c r="BD17" s="20"/>
      <c r="BE17" s="20"/>
      <c r="BF17" s="20"/>
      <c r="BG17" s="20"/>
      <c r="BH17" s="20"/>
      <c r="BI17" s="20"/>
      <c r="BJ17" s="20"/>
      <c r="BK17" s="20"/>
      <c r="BL17" s="20"/>
      <c r="BM17" s="20"/>
      <c r="BN17" s="20"/>
      <c r="BO17" s="20"/>
      <c r="BP17" s="590"/>
    </row>
    <row r="18" spans="1:68" x14ac:dyDescent="0.2">
      <c r="A18" s="589" t="s">
        <v>197</v>
      </c>
      <c r="B18" s="20" t="s">
        <v>198</v>
      </c>
      <c r="C18" s="20">
        <f>-Coal_Table_1!E15</f>
        <v>0</v>
      </c>
      <c r="D18" s="20">
        <f>-Coal_Table_1!F15</f>
        <v>0</v>
      </c>
      <c r="E18" s="20">
        <f>-Coal_Table_1!G15</f>
        <v>0</v>
      </c>
      <c r="F18" s="20">
        <f>-Coal_Table_1!H15</f>
        <v>0</v>
      </c>
      <c r="G18" s="20">
        <f>-Coal_Table_1!I15</f>
        <v>0</v>
      </c>
      <c r="H18" s="20">
        <f>-Coal_Table_1!J15</f>
        <v>0</v>
      </c>
      <c r="I18" s="20">
        <f>-Coal_Table_1!K15</f>
        <v>0</v>
      </c>
      <c r="J18" s="20">
        <f>-Coal_Table_1!L15</f>
        <v>0</v>
      </c>
      <c r="K18" s="20">
        <f>-Coal_Table_1!M15</f>
        <v>0</v>
      </c>
      <c r="L18" s="20">
        <f>-Coal_Table_1!N15</f>
        <v>0</v>
      </c>
      <c r="M18" s="20">
        <f>-Coal_Table_1!O15</f>
        <v>0</v>
      </c>
      <c r="N18" s="20">
        <f>-Coal_Table_1!P15</f>
        <v>0</v>
      </c>
      <c r="O18" s="20">
        <f>-Coal_Table_1!Q15</f>
        <v>0</v>
      </c>
      <c r="P18" s="20">
        <f>-Coal_Table_1!R15</f>
        <v>0</v>
      </c>
      <c r="Q18" s="20"/>
      <c r="R18" s="20">
        <f>-Coal_Table_1!S15</f>
        <v>0</v>
      </c>
      <c r="S18" s="20">
        <f>-Coal_Table_1!T15</f>
        <v>0</v>
      </c>
      <c r="T18" s="20">
        <f>-Coal_Table_1!U15</f>
        <v>0</v>
      </c>
      <c r="U18" s="20">
        <f>-Oil_Table_1!E19</f>
        <v>0</v>
      </c>
      <c r="V18" s="20">
        <f>-Oil_Table_1!F19</f>
        <v>0</v>
      </c>
      <c r="W18" s="20">
        <f>-Oil_Table_1!G19</f>
        <v>0</v>
      </c>
      <c r="X18" s="20">
        <f>-(Oil_Table_1!H19-Oil_Table_1!I19)</f>
        <v>0</v>
      </c>
      <c r="Y18" s="20">
        <f>-Oil_Table_1!J19</f>
        <v>0</v>
      </c>
      <c r="Z18" s="20">
        <f>-Oil_Table_2a!G22</f>
        <v>0</v>
      </c>
      <c r="AA18" s="20">
        <f>-Oil_Table_2a!H22</f>
        <v>0</v>
      </c>
      <c r="AB18" s="20">
        <f>-Oil_Table_2a!I22</f>
        <v>0</v>
      </c>
      <c r="AC18" s="20">
        <f>-(Oil_Table_2a!M22)</f>
        <v>0</v>
      </c>
      <c r="AD18" s="20">
        <f>-Oil_Table_2a!N22</f>
        <v>0</v>
      </c>
      <c r="AE18" s="20">
        <f>-Oil_Table_2a!O22</f>
        <v>0</v>
      </c>
      <c r="AF18" s="20">
        <f>-Oil_Table_2a!R22</f>
        <v>0</v>
      </c>
      <c r="AG18" s="20">
        <f>-Oil_Table_2a!S22</f>
        <v>0</v>
      </c>
      <c r="AH18" s="20">
        <f>-(Oil_Table_2a!X22)</f>
        <v>0</v>
      </c>
      <c r="AI18" s="20">
        <f>-Oil_Table_2a!Y22</f>
        <v>0</v>
      </c>
      <c r="AJ18" s="20">
        <f>-Oil_Table_2a!J22</f>
        <v>0</v>
      </c>
      <c r="AK18" s="20">
        <f>-Oil_Table_2a!AB22</f>
        <v>0</v>
      </c>
      <c r="AL18" s="20">
        <f>-Oil_Table_2a!AC22</f>
        <v>0</v>
      </c>
      <c r="AM18" s="20">
        <f>-Oil_Table_2a!AD22</f>
        <v>0</v>
      </c>
      <c r="AN18" s="20">
        <f>-Oil_Table_2a!AE22</f>
        <v>0</v>
      </c>
      <c r="AO18" s="20">
        <f>-Oil_Table_2a!AF22</f>
        <v>0</v>
      </c>
      <c r="AP18" s="20">
        <f>-Oil_Table_2a!AG22</f>
        <v>0</v>
      </c>
      <c r="AQ18" s="20">
        <f>-Gas_Table_1!F16</f>
        <v>0</v>
      </c>
      <c r="AR18" s="20">
        <f>-Ren_Table_2a!G13</f>
        <v>0</v>
      </c>
      <c r="AS18" s="20">
        <f>-Ren_Table_2a!H13</f>
        <v>0</v>
      </c>
      <c r="AT18" s="20">
        <f>-Ren_Table_2a!I13</f>
        <v>0</v>
      </c>
      <c r="AU18" s="20">
        <f>-Ren_Table_2a!J13</f>
        <v>0</v>
      </c>
      <c r="AV18" s="20">
        <f>-Ren_Table_2a!L13</f>
        <v>0</v>
      </c>
      <c r="AW18" s="20">
        <f>(AW19+AW41+AW59+AW60) - (AW16+AW17)</f>
        <v>0</v>
      </c>
      <c r="AX18" s="20">
        <f>(AX19+AX41+AX59+AX60) - (AX16+AX17)</f>
        <v>0</v>
      </c>
      <c r="AY18" s="20">
        <f>(AY19+AY41+AY59+AY60) - (AY16+AY17)</f>
        <v>0</v>
      </c>
      <c r="AZ18" s="20">
        <f>(AZ19+AZ41+AZ59+AZ60) - (AZ16+AZ17)</f>
        <v>0</v>
      </c>
      <c r="BA18" s="20"/>
      <c r="BB18" s="20">
        <f>-Ren_Table_2a!K13</f>
        <v>0</v>
      </c>
      <c r="BC18" s="20"/>
      <c r="BD18" s="20"/>
      <c r="BE18" s="20">
        <f>-Ren_Table_2a!E13</f>
        <v>0</v>
      </c>
      <c r="BF18" s="20"/>
      <c r="BG18" s="20">
        <f>-Ren_Table_2a!F13</f>
        <v>0</v>
      </c>
      <c r="BH18" s="20"/>
      <c r="BI18" s="20"/>
      <c r="BJ18" s="20"/>
      <c r="BK18" s="20"/>
      <c r="BL18" s="20"/>
      <c r="BM18" s="20"/>
      <c r="BN18" s="20">
        <f>-Ele_Table_3!F19</f>
        <v>0</v>
      </c>
      <c r="BO18" s="20">
        <f>-Ele_Table_3!G19</f>
        <v>0</v>
      </c>
      <c r="BP18" s="590"/>
    </row>
    <row r="19" spans="1:68" x14ac:dyDescent="0.2">
      <c r="A19" s="589" t="s">
        <v>933</v>
      </c>
      <c r="B19" s="20" t="s">
        <v>936</v>
      </c>
      <c r="C19" s="20">
        <f t="shared" ref="C19:AR19" si="3">SUM(C20:C40)</f>
        <v>0</v>
      </c>
      <c r="D19" s="20">
        <f t="shared" si="3"/>
        <v>0</v>
      </c>
      <c r="E19" s="20">
        <f t="shared" si="3"/>
        <v>0</v>
      </c>
      <c r="F19" s="20">
        <f t="shared" si="3"/>
        <v>0</v>
      </c>
      <c r="G19" s="20">
        <f t="shared" si="3"/>
        <v>0</v>
      </c>
      <c r="H19" s="20">
        <f t="shared" ref="H19:P19" si="4">SUM(H20:H40)</f>
        <v>0</v>
      </c>
      <c r="I19" s="20">
        <f t="shared" si="4"/>
        <v>0</v>
      </c>
      <c r="J19" s="20">
        <f t="shared" si="4"/>
        <v>0</v>
      </c>
      <c r="K19" s="20">
        <f t="shared" si="4"/>
        <v>0</v>
      </c>
      <c r="L19" s="20">
        <f t="shared" si="4"/>
        <v>0</v>
      </c>
      <c r="M19" s="20">
        <f t="shared" si="4"/>
        <v>0</v>
      </c>
      <c r="N19" s="20">
        <f t="shared" si="4"/>
        <v>0</v>
      </c>
      <c r="O19" s="20">
        <f t="shared" si="4"/>
        <v>0</v>
      </c>
      <c r="P19" s="20">
        <f t="shared" si="4"/>
        <v>0</v>
      </c>
      <c r="Q19" s="20">
        <f t="shared" si="3"/>
        <v>0</v>
      </c>
      <c r="R19" s="20">
        <f>SUM(R20:R40)</f>
        <v>0</v>
      </c>
      <c r="S19" s="20">
        <f>SUM(S20:S40)</f>
        <v>0</v>
      </c>
      <c r="T19" s="20">
        <f>SUM(T20:T40)</f>
        <v>0</v>
      </c>
      <c r="U19" s="20">
        <f t="shared" si="3"/>
        <v>0</v>
      </c>
      <c r="V19" s="20">
        <f t="shared" si="3"/>
        <v>0</v>
      </c>
      <c r="W19" s="20">
        <f t="shared" si="3"/>
        <v>0</v>
      </c>
      <c r="X19" s="20">
        <f t="shared" si="3"/>
        <v>0</v>
      </c>
      <c r="Y19" s="20">
        <f t="shared" si="3"/>
        <v>0</v>
      </c>
      <c r="Z19" s="20">
        <f t="shared" si="3"/>
        <v>0</v>
      </c>
      <c r="AA19" s="20">
        <f t="shared" si="3"/>
        <v>0</v>
      </c>
      <c r="AB19" s="20">
        <f t="shared" si="3"/>
        <v>0</v>
      </c>
      <c r="AC19" s="20">
        <f t="shared" si="3"/>
        <v>0</v>
      </c>
      <c r="AD19" s="20">
        <f t="shared" si="3"/>
        <v>0</v>
      </c>
      <c r="AE19" s="20">
        <f t="shared" si="3"/>
        <v>0</v>
      </c>
      <c r="AF19" s="20">
        <f t="shared" si="3"/>
        <v>0</v>
      </c>
      <c r="AG19" s="20">
        <f t="shared" si="3"/>
        <v>0</v>
      </c>
      <c r="AH19" s="20">
        <f t="shared" si="3"/>
        <v>0</v>
      </c>
      <c r="AI19" s="20">
        <f t="shared" si="3"/>
        <v>0</v>
      </c>
      <c r="AJ19" s="20">
        <f t="shared" si="3"/>
        <v>0</v>
      </c>
      <c r="AK19" s="20">
        <f t="shared" si="3"/>
        <v>0</v>
      </c>
      <c r="AL19" s="20">
        <f t="shared" si="3"/>
        <v>0</v>
      </c>
      <c r="AM19" s="20">
        <f t="shared" si="3"/>
        <v>0</v>
      </c>
      <c r="AN19" s="20">
        <f t="shared" si="3"/>
        <v>0</v>
      </c>
      <c r="AO19" s="20">
        <f t="shared" si="3"/>
        <v>0</v>
      </c>
      <c r="AP19" s="20">
        <f t="shared" si="3"/>
        <v>0</v>
      </c>
      <c r="AQ19" s="20">
        <f>SUM(AQ20:AQ40)</f>
        <v>0</v>
      </c>
      <c r="AR19" s="20">
        <f t="shared" si="3"/>
        <v>0</v>
      </c>
      <c r="AS19" s="20">
        <f t="shared" ref="AS19:AZ19" si="5">SUM(AS20:AS40)</f>
        <v>0</v>
      </c>
      <c r="AT19" s="20">
        <f t="shared" si="5"/>
        <v>0</v>
      </c>
      <c r="AU19" s="20">
        <f t="shared" si="5"/>
        <v>0</v>
      </c>
      <c r="AV19" s="20">
        <f t="shared" si="5"/>
        <v>0</v>
      </c>
      <c r="AW19" s="20">
        <f t="shared" si="5"/>
        <v>0</v>
      </c>
      <c r="AX19" s="20">
        <f t="shared" si="5"/>
        <v>0</v>
      </c>
      <c r="AY19" s="20">
        <f t="shared" si="5"/>
        <v>0</v>
      </c>
      <c r="AZ19" s="20">
        <f t="shared" si="5"/>
        <v>0</v>
      </c>
      <c r="BA19" s="20"/>
      <c r="BB19" s="20">
        <f>SUM(BB20:BB40)</f>
        <v>0</v>
      </c>
      <c r="BC19" s="20"/>
      <c r="BD19" s="20"/>
      <c r="BE19" s="20">
        <f>SUM(BE20:BE40)</f>
        <v>0</v>
      </c>
      <c r="BF19" s="20"/>
      <c r="BG19" s="20">
        <f>SUM(BG20:BG40)</f>
        <v>0</v>
      </c>
      <c r="BH19" s="20"/>
      <c r="BI19" s="20"/>
      <c r="BJ19" s="20"/>
      <c r="BK19" s="20"/>
      <c r="BL19" s="20"/>
      <c r="BM19" s="20"/>
      <c r="BN19" s="20">
        <f>SUM(BN20:BN40)</f>
        <v>0</v>
      </c>
      <c r="BO19" s="20">
        <f>SUM(BO20:BO40)</f>
        <v>0</v>
      </c>
      <c r="BP19" s="590"/>
    </row>
    <row r="20" spans="1:68" x14ac:dyDescent="0.2">
      <c r="A20" s="589" t="s">
        <v>7008</v>
      </c>
      <c r="B20" s="20" t="s">
        <v>940</v>
      </c>
      <c r="C20" s="20">
        <f>Coal_Table_1!E24</f>
        <v>0</v>
      </c>
      <c r="D20" s="20">
        <f>Coal_Table_1!F24</f>
        <v>0</v>
      </c>
      <c r="E20" s="20">
        <f>Coal_Table_1!G24</f>
        <v>0</v>
      </c>
      <c r="F20" s="20">
        <f>Coal_Table_1!H24</f>
        <v>0</v>
      </c>
      <c r="G20" s="20">
        <f>Coal_Table_1!I24</f>
        <v>0</v>
      </c>
      <c r="H20" s="20">
        <f>Coal_Table_1!J24</f>
        <v>0</v>
      </c>
      <c r="I20" s="20">
        <f>Coal_Table_1!K24</f>
        <v>0</v>
      </c>
      <c r="J20" s="20">
        <f>Coal_Table_1!L24</f>
        <v>0</v>
      </c>
      <c r="K20" s="20">
        <f>Coal_Table_1!M24</f>
        <v>0</v>
      </c>
      <c r="L20" s="20">
        <f>Coal_Table_1!N24</f>
        <v>0</v>
      </c>
      <c r="M20" s="20">
        <f>Coal_Table_1!O24</f>
        <v>0</v>
      </c>
      <c r="N20" s="20">
        <f>Coal_Table_1!P24</f>
        <v>0</v>
      </c>
      <c r="O20" s="20">
        <f>Coal_Table_1!Q24</f>
        <v>0</v>
      </c>
      <c r="P20" s="20">
        <f>Coal_Table_1!R24</f>
        <v>0</v>
      </c>
      <c r="Q20" s="20"/>
      <c r="R20" s="20">
        <f>Coal_Table_1!S24</f>
        <v>0</v>
      </c>
      <c r="S20" s="20">
        <f>Coal_Table_1!T24</f>
        <v>0</v>
      </c>
      <c r="T20" s="20">
        <f>Coal_Table_1!U24</f>
        <v>0</v>
      </c>
      <c r="U20" s="20">
        <f>Oil_Table_3a!E13</f>
        <v>0</v>
      </c>
      <c r="V20" s="20">
        <f>Oil_Table_3a!F13</f>
        <v>0</v>
      </c>
      <c r="W20" s="20"/>
      <c r="X20" s="20"/>
      <c r="Y20" s="20"/>
      <c r="Z20" s="20">
        <f>Oil_Table_3a!G13</f>
        <v>0</v>
      </c>
      <c r="AA20" s="20">
        <f>Oil_Table_3a!H13</f>
        <v>0</v>
      </c>
      <c r="AB20" s="20">
        <f>Oil_Table_3a!I13</f>
        <v>0</v>
      </c>
      <c r="AC20" s="20">
        <f>(Oil_Table_3a!M13-Oil_Table_3a!L13)</f>
        <v>0</v>
      </c>
      <c r="AD20" s="20">
        <f>Oil_Table_3a!N13</f>
        <v>0</v>
      </c>
      <c r="AE20" s="20">
        <f>Oil_Table_3a!O13</f>
        <v>0</v>
      </c>
      <c r="AF20" s="20">
        <f>Oil_Table_3a!R13</f>
        <v>0</v>
      </c>
      <c r="AG20" s="20">
        <f>Oil_Table_3a!S13</f>
        <v>0</v>
      </c>
      <c r="AH20" s="20">
        <f>Oil_Table_3a!X13</f>
        <v>0</v>
      </c>
      <c r="AI20" s="20">
        <f>Oil_Table_3a!Y13</f>
        <v>0</v>
      </c>
      <c r="AJ20" s="20">
        <f>Oil_Table_3a!J13</f>
        <v>0</v>
      </c>
      <c r="AK20" s="20">
        <f>Oil_Table_3a!AB13</f>
        <v>0</v>
      </c>
      <c r="AL20" s="20">
        <f>Oil_Table_3a!AC13</f>
        <v>0</v>
      </c>
      <c r="AM20" s="20">
        <f>Oil_Table_3a!AD13</f>
        <v>0</v>
      </c>
      <c r="AN20" s="20">
        <f>Oil_Table_3a!AE13</f>
        <v>0</v>
      </c>
      <c r="AO20" s="20">
        <f>Oil_Table_3a!AF13-Oil_Table_3a!AJ13</f>
        <v>0</v>
      </c>
      <c r="AP20" s="20">
        <f>Oil_Table_3a!AG13-Oil_Table_3a!AK13</f>
        <v>0</v>
      </c>
      <c r="AQ20" s="20">
        <f>Gas_Table_2a!E8</f>
        <v>0</v>
      </c>
      <c r="AR20" s="20">
        <f>Ren_Table_2a!G15</f>
        <v>0</v>
      </c>
      <c r="AS20" s="20">
        <f>Ren_Table_2a!H15</f>
        <v>0</v>
      </c>
      <c r="AT20" s="20">
        <f>Ren_Table_2a!I15</f>
        <v>0</v>
      </c>
      <c r="AU20" s="20">
        <f>Ren_Table_2a!J15</f>
        <v>0</v>
      </c>
      <c r="AV20" s="20">
        <f>Ren_Table_2a!L15</f>
        <v>0</v>
      </c>
      <c r="AW20" s="20">
        <f>ROUND(Oil_Table_3a!L13+Ren_Table_2a!M15,3)</f>
        <v>0</v>
      </c>
      <c r="AX20" s="20">
        <f>ROUND(Oil_Table_3a!Q13+Ren_Table_2a!O15,3)</f>
        <v>0</v>
      </c>
      <c r="AY20" s="20">
        <f>ROUND(Oil_Table_3a!W13+Ren_Table_2a!P15,3)</f>
        <v>0</v>
      </c>
      <c r="AZ20" s="20">
        <f>ROUND(Ren_Table_2a!Q15,3)</f>
        <v>0</v>
      </c>
      <c r="BA20" s="20"/>
      <c r="BB20" s="20"/>
      <c r="BC20" s="20"/>
      <c r="BD20" s="20"/>
      <c r="BE20" s="20">
        <f>Ren_Table_2a!E15</f>
        <v>0</v>
      </c>
      <c r="BF20" s="20"/>
      <c r="BG20" s="20">
        <f>Ren_Table_2a!F15</f>
        <v>0</v>
      </c>
      <c r="BH20" s="20"/>
      <c r="BI20" s="20"/>
      <c r="BJ20" s="20"/>
      <c r="BK20" s="20"/>
      <c r="BL20" s="20"/>
      <c r="BM20" s="20"/>
      <c r="BN20" s="20"/>
      <c r="BO20" s="20"/>
      <c r="BP20" s="590"/>
    </row>
    <row r="21" spans="1:68" x14ac:dyDescent="0.2">
      <c r="A21" s="589" t="s">
        <v>948</v>
      </c>
      <c r="B21" s="20" t="s">
        <v>947</v>
      </c>
      <c r="C21" s="20">
        <f>Coal_Table_1!E27</f>
        <v>0</v>
      </c>
      <c r="D21" s="20">
        <f>Coal_Table_1!F27</f>
        <v>0</v>
      </c>
      <c r="E21" s="20">
        <f>Coal_Table_1!G27</f>
        <v>0</v>
      </c>
      <c r="F21" s="20">
        <f>Coal_Table_1!H27</f>
        <v>0</v>
      </c>
      <c r="G21" s="20">
        <f>Coal_Table_1!I27</f>
        <v>0</v>
      </c>
      <c r="H21" s="20">
        <f>Coal_Table_1!J27</f>
        <v>0</v>
      </c>
      <c r="I21" s="20">
        <f>Coal_Table_1!K27</f>
        <v>0</v>
      </c>
      <c r="J21" s="20">
        <f>Coal_Table_1!L27</f>
        <v>0</v>
      </c>
      <c r="K21" s="20">
        <f>Coal_Table_1!M27</f>
        <v>0</v>
      </c>
      <c r="L21" s="20">
        <f>Coal_Table_1!N27</f>
        <v>0</v>
      </c>
      <c r="M21" s="20">
        <f>Coal_Table_1!O27</f>
        <v>0</v>
      </c>
      <c r="N21" s="20">
        <f>Coal_Table_1!P27</f>
        <v>0</v>
      </c>
      <c r="O21" s="20">
        <f>Coal_Table_1!Q27</f>
        <v>0</v>
      </c>
      <c r="P21" s="20">
        <f>Coal_Table_1!R27</f>
        <v>0</v>
      </c>
      <c r="Q21" s="20"/>
      <c r="R21" s="20">
        <f>Coal_Table_1!S27</f>
        <v>0</v>
      </c>
      <c r="S21" s="20">
        <f>Coal_Table_1!T27</f>
        <v>0</v>
      </c>
      <c r="T21" s="20">
        <f>Coal_Table_1!U27</f>
        <v>0</v>
      </c>
      <c r="U21" s="20">
        <f>Oil_Table_3a!E14</f>
        <v>0</v>
      </c>
      <c r="V21" s="20">
        <f>Oil_Table_3a!F14</f>
        <v>0</v>
      </c>
      <c r="W21" s="20"/>
      <c r="X21" s="20"/>
      <c r="Y21" s="20"/>
      <c r="Z21" s="20">
        <f>Oil_Table_3a!G14+Oil_Table_2a!G28</f>
        <v>0</v>
      </c>
      <c r="AA21" s="20">
        <f>Oil_Table_3a!H14+Oil_Table_2a!H28</f>
        <v>0</v>
      </c>
      <c r="AB21" s="20">
        <f>Oil_Table_3a!I14+Oil_Table_2a!I28</f>
        <v>0</v>
      </c>
      <c r="AC21" s="20">
        <f>(Oil_Table_3a!M14)+(Oil_Table_2a!M28)</f>
        <v>0</v>
      </c>
      <c r="AD21" s="20">
        <f>Oil_Table_3a!N14+Oil_Table_2a!N28</f>
        <v>0</v>
      </c>
      <c r="AE21" s="20">
        <f>Oil_Table_3a!O14+Oil_Table_2a!O28</f>
        <v>0</v>
      </c>
      <c r="AF21" s="20">
        <f>Oil_Table_3a!R14+Oil_Table_2a!R28</f>
        <v>0</v>
      </c>
      <c r="AG21" s="20">
        <f>Oil_Table_3a!S14+Oil_Table_2a!S28</f>
        <v>0</v>
      </c>
      <c r="AH21" s="20">
        <f>Oil_Table_3a!X14+Oil_Table_2a!X28</f>
        <v>0</v>
      </c>
      <c r="AI21" s="20">
        <f>Oil_Table_3a!Y14+Oil_Table_2a!Y28</f>
        <v>0</v>
      </c>
      <c r="AJ21" s="20">
        <f>Oil_Table_3a!J14+Oil_Table_2a!J28</f>
        <v>0</v>
      </c>
      <c r="AK21" s="20">
        <f>Oil_Table_3a!AB14+Oil_Table_2a!AB28</f>
        <v>0</v>
      </c>
      <c r="AL21" s="20">
        <f>Oil_Table_3a!AC14+Oil_Table_2a!AC28</f>
        <v>0</v>
      </c>
      <c r="AM21" s="20">
        <f>Oil_Table_3a!AD14+Oil_Table_2a!AD28</f>
        <v>0</v>
      </c>
      <c r="AN21" s="20">
        <f>Oil_Table_3a!AE14+Oil_Table_2a!AE28</f>
        <v>0</v>
      </c>
      <c r="AO21" s="20">
        <f>Oil_Table_3a!AF14+Oil_Table_2a!AF28</f>
        <v>0</v>
      </c>
      <c r="AP21" s="20">
        <f>Oil_Table_3a!AG14+Oil_Table_2a!AG28</f>
        <v>0</v>
      </c>
      <c r="AQ21" s="20">
        <f>Gas_Table_2a!E9</f>
        <v>0</v>
      </c>
      <c r="AR21" s="20">
        <f>Ren_Table_2a!G18</f>
        <v>0</v>
      </c>
      <c r="AS21" s="20">
        <f>Ren_Table_2a!H18</f>
        <v>0</v>
      </c>
      <c r="AT21" s="20">
        <f>Ren_Table_2a!I18</f>
        <v>0</v>
      </c>
      <c r="AU21" s="20">
        <f>Ren_Table_2a!J18</f>
        <v>0</v>
      </c>
      <c r="AV21" s="20">
        <f>Ren_Table_2a!L18</f>
        <v>0</v>
      </c>
      <c r="AW21" s="626">
        <f>ROUND(Oil_Table_3a!L14+Oil_Table_2a!L28+Ren_Table_2a!M18,3)</f>
        <v>0</v>
      </c>
      <c r="AX21" s="626">
        <f>ROUND(Oil_Table_3a!Q14+Oil_Table_2a!Q28+Ren_Table_2a!O18,3)</f>
        <v>0</v>
      </c>
      <c r="AY21" s="626">
        <f>ROUND(Oil_Table_3a!W14+Oil_Table_2a!W28+Ren_Table_2a!P18,3)</f>
        <v>0</v>
      </c>
      <c r="AZ21" s="20">
        <f>ROUND(Ren_Table_2a!Q18,3)</f>
        <v>0</v>
      </c>
      <c r="BA21" s="20"/>
      <c r="BB21" s="20"/>
      <c r="BC21" s="20"/>
      <c r="BD21" s="20"/>
      <c r="BE21" s="20">
        <f>Ren_Table_2a!E18</f>
        <v>0</v>
      </c>
      <c r="BF21" s="20"/>
      <c r="BG21" s="20">
        <f>Ren_Table_2a!F18</f>
        <v>0</v>
      </c>
      <c r="BH21" s="20"/>
      <c r="BI21" s="20"/>
      <c r="BJ21" s="20"/>
      <c r="BK21" s="20"/>
      <c r="BL21" s="20"/>
      <c r="BM21" s="20"/>
      <c r="BN21" s="20"/>
      <c r="BO21" s="20"/>
      <c r="BP21" s="590"/>
    </row>
    <row r="22" spans="1:68" x14ac:dyDescent="0.2">
      <c r="A22" s="589" t="s">
        <v>955</v>
      </c>
      <c r="B22" s="20" t="s">
        <v>954</v>
      </c>
      <c r="C22" s="20">
        <f>Coal_Table_1!E25</f>
        <v>0</v>
      </c>
      <c r="D22" s="20">
        <f>Coal_Table_1!F25</f>
        <v>0</v>
      </c>
      <c r="E22" s="20">
        <f>Coal_Table_1!G25</f>
        <v>0</v>
      </c>
      <c r="F22" s="20">
        <f>Coal_Table_1!H25</f>
        <v>0</v>
      </c>
      <c r="G22" s="20">
        <f>Coal_Table_1!I25</f>
        <v>0</v>
      </c>
      <c r="H22" s="20">
        <f>Coal_Table_1!J25</f>
        <v>0</v>
      </c>
      <c r="I22" s="20">
        <f>Coal_Table_1!K25</f>
        <v>0</v>
      </c>
      <c r="J22" s="20">
        <f>Coal_Table_1!L25</f>
        <v>0</v>
      </c>
      <c r="K22" s="20">
        <f>Coal_Table_1!M25</f>
        <v>0</v>
      </c>
      <c r="L22" s="20">
        <f>Coal_Table_1!N25</f>
        <v>0</v>
      </c>
      <c r="M22" s="20">
        <f>Coal_Table_1!O25</f>
        <v>0</v>
      </c>
      <c r="N22" s="20">
        <f>Coal_Table_1!P25</f>
        <v>0</v>
      </c>
      <c r="O22" s="20">
        <f>Coal_Table_1!Q25</f>
        <v>0</v>
      </c>
      <c r="P22" s="20">
        <f>Coal_Table_1!R25</f>
        <v>0</v>
      </c>
      <c r="Q22" s="20"/>
      <c r="R22" s="20">
        <f>Coal_Table_1!S25</f>
        <v>0</v>
      </c>
      <c r="S22" s="20">
        <f>Coal_Table_1!T25</f>
        <v>0</v>
      </c>
      <c r="T22" s="20">
        <f>Coal_Table_1!U25</f>
        <v>0</v>
      </c>
      <c r="U22" s="20">
        <f>Oil_Table_3a!E15</f>
        <v>0</v>
      </c>
      <c r="V22" s="20">
        <f>Oil_Table_3a!F15</f>
        <v>0</v>
      </c>
      <c r="W22" s="20"/>
      <c r="X22" s="20"/>
      <c r="Y22" s="20"/>
      <c r="Z22" s="20">
        <f>Oil_Table_3a!G15</f>
        <v>0</v>
      </c>
      <c r="AA22" s="20">
        <f>Oil_Table_3a!H15</f>
        <v>0</v>
      </c>
      <c r="AB22" s="20">
        <f>Oil_Table_3a!I15</f>
        <v>0</v>
      </c>
      <c r="AC22" s="20">
        <f>(Oil_Table_3a!M15)</f>
        <v>0</v>
      </c>
      <c r="AD22" s="20">
        <f>Oil_Table_3a!N15</f>
        <v>0</v>
      </c>
      <c r="AE22" s="20">
        <f>Oil_Table_3a!O15</f>
        <v>0</v>
      </c>
      <c r="AF22" s="20">
        <f>Oil_Table_3a!R15</f>
        <v>0</v>
      </c>
      <c r="AG22" s="20">
        <f>Oil_Table_3a!S15</f>
        <v>0</v>
      </c>
      <c r="AH22" s="20">
        <f>Oil_Table_3a!X15</f>
        <v>0</v>
      </c>
      <c r="AI22" s="20">
        <f>Oil_Table_3a!Y15</f>
        <v>0</v>
      </c>
      <c r="AJ22" s="20">
        <f>Oil_Table_3a!J15</f>
        <v>0</v>
      </c>
      <c r="AK22" s="20">
        <f>Oil_Table_3a!AB15</f>
        <v>0</v>
      </c>
      <c r="AL22" s="20">
        <f>Oil_Table_3a!AC15</f>
        <v>0</v>
      </c>
      <c r="AM22" s="20">
        <f>Oil_Table_3a!AD15</f>
        <v>0</v>
      </c>
      <c r="AN22" s="20">
        <f>Oil_Table_3a!AE15</f>
        <v>0</v>
      </c>
      <c r="AO22" s="20">
        <f>Oil_Table_3a!AF15-Oil_Table_3a!AJ15</f>
        <v>0</v>
      </c>
      <c r="AP22" s="20">
        <f>Oil_Table_3a!AG15-Oil_Table_3a!AK15</f>
        <v>0</v>
      </c>
      <c r="AQ22" s="20">
        <f>Gas_Table_2a!E10</f>
        <v>0</v>
      </c>
      <c r="AR22" s="20">
        <f>Ren_Table_2a!G16</f>
        <v>0</v>
      </c>
      <c r="AS22" s="20">
        <f>Ren_Table_2a!H16</f>
        <v>0</v>
      </c>
      <c r="AT22" s="20">
        <f>Ren_Table_2a!I16</f>
        <v>0</v>
      </c>
      <c r="AU22" s="20">
        <f>Ren_Table_2a!J16</f>
        <v>0</v>
      </c>
      <c r="AV22" s="20">
        <f>Ren_Table_2a!L16</f>
        <v>0</v>
      </c>
      <c r="AW22" s="20">
        <f>ROUND(Oil_Table_3a!L15+Ren_Table_2a!M16,3)</f>
        <v>0</v>
      </c>
      <c r="AX22" s="20">
        <f>ROUND(Oil_Table_3a!Q15+Ren_Table_2a!O16,3)</f>
        <v>0</v>
      </c>
      <c r="AY22" s="20">
        <f>ROUND(Oil_Table_3a!W15+Ren_Table_2a!P16,3)</f>
        <v>0</v>
      </c>
      <c r="AZ22" s="20">
        <f>ROUND(Ren_Table_2a!Q16,3)</f>
        <v>0</v>
      </c>
      <c r="BA22" s="20"/>
      <c r="BB22" s="20"/>
      <c r="BC22" s="20"/>
      <c r="BD22" s="20"/>
      <c r="BE22" s="20">
        <f>Ren_Table_2a!E16</f>
        <v>0</v>
      </c>
      <c r="BF22" s="20"/>
      <c r="BG22" s="20">
        <f>Ren_Table_2a!F16</f>
        <v>0</v>
      </c>
      <c r="BH22" s="20"/>
      <c r="BI22" s="20"/>
      <c r="BJ22" s="20"/>
      <c r="BK22" s="20"/>
      <c r="BL22" s="20"/>
      <c r="BM22" s="20"/>
      <c r="BN22" s="20"/>
      <c r="BO22" s="20"/>
      <c r="BP22" s="590"/>
    </row>
    <row r="23" spans="1:68" x14ac:dyDescent="0.2">
      <c r="A23" s="589" t="s">
        <v>962</v>
      </c>
      <c r="B23" s="20" t="s">
        <v>961</v>
      </c>
      <c r="C23" s="20">
        <f>Coal_Table_1!E28</f>
        <v>0</v>
      </c>
      <c r="D23" s="20">
        <f>Coal_Table_1!F28</f>
        <v>0</v>
      </c>
      <c r="E23" s="20">
        <f>Coal_Table_1!G28</f>
        <v>0</v>
      </c>
      <c r="F23" s="20">
        <f>Coal_Table_1!H28</f>
        <v>0</v>
      </c>
      <c r="G23" s="20">
        <f>Coal_Table_1!I28</f>
        <v>0</v>
      </c>
      <c r="H23" s="20">
        <f>Coal_Table_1!J28</f>
        <v>0</v>
      </c>
      <c r="I23" s="20">
        <f>Coal_Table_1!K28</f>
        <v>0</v>
      </c>
      <c r="J23" s="20">
        <f>Coal_Table_1!L28</f>
        <v>0</v>
      </c>
      <c r="K23" s="20">
        <f>Coal_Table_1!M28</f>
        <v>0</v>
      </c>
      <c r="L23" s="20">
        <f>Coal_Table_1!N28</f>
        <v>0</v>
      </c>
      <c r="M23" s="20">
        <f>Coal_Table_1!O28</f>
        <v>0</v>
      </c>
      <c r="N23" s="20">
        <f>Coal_Table_1!P28</f>
        <v>0</v>
      </c>
      <c r="O23" s="20">
        <f>Coal_Table_1!Q28</f>
        <v>0</v>
      </c>
      <c r="P23" s="20">
        <f>Coal_Table_1!R28</f>
        <v>0</v>
      </c>
      <c r="Q23" s="20"/>
      <c r="R23" s="20">
        <f>Coal_Table_1!S28</f>
        <v>0</v>
      </c>
      <c r="S23" s="20">
        <f>Coal_Table_1!T28</f>
        <v>0</v>
      </c>
      <c r="T23" s="20">
        <f>Coal_Table_1!U28</f>
        <v>0</v>
      </c>
      <c r="U23" s="20">
        <f>Oil_Table_3a!E16</f>
        <v>0</v>
      </c>
      <c r="V23" s="20">
        <f>Oil_Table_3a!F16</f>
        <v>0</v>
      </c>
      <c r="W23" s="20"/>
      <c r="X23" s="20"/>
      <c r="Y23" s="20"/>
      <c r="Z23" s="20">
        <f>Oil_Table_3a!G16+Oil_Table_2a!G29</f>
        <v>0</v>
      </c>
      <c r="AA23" s="20">
        <f>Oil_Table_3a!H16+Oil_Table_2a!H29</f>
        <v>0</v>
      </c>
      <c r="AB23" s="20">
        <f>Oil_Table_3a!I16+Oil_Table_2a!I29</f>
        <v>0</v>
      </c>
      <c r="AC23" s="20">
        <f>(Oil_Table_3a!M16)+(Oil_Table_2a!M29)</f>
        <v>0</v>
      </c>
      <c r="AD23" s="20">
        <f>Oil_Table_3a!N16+Oil_Table_2a!N29</f>
        <v>0</v>
      </c>
      <c r="AE23" s="20">
        <f>Oil_Table_3a!O16+Oil_Table_2a!O29</f>
        <v>0</v>
      </c>
      <c r="AF23" s="20">
        <f>Oil_Table_3a!R16+Oil_Table_2a!R29</f>
        <v>0</v>
      </c>
      <c r="AG23" s="20">
        <f>Oil_Table_3a!S16+Oil_Table_2a!S29</f>
        <v>0</v>
      </c>
      <c r="AH23" s="20">
        <f>Oil_Table_3a!X16+Oil_Table_2a!X29</f>
        <v>0</v>
      </c>
      <c r="AI23" s="20">
        <f>Oil_Table_3a!Y16+Oil_Table_2a!Y29</f>
        <v>0</v>
      </c>
      <c r="AJ23" s="20">
        <f>Oil_Table_3a!J16+Oil_Table_2a!J29</f>
        <v>0</v>
      </c>
      <c r="AK23" s="20">
        <f>Oil_Table_3a!AB16+Oil_Table_2a!AB29</f>
        <v>0</v>
      </c>
      <c r="AL23" s="20">
        <f>Oil_Table_3a!AC16+Oil_Table_2a!AC29</f>
        <v>0</v>
      </c>
      <c r="AM23" s="20">
        <f>Oil_Table_3a!AD16+Oil_Table_2a!AD29</f>
        <v>0</v>
      </c>
      <c r="AN23" s="20">
        <f>Oil_Table_3a!AE16+Oil_Table_2a!AE29</f>
        <v>0</v>
      </c>
      <c r="AO23" s="20">
        <f>Oil_Table_3a!AF16+Oil_Table_2a!AF29</f>
        <v>0</v>
      </c>
      <c r="AP23" s="20">
        <f>Oil_Table_3a!AG16+Oil_Table_2a!AG29</f>
        <v>0</v>
      </c>
      <c r="AQ23" s="20">
        <f>Gas_Table_2a!E11</f>
        <v>0</v>
      </c>
      <c r="AR23" s="20">
        <f>Ren_Table_2a!G19</f>
        <v>0</v>
      </c>
      <c r="AS23" s="20">
        <f>Ren_Table_2a!H19</f>
        <v>0</v>
      </c>
      <c r="AT23" s="20">
        <f>Ren_Table_2a!I19</f>
        <v>0</v>
      </c>
      <c r="AU23" s="20">
        <f>Ren_Table_2a!J19</f>
        <v>0</v>
      </c>
      <c r="AV23" s="20">
        <f>Ren_Table_2a!L19</f>
        <v>0</v>
      </c>
      <c r="AW23" s="626">
        <f>ROUND(Oil_Table_3a!L17+Oil_Table_2a!L29+Ren_Table_2a!M19,3)</f>
        <v>0</v>
      </c>
      <c r="AX23" s="626">
        <f>ROUND(Oil_Table_3a!Q17+Oil_Table_2a!Q29+Ren_Table_2a!O19,3)</f>
        <v>0</v>
      </c>
      <c r="AY23" s="626">
        <f>ROUND(Oil_Table_3a!W17+Oil_Table_2a!W29+Ren_Table_2a!P19,3)</f>
        <v>0</v>
      </c>
      <c r="AZ23" s="20">
        <f>ROUND(Ren_Table_2a!Q19,3)</f>
        <v>0</v>
      </c>
      <c r="BA23" s="20"/>
      <c r="BB23" s="20"/>
      <c r="BC23" s="20"/>
      <c r="BD23" s="20"/>
      <c r="BE23" s="20">
        <f>Ren_Table_2a!E19</f>
        <v>0</v>
      </c>
      <c r="BF23" s="20"/>
      <c r="BG23" s="20">
        <f>Ren_Table_2a!F19</f>
        <v>0</v>
      </c>
      <c r="BH23" s="20"/>
      <c r="BI23" s="20"/>
      <c r="BJ23" s="20"/>
      <c r="BK23" s="20"/>
      <c r="BL23" s="20"/>
      <c r="BM23" s="20"/>
      <c r="BN23" s="20"/>
      <c r="BO23" s="20"/>
      <c r="BP23" s="590"/>
    </row>
    <row r="24" spans="1:68" x14ac:dyDescent="0.2">
      <c r="A24" s="589" t="s">
        <v>969</v>
      </c>
      <c r="B24" s="20" t="s">
        <v>968</v>
      </c>
      <c r="C24" s="20">
        <f>Coal_Table_1!E26</f>
        <v>0</v>
      </c>
      <c r="D24" s="20">
        <f>Coal_Table_1!F26</f>
        <v>0</v>
      </c>
      <c r="E24" s="20">
        <f>Coal_Table_1!G26</f>
        <v>0</v>
      </c>
      <c r="F24" s="20">
        <f>Coal_Table_1!H26</f>
        <v>0</v>
      </c>
      <c r="G24" s="20">
        <f>Coal_Table_1!I26</f>
        <v>0</v>
      </c>
      <c r="H24" s="20">
        <f>Coal_Table_1!J26</f>
        <v>0</v>
      </c>
      <c r="I24" s="20">
        <f>Coal_Table_1!K26</f>
        <v>0</v>
      </c>
      <c r="J24" s="20">
        <f>Coal_Table_1!L26</f>
        <v>0</v>
      </c>
      <c r="K24" s="20">
        <f>Coal_Table_1!M26</f>
        <v>0</v>
      </c>
      <c r="L24" s="20">
        <f>Coal_Table_1!N26</f>
        <v>0</v>
      </c>
      <c r="M24" s="20">
        <f>Coal_Table_1!O26</f>
        <v>0</v>
      </c>
      <c r="N24" s="20">
        <f>Coal_Table_1!P26</f>
        <v>0</v>
      </c>
      <c r="O24" s="20">
        <f>Coal_Table_1!Q26</f>
        <v>0</v>
      </c>
      <c r="P24" s="20">
        <f>Coal_Table_1!R26</f>
        <v>0</v>
      </c>
      <c r="Q24" s="20"/>
      <c r="R24" s="20">
        <f>Coal_Table_1!S26</f>
        <v>0</v>
      </c>
      <c r="S24" s="20">
        <f>Coal_Table_1!T26</f>
        <v>0</v>
      </c>
      <c r="T24" s="20">
        <f>Coal_Table_1!U26</f>
        <v>0</v>
      </c>
      <c r="U24" s="20">
        <f>Oil_Table_3a!E17</f>
        <v>0</v>
      </c>
      <c r="V24" s="20">
        <f>Oil_Table_3a!F17</f>
        <v>0</v>
      </c>
      <c r="W24" s="20"/>
      <c r="X24" s="20"/>
      <c r="Y24" s="20"/>
      <c r="Z24" s="20">
        <f>Oil_Table_3a!G17</f>
        <v>0</v>
      </c>
      <c r="AA24" s="20">
        <f>Oil_Table_3a!H17</f>
        <v>0</v>
      </c>
      <c r="AB24" s="20">
        <f>Oil_Table_3a!I17</f>
        <v>0</v>
      </c>
      <c r="AC24" s="20">
        <f>(Oil_Table_3a!M17)</f>
        <v>0</v>
      </c>
      <c r="AD24" s="20">
        <f>Oil_Table_3a!N17</f>
        <v>0</v>
      </c>
      <c r="AE24" s="20">
        <f>Oil_Table_3a!O17</f>
        <v>0</v>
      </c>
      <c r="AF24" s="20">
        <f>Oil_Table_3a!R17</f>
        <v>0</v>
      </c>
      <c r="AG24" s="20">
        <f>Oil_Table_3a!S17</f>
        <v>0</v>
      </c>
      <c r="AH24" s="20">
        <f>Oil_Table_3a!X17</f>
        <v>0</v>
      </c>
      <c r="AI24" s="20">
        <f>Oil_Table_3a!Y17</f>
        <v>0</v>
      </c>
      <c r="AJ24" s="20">
        <f>Oil_Table_3a!J17</f>
        <v>0</v>
      </c>
      <c r="AK24" s="20">
        <f>Oil_Table_3a!AB17</f>
        <v>0</v>
      </c>
      <c r="AL24" s="20">
        <f>Oil_Table_3a!AC17</f>
        <v>0</v>
      </c>
      <c r="AM24" s="20">
        <f>Oil_Table_3a!AD17</f>
        <v>0</v>
      </c>
      <c r="AN24" s="20">
        <f>Oil_Table_3a!AE17</f>
        <v>0</v>
      </c>
      <c r="AO24" s="20">
        <f>Oil_Table_3a!AF17-Oil_Table_3a!AJ17</f>
        <v>0</v>
      </c>
      <c r="AP24" s="20">
        <f>Oil_Table_3a!AG17-Oil_Table_3a!AK17</f>
        <v>0</v>
      </c>
      <c r="AQ24" s="20">
        <f>Gas_Table_2a!E12</f>
        <v>0</v>
      </c>
      <c r="AR24" s="20">
        <f>Ren_Table_2a!G17</f>
        <v>0</v>
      </c>
      <c r="AS24" s="20">
        <f>Ren_Table_2a!H17</f>
        <v>0</v>
      </c>
      <c r="AT24" s="20">
        <f>Ren_Table_2a!I17</f>
        <v>0</v>
      </c>
      <c r="AU24" s="20">
        <f>Ren_Table_2a!J17</f>
        <v>0</v>
      </c>
      <c r="AV24" s="20">
        <f>Ren_Table_2a!L17</f>
        <v>0</v>
      </c>
      <c r="AW24" s="20">
        <f>ROUND(Oil_Table_3a!L17+Ren_Table_2a!M17,3)</f>
        <v>0</v>
      </c>
      <c r="AX24" s="20">
        <f>ROUND(Oil_Table_3a!Q17+Ren_Table_2a!O17,3)</f>
        <v>0</v>
      </c>
      <c r="AY24" s="20">
        <f>ROUND(Oil_Table_3a!W17+Ren_Table_2a!P17,3)</f>
        <v>0</v>
      </c>
      <c r="AZ24" s="20">
        <f>ROUND(Ren_Table_2a!Q17,3)</f>
        <v>0</v>
      </c>
      <c r="BA24" s="20"/>
      <c r="BB24" s="20"/>
      <c r="BC24" s="20"/>
      <c r="BD24" s="20"/>
      <c r="BE24" s="20">
        <f>Ren_Table_2a!E17</f>
        <v>0</v>
      </c>
      <c r="BF24" s="20"/>
      <c r="BG24" s="20">
        <f>Ren_Table_2a!F17</f>
        <v>0</v>
      </c>
      <c r="BH24" s="20"/>
      <c r="BI24" s="20"/>
      <c r="BJ24" s="20"/>
      <c r="BK24" s="20"/>
      <c r="BL24" s="20"/>
      <c r="BM24" s="20"/>
      <c r="BN24" s="20"/>
      <c r="BO24" s="20"/>
      <c r="BP24" s="590"/>
    </row>
    <row r="25" spans="1:68" x14ac:dyDescent="0.2">
      <c r="A25" s="589" t="s">
        <v>976</v>
      </c>
      <c r="B25" s="20" t="s">
        <v>975</v>
      </c>
      <c r="C25" s="20">
        <f>Coal_Table_1!E29</f>
        <v>0</v>
      </c>
      <c r="D25" s="20">
        <f>Coal_Table_1!F29</f>
        <v>0</v>
      </c>
      <c r="E25" s="20">
        <f>Coal_Table_1!G29</f>
        <v>0</v>
      </c>
      <c r="F25" s="20">
        <f>Coal_Table_1!H29</f>
        <v>0</v>
      </c>
      <c r="G25" s="20">
        <f>Coal_Table_1!I29</f>
        <v>0</v>
      </c>
      <c r="H25" s="20">
        <f>Coal_Table_1!J29</f>
        <v>0</v>
      </c>
      <c r="I25" s="20">
        <f>Coal_Table_1!K29</f>
        <v>0</v>
      </c>
      <c r="J25" s="20">
        <f>Coal_Table_1!L29</f>
        <v>0</v>
      </c>
      <c r="K25" s="20">
        <f>Coal_Table_1!M29</f>
        <v>0</v>
      </c>
      <c r="L25" s="20">
        <f>Coal_Table_1!N29</f>
        <v>0</v>
      </c>
      <c r="M25" s="20">
        <f>Coal_Table_1!O29</f>
        <v>0</v>
      </c>
      <c r="N25" s="20">
        <f>Coal_Table_1!P29</f>
        <v>0</v>
      </c>
      <c r="O25" s="20">
        <f>Coal_Table_1!Q29</f>
        <v>0</v>
      </c>
      <c r="P25" s="20">
        <f>Coal_Table_1!R29</f>
        <v>0</v>
      </c>
      <c r="Q25" s="20"/>
      <c r="R25" s="20">
        <f>Coal_Table_1!S29</f>
        <v>0</v>
      </c>
      <c r="S25" s="20">
        <f>Coal_Table_1!T29</f>
        <v>0</v>
      </c>
      <c r="T25" s="20">
        <f>Coal_Table_1!U29</f>
        <v>0</v>
      </c>
      <c r="U25" s="20">
        <f>Oil_Table_3a!E18</f>
        <v>0</v>
      </c>
      <c r="V25" s="20">
        <f>Oil_Table_3a!F18</f>
        <v>0</v>
      </c>
      <c r="W25" s="20"/>
      <c r="X25" s="20"/>
      <c r="Y25" s="20"/>
      <c r="Z25" s="20">
        <f>Oil_Table_3a!G18+Oil_Table_2a!G30</f>
        <v>0</v>
      </c>
      <c r="AA25" s="20">
        <f>Oil_Table_3a!H18+Oil_Table_2a!H30</f>
        <v>0</v>
      </c>
      <c r="AB25" s="20">
        <f>Oil_Table_3a!I18+Oil_Table_2a!I30</f>
        <v>0</v>
      </c>
      <c r="AC25" s="20">
        <f>Oil_Table_3a!M18+Oil_Table_2a!M30</f>
        <v>0</v>
      </c>
      <c r="AD25" s="20">
        <f>Oil_Table_3a!N18+Oil_Table_2a!N30</f>
        <v>0</v>
      </c>
      <c r="AE25" s="20">
        <f>Oil_Table_3a!O18+Oil_Table_2a!O30</f>
        <v>0</v>
      </c>
      <c r="AF25" s="20">
        <f>Oil_Table_3a!R18+Oil_Table_2a!R30</f>
        <v>0</v>
      </c>
      <c r="AG25" s="20">
        <f>Oil_Table_3a!S18+Oil_Table_2a!S30</f>
        <v>0</v>
      </c>
      <c r="AH25" s="20">
        <f>Oil_Table_3a!X18+Oil_Table_2a!X30</f>
        <v>0</v>
      </c>
      <c r="AI25" s="20">
        <f>Oil_Table_3a!Y18+Oil_Table_2a!Y30</f>
        <v>0</v>
      </c>
      <c r="AJ25" s="20">
        <f>Oil_Table_3a!J18+Oil_Table_2a!J30</f>
        <v>0</v>
      </c>
      <c r="AK25" s="20">
        <f>Oil_Table_3a!AB18+Oil_Table_2a!AB30</f>
        <v>0</v>
      </c>
      <c r="AL25" s="20">
        <f>Oil_Table_3a!AC18+Oil_Table_2a!AC30</f>
        <v>0</v>
      </c>
      <c r="AM25" s="20">
        <f>Oil_Table_3a!AD18+Oil_Table_2a!AD30</f>
        <v>0</v>
      </c>
      <c r="AN25" s="20">
        <f>Oil_Table_3a!AE18+Oil_Table_2a!AE30</f>
        <v>0</v>
      </c>
      <c r="AO25" s="20">
        <f>Oil_Table_3a!AF18+Oil_Table_2a!AF30</f>
        <v>0</v>
      </c>
      <c r="AP25" s="20">
        <f>Oil_Table_3a!AG18+Oil_Table_2a!AG30</f>
        <v>0</v>
      </c>
      <c r="AQ25" s="20">
        <f>Gas_Table_2a!E13</f>
        <v>0</v>
      </c>
      <c r="AR25" s="20">
        <f>Ren_Table_2a!G20</f>
        <v>0</v>
      </c>
      <c r="AS25" s="20">
        <f>Ren_Table_2a!H20</f>
        <v>0</v>
      </c>
      <c r="AT25" s="20">
        <f>Ren_Table_2a!I20</f>
        <v>0</v>
      </c>
      <c r="AU25" s="20">
        <f>Ren_Table_2a!J20</f>
        <v>0</v>
      </c>
      <c r="AV25" s="20">
        <f>Ren_Table_2a!L20</f>
        <v>0</v>
      </c>
      <c r="AW25" s="626">
        <f>ROUND(Oil_Table_3a!L18+Oil_Table_2a!L30+Ren_Table_2a!M20,3)</f>
        <v>0</v>
      </c>
      <c r="AX25" s="626">
        <f>ROUND(Oil_Table_3a!Q18+Oil_Table_2a!Q30+Ren_Table_2a!O20,3)</f>
        <v>0</v>
      </c>
      <c r="AY25" s="626">
        <f>ROUND(Oil_Table_3a!W18+Oil_Table_2a!W30+Ren_Table_2a!P20,3)</f>
        <v>0</v>
      </c>
      <c r="AZ25" s="20">
        <f>ROUND(Ren_Table_2a!Q20,3)</f>
        <v>0</v>
      </c>
      <c r="BA25" s="20"/>
      <c r="BB25" s="20"/>
      <c r="BC25" s="20"/>
      <c r="BD25" s="20"/>
      <c r="BE25" s="20">
        <f>Ren_Table_2a!E20</f>
        <v>0</v>
      </c>
      <c r="BF25" s="20"/>
      <c r="BG25" s="20">
        <f>Ren_Table_2a!F20</f>
        <v>0</v>
      </c>
      <c r="BH25" s="20"/>
      <c r="BI25" s="20"/>
      <c r="BJ25" s="20"/>
      <c r="BK25" s="20"/>
      <c r="BL25" s="20"/>
      <c r="BM25" s="20"/>
      <c r="BN25" s="20"/>
      <c r="BO25" s="20"/>
      <c r="BP25" s="590"/>
    </row>
    <row r="26" spans="1:68" x14ac:dyDescent="0.2">
      <c r="A26" s="589" t="s">
        <v>796</v>
      </c>
      <c r="B26" s="20" t="s">
        <v>982</v>
      </c>
      <c r="C26" s="20"/>
      <c r="D26" s="20"/>
      <c r="E26" s="20"/>
      <c r="F26" s="20"/>
      <c r="G26" s="20"/>
      <c r="H26" s="20"/>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f>Ele_Table_3!F11</f>
        <v>0</v>
      </c>
      <c r="BO26" s="20"/>
      <c r="BP26" s="590"/>
    </row>
    <row r="27" spans="1:68" x14ac:dyDescent="0.2">
      <c r="A27" s="589" t="s">
        <v>803</v>
      </c>
      <c r="B27" s="20" t="s">
        <v>986</v>
      </c>
      <c r="C27" s="20"/>
      <c r="D27" s="20"/>
      <c r="E27" s="20"/>
      <c r="F27" s="20"/>
      <c r="G27" s="20"/>
      <c r="H27" s="20"/>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f>Ele_Table_3!F12</f>
        <v>0</v>
      </c>
      <c r="BO27" s="20"/>
      <c r="BP27" s="590"/>
    </row>
    <row r="28" spans="1:68" x14ac:dyDescent="0.2">
      <c r="A28" s="589" t="s">
        <v>992</v>
      </c>
      <c r="B28" s="20" t="s">
        <v>991</v>
      </c>
      <c r="C28" s="20"/>
      <c r="D28" s="20"/>
      <c r="E28" s="20"/>
      <c r="F28" s="20"/>
      <c r="G28" s="20"/>
      <c r="H28" s="20"/>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f>Ele_Table_3!G15</f>
        <v>0</v>
      </c>
      <c r="BP28" s="590"/>
    </row>
    <row r="29" spans="1:68" x14ac:dyDescent="0.2">
      <c r="A29" s="589" t="s">
        <v>997</v>
      </c>
      <c r="B29" s="20" t="s">
        <v>996</v>
      </c>
      <c r="C29" s="20">
        <f>Coal_Table_1!E30</f>
        <v>0</v>
      </c>
      <c r="D29" s="20">
        <f>Coal_Table_1!F30</f>
        <v>0</v>
      </c>
      <c r="E29" s="20">
        <f>Coal_Table_1!G30</f>
        <v>0</v>
      </c>
      <c r="F29" s="20">
        <f>Coal_Table_1!H30</f>
        <v>0</v>
      </c>
      <c r="G29" s="20">
        <f>Coal_Table_1!I30</f>
        <v>0</v>
      </c>
      <c r="H29" s="20">
        <f>Coal_Table_1!J30</f>
        <v>0</v>
      </c>
      <c r="I29" s="20">
        <f>Coal_Table_1!K30</f>
        <v>0</v>
      </c>
      <c r="J29" s="20">
        <f>Coal_Table_1!L30</f>
        <v>0</v>
      </c>
      <c r="K29" s="20">
        <f>Coal_Table_1!M30</f>
        <v>0</v>
      </c>
      <c r="L29" s="20">
        <f>Coal_Table_1!N30</f>
        <v>0</v>
      </c>
      <c r="M29" s="20">
        <f>Coal_Table_1!O30</f>
        <v>0</v>
      </c>
      <c r="N29" s="20">
        <f>Coal_Table_1!P30</f>
        <v>0</v>
      </c>
      <c r="O29" s="20">
        <f>Coal_Table_1!Q30</f>
        <v>0</v>
      </c>
      <c r="P29" s="20">
        <f>Coal_Table_1!R30</f>
        <v>0</v>
      </c>
      <c r="Q29" s="20"/>
      <c r="R29" s="20">
        <f>Coal_Table_1!S30</f>
        <v>0</v>
      </c>
      <c r="S29" s="20">
        <f>Coal_Table_1!T30</f>
        <v>0</v>
      </c>
      <c r="T29" s="20">
        <f>Coal_Table_1!U30</f>
        <v>0</v>
      </c>
      <c r="U29" s="20">
        <f>Oil_Table_3a!E24</f>
        <v>0</v>
      </c>
      <c r="V29" s="20">
        <f>Oil_Table_3a!F24</f>
        <v>0</v>
      </c>
      <c r="W29" s="20"/>
      <c r="X29" s="20"/>
      <c r="Y29" s="20"/>
      <c r="Z29" s="20">
        <f>Oil_Table_3a!G24</f>
        <v>0</v>
      </c>
      <c r="AA29" s="20">
        <f>Oil_Table_3a!H24</f>
        <v>0</v>
      </c>
      <c r="AB29" s="20">
        <f>Oil_Table_3a!I24</f>
        <v>0</v>
      </c>
      <c r="AC29" s="20">
        <f>(Oil_Table_3a!M24)</f>
        <v>0</v>
      </c>
      <c r="AD29" s="20">
        <f>Oil_Table_3a!N24</f>
        <v>0</v>
      </c>
      <c r="AE29" s="20">
        <f>Oil_Table_3a!O24</f>
        <v>0</v>
      </c>
      <c r="AF29" s="20">
        <f>Oil_Table_3a!R24</f>
        <v>0</v>
      </c>
      <c r="AG29" s="20">
        <f>Oil_Table_3a!S24</f>
        <v>0</v>
      </c>
      <c r="AH29" s="20">
        <f>Oil_Table_3a!X24</f>
        <v>0</v>
      </c>
      <c r="AI29" s="20">
        <f>Oil_Table_3a!Y24</f>
        <v>0</v>
      </c>
      <c r="AJ29" s="20">
        <f>Oil_Table_3a!J24</f>
        <v>0</v>
      </c>
      <c r="AK29" s="20">
        <f>Oil_Table_3a!AB24</f>
        <v>0</v>
      </c>
      <c r="AL29" s="20">
        <f>Oil_Table_3a!AC24</f>
        <v>0</v>
      </c>
      <c r="AM29" s="20">
        <f>Oil_Table_3a!AD24</f>
        <v>0</v>
      </c>
      <c r="AN29" s="20">
        <f>Oil_Table_3a!AE24</f>
        <v>0</v>
      </c>
      <c r="AO29" s="20">
        <f>Oil_Table_3a!AF24-Oil_Table_3a!AJ24</f>
        <v>0</v>
      </c>
      <c r="AP29" s="20">
        <f>Oil_Table_3a!AG24-Oil_Table_3a!AK24</f>
        <v>0</v>
      </c>
      <c r="AQ29" s="20"/>
      <c r="AR29" s="20">
        <f>Ren_Table_2a!G21</f>
        <v>0</v>
      </c>
      <c r="AS29" s="20"/>
      <c r="AT29" s="20"/>
      <c r="AU29" s="20"/>
      <c r="AV29" s="20"/>
      <c r="AW29" s="20">
        <f>ROUND(Oil_Table_3a!L24+Ren_Table_2a!M21,3)</f>
        <v>0</v>
      </c>
      <c r="AX29" s="20">
        <f>ROUND(Oil_Table_3a!Q24+Ren_Table_2a!O21,3)</f>
        <v>0</v>
      </c>
      <c r="AY29" s="20">
        <f>ROUND(Oil_Table_3a!W24+Ren_Table_2a!P21,3)</f>
        <v>0</v>
      </c>
      <c r="AZ29" s="20">
        <f>ROUND(Ren_Table_2a!Q21,3)</f>
        <v>0</v>
      </c>
      <c r="BA29" s="20"/>
      <c r="BB29" s="20"/>
      <c r="BC29" s="20"/>
      <c r="BD29" s="20"/>
      <c r="BE29" s="20"/>
      <c r="BF29" s="20"/>
      <c r="BG29" s="20"/>
      <c r="BH29" s="20"/>
      <c r="BI29" s="20"/>
      <c r="BJ29" s="20"/>
      <c r="BK29" s="20"/>
      <c r="BL29" s="20"/>
      <c r="BM29" s="20"/>
      <c r="BN29" s="20"/>
      <c r="BO29" s="20"/>
      <c r="BP29" s="590"/>
    </row>
    <row r="30" spans="1:68" x14ac:dyDescent="0.2">
      <c r="A30" s="589" t="s">
        <v>1004</v>
      </c>
      <c r="B30" s="20" t="s">
        <v>1003</v>
      </c>
      <c r="C30" s="20">
        <f>Coal_Table_1!E31</f>
        <v>0</v>
      </c>
      <c r="D30" s="20">
        <f>Coal_Table_1!F31</f>
        <v>0</v>
      </c>
      <c r="E30" s="20">
        <f>Coal_Table_1!G31</f>
        <v>0</v>
      </c>
      <c r="F30" s="20">
        <f>Coal_Table_1!H31</f>
        <v>0</v>
      </c>
      <c r="G30" s="20">
        <f>Coal_Table_1!I31</f>
        <v>0</v>
      </c>
      <c r="H30" s="20">
        <f>Coal_Table_1!J31</f>
        <v>0</v>
      </c>
      <c r="I30" s="20">
        <f>Coal_Table_1!K31</f>
        <v>0</v>
      </c>
      <c r="J30" s="20">
        <f>Coal_Table_1!L31</f>
        <v>0</v>
      </c>
      <c r="K30" s="20">
        <f>Coal_Table_1!M31</f>
        <v>0</v>
      </c>
      <c r="L30" s="20">
        <f>Coal_Table_1!N31</f>
        <v>0</v>
      </c>
      <c r="M30" s="20">
        <f>Coal_Table_1!O31</f>
        <v>0</v>
      </c>
      <c r="N30" s="20">
        <f>Coal_Table_1!P31</f>
        <v>0</v>
      </c>
      <c r="O30" s="20">
        <f>Coal_Table_1!Q31</f>
        <v>0</v>
      </c>
      <c r="P30" s="20">
        <f>Coal_Table_1!R31</f>
        <v>0</v>
      </c>
      <c r="Q30" s="20"/>
      <c r="R30" s="20">
        <f>Coal_Table_1!S31</f>
        <v>0</v>
      </c>
      <c r="S30" s="20">
        <f>Coal_Table_1!T31</f>
        <v>0</v>
      </c>
      <c r="T30" s="20">
        <f>Coal_Table_1!U31</f>
        <v>0</v>
      </c>
      <c r="U30" s="20">
        <f>Oil_Table_3a!E21</f>
        <v>0</v>
      </c>
      <c r="V30" s="20">
        <f>Oil_Table_3a!F21</f>
        <v>0</v>
      </c>
      <c r="W30" s="20"/>
      <c r="X30" s="20"/>
      <c r="Y30" s="20"/>
      <c r="Z30" s="20">
        <f>Oil_Table_3a!G21</f>
        <v>0</v>
      </c>
      <c r="AA30" s="20">
        <f>Oil_Table_3a!H21</f>
        <v>0</v>
      </c>
      <c r="AB30" s="20">
        <f>Oil_Table_3a!I21</f>
        <v>0</v>
      </c>
      <c r="AC30" s="20">
        <f>(Oil_Table_3a!M21)</f>
        <v>0</v>
      </c>
      <c r="AD30" s="20">
        <f>Oil_Table_3a!N21</f>
        <v>0</v>
      </c>
      <c r="AE30" s="20">
        <f>Oil_Table_3a!O21</f>
        <v>0</v>
      </c>
      <c r="AF30" s="20">
        <f>Oil_Table_3a!R21</f>
        <v>0</v>
      </c>
      <c r="AG30" s="20">
        <f>Oil_Table_3a!S21</f>
        <v>0</v>
      </c>
      <c r="AH30" s="20">
        <f>Oil_Table_3a!X21</f>
        <v>0</v>
      </c>
      <c r="AI30" s="20">
        <f>Oil_Table_3a!Y21</f>
        <v>0</v>
      </c>
      <c r="AJ30" s="20">
        <f>Oil_Table_3a!J21</f>
        <v>0</v>
      </c>
      <c r="AK30" s="20">
        <f>Oil_Table_3a!AB21</f>
        <v>0</v>
      </c>
      <c r="AL30" s="20">
        <f>Oil_Table_3a!AC21</f>
        <v>0</v>
      </c>
      <c r="AM30" s="20">
        <f>Oil_Table_3a!AD21</f>
        <v>0</v>
      </c>
      <c r="AN30" s="20">
        <f>Oil_Table_3a!AE21</f>
        <v>0</v>
      </c>
      <c r="AO30" s="20">
        <f>Oil_Table_3a!AF21-Oil_Table_3a!AJ21</f>
        <v>0</v>
      </c>
      <c r="AP30" s="20">
        <f>Oil_Table_3a!AG21-Oil_Table_3a!AK21</f>
        <v>0</v>
      </c>
      <c r="AQ30" s="20">
        <f>Gas_Table_2a!E15</f>
        <v>0</v>
      </c>
      <c r="AR30" s="20"/>
      <c r="AS30" s="20"/>
      <c r="AT30" s="20"/>
      <c r="AU30" s="20"/>
      <c r="AV30" s="20"/>
      <c r="AW30" s="20">
        <f>ROUND(Oil_Table_3a!L21,3)</f>
        <v>0</v>
      </c>
      <c r="AX30" s="20">
        <f>ROUND(Oil_Table_3a!Q21,)</f>
        <v>0</v>
      </c>
      <c r="AY30" s="20">
        <f>ROUND(Oil_Table_3a!W21,3)</f>
        <v>0</v>
      </c>
      <c r="AZ30" s="20"/>
      <c r="BA30" s="20"/>
      <c r="BB30" s="20"/>
      <c r="BC30" s="20"/>
      <c r="BD30" s="20"/>
      <c r="BE30" s="20"/>
      <c r="BF30" s="20"/>
      <c r="BG30" s="20"/>
      <c r="BH30" s="20"/>
      <c r="BI30" s="20"/>
      <c r="BJ30" s="20"/>
      <c r="BK30" s="20"/>
      <c r="BL30" s="20"/>
      <c r="BM30" s="20"/>
      <c r="BN30" s="20"/>
      <c r="BO30" s="20"/>
      <c r="BP30" s="590"/>
    </row>
    <row r="31" spans="1:68" x14ac:dyDescent="0.2">
      <c r="A31" s="589" t="s">
        <v>1011</v>
      </c>
      <c r="B31" s="20" t="s">
        <v>1010</v>
      </c>
      <c r="C31" s="20">
        <f>Coal_Table_1!E33</f>
        <v>0</v>
      </c>
      <c r="D31" s="20">
        <f>Coal_Table_1!F33</f>
        <v>0</v>
      </c>
      <c r="E31" s="20">
        <f>Coal_Table_1!G33</f>
        <v>0</v>
      </c>
      <c r="F31" s="20">
        <f>Coal_Table_1!H33</f>
        <v>0</v>
      </c>
      <c r="G31" s="20">
        <f>Coal_Table_1!I33</f>
        <v>0</v>
      </c>
      <c r="H31" s="20">
        <f>Coal_Table_1!J33</f>
        <v>0</v>
      </c>
      <c r="I31" s="20">
        <f>Coal_Table_1!K33</f>
        <v>0</v>
      </c>
      <c r="J31" s="20">
        <f>Coal_Table_1!L33</f>
        <v>0</v>
      </c>
      <c r="K31" s="20">
        <f>Coal_Table_1!M33</f>
        <v>0</v>
      </c>
      <c r="L31" s="20">
        <f>Coal_Table_1!N33</f>
        <v>0</v>
      </c>
      <c r="M31" s="20">
        <f>Coal_Table_1!O33</f>
        <v>0</v>
      </c>
      <c r="N31" s="20">
        <f>Coal_Table_1!P33</f>
        <v>0</v>
      </c>
      <c r="O31" s="20">
        <f>Coal_Table_1!Q33</f>
        <v>0</v>
      </c>
      <c r="P31" s="20">
        <f>Coal_Table_1!R33</f>
        <v>0</v>
      </c>
      <c r="Q31" s="20"/>
      <c r="R31" s="20">
        <f>Coal_Table_1!S33</f>
        <v>0</v>
      </c>
      <c r="S31" s="20">
        <f>Coal_Table_1!T33</f>
        <v>0</v>
      </c>
      <c r="T31" s="20">
        <f>Coal_Table_1!U33</f>
        <v>0</v>
      </c>
      <c r="U31" s="20">
        <f>Oil_Table_3a!E19</f>
        <v>0</v>
      </c>
      <c r="V31" s="20">
        <f>Oil_Table_3a!F19</f>
        <v>0</v>
      </c>
      <c r="W31" s="20"/>
      <c r="X31" s="20"/>
      <c r="Y31" s="20"/>
      <c r="Z31" s="20">
        <f>Oil_Table_3a!G19</f>
        <v>0</v>
      </c>
      <c r="AA31" s="20">
        <f>Oil_Table_3a!H19</f>
        <v>0</v>
      </c>
      <c r="AB31" s="20">
        <f>Oil_Table_3a!I19</f>
        <v>0</v>
      </c>
      <c r="AC31" s="20">
        <f>(Oil_Table_3a!M19)</f>
        <v>0</v>
      </c>
      <c r="AD31" s="20">
        <f>Oil_Table_3a!N19</f>
        <v>0</v>
      </c>
      <c r="AE31" s="20">
        <f>Oil_Table_3a!O19</f>
        <v>0</v>
      </c>
      <c r="AF31" s="20">
        <f>Oil_Table_3a!R19</f>
        <v>0</v>
      </c>
      <c r="AG31" s="20">
        <f>Oil_Table_3a!S19</f>
        <v>0</v>
      </c>
      <c r="AH31" s="20">
        <f>Oil_Table_3a!X19</f>
        <v>0</v>
      </c>
      <c r="AI31" s="20">
        <f>Oil_Table_3a!Y19</f>
        <v>0</v>
      </c>
      <c r="AJ31" s="20">
        <f>Oil_Table_3a!J19</f>
        <v>0</v>
      </c>
      <c r="AK31" s="20">
        <f>Oil_Table_3a!AB19</f>
        <v>0</v>
      </c>
      <c r="AL31" s="20">
        <f>Oil_Table_3a!AC19</f>
        <v>0</v>
      </c>
      <c r="AM31" s="20">
        <f>Oil_Table_3a!AD19</f>
        <v>0</v>
      </c>
      <c r="AN31" s="20">
        <f>Oil_Table_3a!AE19</f>
        <v>0</v>
      </c>
      <c r="AO31" s="20">
        <f>Oil_Table_3a!AF19-Oil_Table_3a!AJ19</f>
        <v>0</v>
      </c>
      <c r="AP31" s="20">
        <f>Oil_Table_3a!AG19-Oil_Table_3a!AK19</f>
        <v>0</v>
      </c>
      <c r="AQ31" s="20">
        <f>Gas_Table_2a!E14</f>
        <v>0</v>
      </c>
      <c r="AR31" s="20"/>
      <c r="AS31" s="20"/>
      <c r="AT31" s="20"/>
      <c r="AU31" s="20"/>
      <c r="AV31" s="20">
        <f>Ren_Table_2a!L23</f>
        <v>0</v>
      </c>
      <c r="AW31" s="20">
        <f>ROUND(Oil_Table_3a!L19+Ren_Table_2a!M23,3)</f>
        <v>0</v>
      </c>
      <c r="AX31" s="20">
        <f>ROUND(Oil_Table_3a!Q19+Ren_Table_2a!O23,3)</f>
        <v>0</v>
      </c>
      <c r="AY31" s="20">
        <f>ROUND(Oil_Table_3a!W19+Ren_Table_2a!P23,3)</f>
        <v>0</v>
      </c>
      <c r="AZ31" s="20">
        <f>ROUND(Ren_Table_2a!Q23,3)</f>
        <v>0</v>
      </c>
      <c r="BA31" s="20"/>
      <c r="BB31" s="20"/>
      <c r="BC31" s="20"/>
      <c r="BD31" s="20"/>
      <c r="BE31" s="20"/>
      <c r="BF31" s="20"/>
      <c r="BG31" s="20"/>
      <c r="BH31" s="20"/>
      <c r="BI31" s="20"/>
      <c r="BJ31" s="20"/>
      <c r="BK31" s="20"/>
      <c r="BL31" s="20"/>
      <c r="BM31" s="20"/>
      <c r="BN31" s="20"/>
      <c r="BO31" s="20"/>
      <c r="BP31" s="590"/>
    </row>
    <row r="32" spans="1:68" x14ac:dyDescent="0.2">
      <c r="A32" s="589" t="s">
        <v>1018</v>
      </c>
      <c r="B32" s="20" t="s">
        <v>1017</v>
      </c>
      <c r="C32" s="20">
        <f>Coal_Table_1!E34</f>
        <v>0</v>
      </c>
      <c r="D32" s="20">
        <f>Coal_Table_1!F34</f>
        <v>0</v>
      </c>
      <c r="E32" s="20">
        <f>Coal_Table_1!G34</f>
        <v>0</v>
      </c>
      <c r="F32" s="20">
        <f>Coal_Table_1!H34</f>
        <v>0</v>
      </c>
      <c r="G32" s="20">
        <f>Coal_Table_1!I34</f>
        <v>0</v>
      </c>
      <c r="H32" s="20">
        <f>Coal_Table_1!J34</f>
        <v>0</v>
      </c>
      <c r="I32" s="20">
        <f>Coal_Table_1!K34</f>
        <v>0</v>
      </c>
      <c r="J32" s="20">
        <f>Coal_Table_1!L34</f>
        <v>0</v>
      </c>
      <c r="K32" s="20">
        <f>Coal_Table_1!M34</f>
        <v>0</v>
      </c>
      <c r="L32" s="20">
        <f>Coal_Table_1!N34</f>
        <v>0</v>
      </c>
      <c r="M32" s="20">
        <f>Coal_Table_1!O34</f>
        <v>0</v>
      </c>
      <c r="N32" s="20">
        <f>Coal_Table_1!P34</f>
        <v>0</v>
      </c>
      <c r="O32" s="20">
        <f>Coal_Table_1!Q34</f>
        <v>0</v>
      </c>
      <c r="P32" s="20">
        <f>Coal_Table_1!R34</f>
        <v>0</v>
      </c>
      <c r="Q32" s="20"/>
      <c r="R32" s="20">
        <f>Coal_Table_1!S34</f>
        <v>0</v>
      </c>
      <c r="S32" s="20">
        <f>Coal_Table_1!T34</f>
        <v>0</v>
      </c>
      <c r="T32" s="20">
        <f>Coal_Table_1!U34</f>
        <v>0</v>
      </c>
      <c r="U32" s="20">
        <f>Oil_Table_3a!E22</f>
        <v>0</v>
      </c>
      <c r="V32" s="20">
        <f>Oil_Table_3a!F22</f>
        <v>0</v>
      </c>
      <c r="W32" s="20"/>
      <c r="X32" s="20"/>
      <c r="Y32" s="20"/>
      <c r="Z32" s="20">
        <f>Oil_Table_3a!G22</f>
        <v>0</v>
      </c>
      <c r="AA32" s="20">
        <f>Oil_Table_3a!H22</f>
        <v>0</v>
      </c>
      <c r="AB32" s="20">
        <f>Oil_Table_3a!I22</f>
        <v>0</v>
      </c>
      <c r="AC32" s="20">
        <f>(Oil_Table_3a!M22)</f>
        <v>0</v>
      </c>
      <c r="AD32" s="20">
        <f>Oil_Table_3a!N22</f>
        <v>0</v>
      </c>
      <c r="AE32" s="20">
        <f>Oil_Table_3a!O22</f>
        <v>0</v>
      </c>
      <c r="AF32" s="20">
        <f>Oil_Table_3a!R22</f>
        <v>0</v>
      </c>
      <c r="AG32" s="20">
        <f>Oil_Table_3a!S22</f>
        <v>0</v>
      </c>
      <c r="AH32" s="20">
        <f>Oil_Table_3a!X22</f>
        <v>0</v>
      </c>
      <c r="AI32" s="20">
        <f>Oil_Table_3a!Y22</f>
        <v>0</v>
      </c>
      <c r="AJ32" s="20">
        <f>Oil_Table_3a!J22</f>
        <v>0</v>
      </c>
      <c r="AK32" s="20">
        <f>Oil_Table_3a!AB22</f>
        <v>0</v>
      </c>
      <c r="AL32" s="20">
        <f>Oil_Table_3a!AC22</f>
        <v>0</v>
      </c>
      <c r="AM32" s="20">
        <f>Oil_Table_3a!AD22</f>
        <v>0</v>
      </c>
      <c r="AN32" s="20">
        <f>Oil_Table_3a!AE22</f>
        <v>0</v>
      </c>
      <c r="AO32" s="20">
        <f>Oil_Table_3a!AF22-Oil_Table_3a!AJ22</f>
        <v>0</v>
      </c>
      <c r="AP32" s="20">
        <f>Oil_Table_3a!AG22-Oil_Table_3a!AK22</f>
        <v>0</v>
      </c>
      <c r="AQ32" s="20">
        <f>Gas_Table_2a!E16</f>
        <v>0</v>
      </c>
      <c r="AR32" s="20"/>
      <c r="AS32" s="20"/>
      <c r="AT32" s="20"/>
      <c r="AU32" s="20"/>
      <c r="AV32" s="20">
        <f>Ren_Table_2a!L24</f>
        <v>0</v>
      </c>
      <c r="AW32" s="20">
        <f>ROUND(Oil_Table_3a!L22+Ren_Table_2a!M24,3)</f>
        <v>0</v>
      </c>
      <c r="AX32" s="20">
        <f>ROUND(Oil_Table_3a!Q22+Ren_Table_2a!O24,3)</f>
        <v>0</v>
      </c>
      <c r="AY32" s="20">
        <f>ROUND(Oil_Table_3a!W22+Ren_Table_2a!P24,3)</f>
        <v>0</v>
      </c>
      <c r="AZ32" s="20">
        <f>ROUND(Ren_Table_2a!Q24,3)</f>
        <v>0</v>
      </c>
      <c r="BA32" s="20"/>
      <c r="BB32" s="20">
        <f>Ren_Table_2a!K24</f>
        <v>0</v>
      </c>
      <c r="BC32" s="20"/>
      <c r="BD32" s="20"/>
      <c r="BE32" s="20"/>
      <c r="BF32" s="20"/>
      <c r="BG32" s="20"/>
      <c r="BH32" s="20"/>
      <c r="BI32" s="20"/>
      <c r="BJ32" s="20"/>
      <c r="BK32" s="20"/>
      <c r="BL32" s="20"/>
      <c r="BM32" s="20"/>
      <c r="BN32" s="20"/>
      <c r="BO32" s="20"/>
      <c r="BP32" s="590"/>
    </row>
    <row r="33" spans="1:68" x14ac:dyDescent="0.2">
      <c r="A33" s="589" t="s">
        <v>1025</v>
      </c>
      <c r="B33" s="20" t="s">
        <v>1024</v>
      </c>
      <c r="C33" s="20"/>
      <c r="D33" s="20"/>
      <c r="E33" s="20"/>
      <c r="F33" s="20"/>
      <c r="G33" s="20"/>
      <c r="H33" s="20"/>
      <c r="I33" s="20"/>
      <c r="J33" s="20"/>
      <c r="K33" s="20"/>
      <c r="L33" s="20"/>
      <c r="M33" s="20"/>
      <c r="N33" s="20"/>
      <c r="O33" s="20"/>
      <c r="P33" s="20"/>
      <c r="Q33" s="20"/>
      <c r="R33" s="20"/>
      <c r="S33" s="20"/>
      <c r="T33" s="20"/>
      <c r="U33" s="20">
        <f>Oil_Table_3a!E23</f>
        <v>0</v>
      </c>
      <c r="V33" s="20">
        <f>Oil_Table_3a!F23</f>
        <v>0</v>
      </c>
      <c r="W33" s="20"/>
      <c r="X33" s="20"/>
      <c r="Y33" s="20"/>
      <c r="Z33" s="20">
        <f>Oil_Table_3a!G23</f>
        <v>0</v>
      </c>
      <c r="AA33" s="20">
        <f>Oil_Table_3a!H23</f>
        <v>0</v>
      </c>
      <c r="AB33" s="20">
        <f>Oil_Table_3a!I23</f>
        <v>0</v>
      </c>
      <c r="AC33" s="20">
        <f>(Oil_Table_3a!M23)</f>
        <v>0</v>
      </c>
      <c r="AD33" s="20">
        <f>Oil_Table_3a!N23</f>
        <v>0</v>
      </c>
      <c r="AE33" s="20">
        <f>Oil_Table_3a!O23</f>
        <v>0</v>
      </c>
      <c r="AF33" s="20">
        <f>Oil_Table_3a!R23</f>
        <v>0</v>
      </c>
      <c r="AG33" s="20">
        <f>Oil_Table_3a!S23</f>
        <v>0</v>
      </c>
      <c r="AH33" s="20">
        <f>Oil_Table_3a!X23</f>
        <v>0</v>
      </c>
      <c r="AI33" s="20">
        <f>Oil_Table_3a!Y23</f>
        <v>0</v>
      </c>
      <c r="AJ33" s="20">
        <f>Oil_Table_3a!J23</f>
        <v>0</v>
      </c>
      <c r="AK33" s="20">
        <f>Oil_Table_3a!AB23</f>
        <v>0</v>
      </c>
      <c r="AL33" s="20">
        <f>Oil_Table_3a!AC23</f>
        <v>0</v>
      </c>
      <c r="AM33" s="20">
        <f>Oil_Table_3a!AD23</f>
        <v>0</v>
      </c>
      <c r="AN33" s="20">
        <f>Oil_Table_3a!AE23</f>
        <v>0</v>
      </c>
      <c r="AO33" s="20">
        <f>Oil_Table_3a!AF23</f>
        <v>0</v>
      </c>
      <c r="AP33" s="20">
        <f>Oil_Table_3a!AG23</f>
        <v>0</v>
      </c>
      <c r="AQ33" s="20"/>
      <c r="AR33" s="20"/>
      <c r="AS33" s="20"/>
      <c r="AT33" s="20"/>
      <c r="AU33" s="20"/>
      <c r="AV33" s="20"/>
      <c r="AW33" s="20">
        <f>ROUND(Oil_Table_3a!L23,3)</f>
        <v>0</v>
      </c>
      <c r="AX33" s="20">
        <f>ROUND(Oil_Table_3a!Q23,3)</f>
        <v>0</v>
      </c>
      <c r="AY33" s="20">
        <f>ROUND(Oil_Table_3a!W23,3)</f>
        <v>0</v>
      </c>
      <c r="AZ33" s="20"/>
      <c r="BA33" s="20"/>
      <c r="BB33" s="20"/>
      <c r="BC33" s="20"/>
      <c r="BD33" s="20"/>
      <c r="BE33" s="20"/>
      <c r="BF33" s="20"/>
      <c r="BG33" s="20"/>
      <c r="BH33" s="20"/>
      <c r="BI33" s="20"/>
      <c r="BJ33" s="20"/>
      <c r="BK33" s="20"/>
      <c r="BL33" s="20"/>
      <c r="BM33" s="20"/>
      <c r="BN33" s="20"/>
      <c r="BO33" s="20"/>
      <c r="BP33" s="590"/>
    </row>
    <row r="34" spans="1:68" x14ac:dyDescent="0.2">
      <c r="A34" s="589" t="s">
        <v>1031</v>
      </c>
      <c r="B34" s="20" t="s">
        <v>1030</v>
      </c>
      <c r="C34" s="20">
        <f>Coal_Table_1!E32</f>
        <v>0</v>
      </c>
      <c r="D34" s="20">
        <f>Coal_Table_1!F32</f>
        <v>0</v>
      </c>
      <c r="E34" s="20">
        <f>Coal_Table_1!G32</f>
        <v>0</v>
      </c>
      <c r="F34" s="20">
        <f>Coal_Table_1!H32</f>
        <v>0</v>
      </c>
      <c r="G34" s="20">
        <f>Coal_Table_1!I32</f>
        <v>0</v>
      </c>
      <c r="H34" s="20">
        <f>Coal_Table_1!J32</f>
        <v>0</v>
      </c>
      <c r="I34" s="20">
        <f>Coal_Table_1!K32</f>
        <v>0</v>
      </c>
      <c r="J34" s="20">
        <f>Coal_Table_1!L32</f>
        <v>0</v>
      </c>
      <c r="K34" s="20">
        <f>Coal_Table_1!M32</f>
        <v>0</v>
      </c>
      <c r="L34" s="20">
        <f>Coal_Table_1!N32</f>
        <v>0</v>
      </c>
      <c r="M34" s="20">
        <f>Coal_Table_1!O32</f>
        <v>0</v>
      </c>
      <c r="N34" s="20">
        <f>Coal_Table_1!P32</f>
        <v>0</v>
      </c>
      <c r="O34" s="20">
        <f>Coal_Table_1!Q32</f>
        <v>0</v>
      </c>
      <c r="P34" s="20">
        <f>Coal_Table_1!R32</f>
        <v>0</v>
      </c>
      <c r="Q34" s="20"/>
      <c r="R34" s="20">
        <f>Coal_Table_1!S32</f>
        <v>0</v>
      </c>
      <c r="S34" s="20">
        <f>Coal_Table_1!T32</f>
        <v>0</v>
      </c>
      <c r="T34" s="20">
        <f>Coal_Table_1!U32</f>
        <v>0</v>
      </c>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f>Ren_Table_2a!G22</f>
        <v>0</v>
      </c>
      <c r="AS34" s="20">
        <f>Ren_Table_2a!H22</f>
        <v>0</v>
      </c>
      <c r="AT34" s="20">
        <f>Ren_Table_2a!I22</f>
        <v>0</v>
      </c>
      <c r="AU34" s="20">
        <f>Ren_Table_2a!J22</f>
        <v>0</v>
      </c>
      <c r="AV34" s="20"/>
      <c r="AW34" s="20">
        <f>ROUND(+Ren_Table_2a!M22,3)</f>
        <v>0</v>
      </c>
      <c r="AX34" s="20">
        <f>ROUND(+Ren_Table_2a!O22,3)</f>
        <v>0</v>
      </c>
      <c r="AY34" s="20">
        <f>ROUND(+Ren_Table_2a!P22,3)</f>
        <v>0</v>
      </c>
      <c r="AZ34" s="20">
        <f>ROUND(+Ren_Table_2a!Q22,3)</f>
        <v>0</v>
      </c>
      <c r="BA34" s="20"/>
      <c r="BB34" s="20">
        <f>Ren_Table_2a!K22</f>
        <v>0</v>
      </c>
      <c r="BC34" s="20"/>
      <c r="BD34" s="20"/>
      <c r="BE34" s="20"/>
      <c r="BF34" s="20"/>
      <c r="BG34" s="20"/>
      <c r="BH34" s="20"/>
      <c r="BI34" s="20"/>
      <c r="BJ34" s="20"/>
      <c r="BK34" s="20"/>
      <c r="BL34" s="20"/>
      <c r="BM34" s="20"/>
      <c r="BN34" s="20"/>
      <c r="BO34" s="20"/>
      <c r="BP34" s="590"/>
    </row>
    <row r="35" spans="1:68" x14ac:dyDescent="0.2">
      <c r="A35" s="589" t="s">
        <v>1038</v>
      </c>
      <c r="B35" s="20" t="s">
        <v>1037</v>
      </c>
      <c r="C35" s="20"/>
      <c r="D35" s="20"/>
      <c r="E35" s="20"/>
      <c r="F35" s="20"/>
      <c r="G35" s="20"/>
      <c r="H35" s="20"/>
      <c r="I35" s="20"/>
      <c r="J35" s="20"/>
      <c r="K35" s="20"/>
      <c r="L35" s="20"/>
      <c r="M35" s="20"/>
      <c r="N35" s="20"/>
      <c r="O35" s="20"/>
      <c r="P35" s="20"/>
      <c r="Q35" s="20"/>
      <c r="R35" s="20"/>
      <c r="S35" s="20"/>
      <c r="T35" s="20"/>
      <c r="U35" s="20">
        <f>Oil_Table_1!E20</f>
        <v>0</v>
      </c>
      <c r="V35" s="20">
        <f>Oil_Table_1!F20</f>
        <v>0</v>
      </c>
      <c r="W35" s="20">
        <f>Oil_Table_1!G20</f>
        <v>0</v>
      </c>
      <c r="X35" s="20">
        <f>Oil_Table_1!H20-Oil_Table_1!I20</f>
        <v>0</v>
      </c>
      <c r="Y35" s="20">
        <f>Oil_Table_1!J20</f>
        <v>0</v>
      </c>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590"/>
    </row>
    <row r="36" spans="1:68" x14ac:dyDescent="0.2">
      <c r="A36" s="589" t="s">
        <v>1045</v>
      </c>
      <c r="B36" s="20" t="s">
        <v>1044</v>
      </c>
      <c r="C36" s="20">
        <f>Coal_Table_1!E35</f>
        <v>0</v>
      </c>
      <c r="D36" s="20">
        <f>Coal_Table_1!F35</f>
        <v>0</v>
      </c>
      <c r="E36" s="20">
        <f>Coal_Table_1!G35</f>
        <v>0</v>
      </c>
      <c r="F36" s="20">
        <f>Coal_Table_1!H35</f>
        <v>0</v>
      </c>
      <c r="G36" s="20">
        <f>Coal_Table_1!I35</f>
        <v>0</v>
      </c>
      <c r="H36" s="20">
        <f>Coal_Table_1!J35</f>
        <v>0</v>
      </c>
      <c r="I36" s="20">
        <f>Coal_Table_1!K35</f>
        <v>0</v>
      </c>
      <c r="J36" s="20">
        <f>Coal_Table_1!L35</f>
        <v>0</v>
      </c>
      <c r="K36" s="20">
        <f>Coal_Table_1!M35</f>
        <v>0</v>
      </c>
      <c r="L36" s="20">
        <f>Coal_Table_1!N35</f>
        <v>0</v>
      </c>
      <c r="M36" s="20">
        <f>Coal_Table_1!O35</f>
        <v>0</v>
      </c>
      <c r="N36" s="20">
        <f>Coal_Table_1!P35</f>
        <v>0</v>
      </c>
      <c r="O36" s="20">
        <f>Coal_Table_1!Q35</f>
        <v>0</v>
      </c>
      <c r="P36" s="20">
        <f>Coal_Table_1!R35</f>
        <v>0</v>
      </c>
      <c r="Q36" s="20"/>
      <c r="R36" s="20">
        <f>Coal_Table_1!S35</f>
        <v>0</v>
      </c>
      <c r="S36" s="20">
        <f>Coal_Table_1!T35</f>
        <v>0</v>
      </c>
      <c r="T36" s="20">
        <f>Coal_Table_1!U35</f>
        <v>0</v>
      </c>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590"/>
    </row>
    <row r="37" spans="1:68" x14ac:dyDescent="0.2">
      <c r="A37" s="589" t="s">
        <v>1052</v>
      </c>
      <c r="B37" s="20" t="s">
        <v>1051</v>
      </c>
      <c r="C37" s="20"/>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f>Gas_Table_2a!E17</f>
        <v>0</v>
      </c>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590"/>
    </row>
    <row r="38" spans="1:68" x14ac:dyDescent="0.2">
      <c r="A38" s="589" t="s">
        <v>1059</v>
      </c>
      <c r="B38" s="20" t="s">
        <v>1058</v>
      </c>
      <c r="C38" s="20">
        <f>Coal_Table_1!E36</f>
        <v>0</v>
      </c>
      <c r="D38" s="20">
        <f>Coal_Table_1!F36</f>
        <v>0</v>
      </c>
      <c r="E38" s="20">
        <f>Coal_Table_1!G36</f>
        <v>0</v>
      </c>
      <c r="F38" s="20">
        <f>Coal_Table_1!H36</f>
        <v>0</v>
      </c>
      <c r="G38" s="20">
        <f>Coal_Table_1!I36</f>
        <v>0</v>
      </c>
      <c r="H38" s="20">
        <f>Coal_Table_1!J36</f>
        <v>0</v>
      </c>
      <c r="I38" s="20">
        <f>Coal_Table_1!K36</f>
        <v>0</v>
      </c>
      <c r="J38" s="20">
        <f>Coal_Table_1!L36</f>
        <v>0</v>
      </c>
      <c r="K38" s="20">
        <f>Coal_Table_1!M36</f>
        <v>0</v>
      </c>
      <c r="L38" s="20">
        <f>Coal_Table_1!N36</f>
        <v>0</v>
      </c>
      <c r="M38" s="20">
        <f>Coal_Table_1!O36</f>
        <v>0</v>
      </c>
      <c r="N38" s="20">
        <f>Coal_Table_1!P36</f>
        <v>0</v>
      </c>
      <c r="O38" s="20">
        <f>Coal_Table_1!Q36</f>
        <v>0</v>
      </c>
      <c r="P38" s="20">
        <f>Coal_Table_1!R36</f>
        <v>0</v>
      </c>
      <c r="Q38" s="20"/>
      <c r="R38" s="20">
        <f>Coal_Table_1!S36</f>
        <v>0</v>
      </c>
      <c r="S38" s="20">
        <f>Coal_Table_1!T36</f>
        <v>0</v>
      </c>
      <c r="T38" s="20">
        <f>Coal_Table_1!U36</f>
        <v>0</v>
      </c>
      <c r="U38" s="20">
        <f>Oil_Table_3a!E20</f>
        <v>0</v>
      </c>
      <c r="V38" s="20">
        <f>Oil_Table_3a!F20</f>
        <v>0</v>
      </c>
      <c r="W38" s="20"/>
      <c r="X38" s="20"/>
      <c r="Y38" s="20"/>
      <c r="Z38" s="20">
        <f>Oil_Table_3a!G20</f>
        <v>0</v>
      </c>
      <c r="AA38" s="20">
        <f>Oil_Table_3a!H20</f>
        <v>0</v>
      </c>
      <c r="AB38" s="20">
        <f>Oil_Table_3a!I20</f>
        <v>0</v>
      </c>
      <c r="AC38" s="20">
        <f>(Oil_Table_3a!M20)</f>
        <v>0</v>
      </c>
      <c r="AD38" s="20">
        <f>Oil_Table_3a!N20</f>
        <v>0</v>
      </c>
      <c r="AE38" s="20">
        <f>Oil_Table_3a!O20</f>
        <v>0</v>
      </c>
      <c r="AF38" s="20">
        <f>Oil_Table_3a!R20</f>
        <v>0</v>
      </c>
      <c r="AG38" s="20">
        <f>Oil_Table_3a!S20</f>
        <v>0</v>
      </c>
      <c r="AH38" s="20">
        <f>Oil_Table_3a!X20</f>
        <v>0</v>
      </c>
      <c r="AI38" s="20">
        <f>Oil_Table_3a!Y20</f>
        <v>0</v>
      </c>
      <c r="AJ38" s="20">
        <f>Oil_Table_3a!J20</f>
        <v>0</v>
      </c>
      <c r="AK38" s="20">
        <f>Oil_Table_3a!AB20</f>
        <v>0</v>
      </c>
      <c r="AL38" s="20">
        <f>Oil_Table_3a!AC20</f>
        <v>0</v>
      </c>
      <c r="AM38" s="20">
        <f>Oil_Table_3a!AD20</f>
        <v>0</v>
      </c>
      <c r="AN38" s="20">
        <f>Oil_Table_3a!AE20</f>
        <v>0</v>
      </c>
      <c r="AO38" s="20">
        <f>Oil_Table_3a!AF20-Oil_Table_3a!AJ20</f>
        <v>0</v>
      </c>
      <c r="AP38" s="20">
        <f>Oil_Table_3a!AG20-Oil_Table_3a!AK20</f>
        <v>0</v>
      </c>
      <c r="AQ38" s="20"/>
      <c r="AR38" s="20"/>
      <c r="AS38" s="20"/>
      <c r="AT38" s="20"/>
      <c r="AU38" s="20"/>
      <c r="AV38" s="20">
        <f>Ren_Table_2a!L25</f>
        <v>0</v>
      </c>
      <c r="AW38" s="20">
        <f>ROUND(+Ren_Table_2a!M25,3)</f>
        <v>0</v>
      </c>
      <c r="AX38" s="20">
        <f>ROUND(+Ren_Table_2a!O25,3)</f>
        <v>0</v>
      </c>
      <c r="AY38" s="20">
        <f>ROUND(+Ren_Table_2a!P25,3)</f>
        <v>0</v>
      </c>
      <c r="AZ38" s="20">
        <f>ROUND(+Ren_Table_2a!Q25,3)</f>
        <v>0</v>
      </c>
      <c r="BA38" s="20"/>
      <c r="BB38" s="20"/>
      <c r="BC38" s="20"/>
      <c r="BD38" s="20"/>
      <c r="BE38" s="20"/>
      <c r="BF38" s="20"/>
      <c r="BG38" s="20"/>
      <c r="BH38" s="20"/>
      <c r="BI38" s="20"/>
      <c r="BJ38" s="20"/>
      <c r="BK38" s="20"/>
      <c r="BL38" s="20"/>
      <c r="BM38" s="20"/>
      <c r="BN38" s="20"/>
      <c r="BO38" s="20"/>
      <c r="BP38" s="590"/>
    </row>
    <row r="39" spans="1:68" x14ac:dyDescent="0.2">
      <c r="A39" s="589" t="s">
        <v>1066</v>
      </c>
      <c r="B39" s="20" t="s">
        <v>1065</v>
      </c>
      <c r="C39" s="20"/>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f>Ren_Table_2a!J27</f>
        <v>0</v>
      </c>
      <c r="AV39" s="20"/>
      <c r="AW39" s="20">
        <f>ROUND(+Ren_Table_2a!M27,3)</f>
        <v>0</v>
      </c>
      <c r="AX39" s="20">
        <f>ROUND(+Ren_Table_2a!O27,3)</f>
        <v>0</v>
      </c>
      <c r="AY39" s="20">
        <f>ROUND(+Ren_Table_2a!P27,3)</f>
        <v>0</v>
      </c>
      <c r="AZ39" s="20">
        <f>ROUND(+Ren_Table_2a!Q27,3)</f>
        <v>0</v>
      </c>
      <c r="BA39" s="20"/>
      <c r="BB39" s="20"/>
      <c r="BC39" s="20"/>
      <c r="BD39" s="20"/>
      <c r="BE39" s="20"/>
      <c r="BF39" s="20"/>
      <c r="BG39" s="20"/>
      <c r="BH39" s="20"/>
      <c r="BI39" s="20"/>
      <c r="BJ39" s="20"/>
      <c r="BK39" s="20"/>
      <c r="BL39" s="20"/>
      <c r="BM39" s="20"/>
      <c r="BN39" s="20"/>
      <c r="BO39" s="20"/>
      <c r="BP39" s="590"/>
    </row>
    <row r="40" spans="1:68" x14ac:dyDescent="0.2">
      <c r="A40" s="589" t="s">
        <v>1073</v>
      </c>
      <c r="B40" s="20" t="s">
        <v>1072</v>
      </c>
      <c r="C40" s="20">
        <f>Coal_Table_1!E37</f>
        <v>0</v>
      </c>
      <c r="D40" s="20">
        <f>Coal_Table_1!F37</f>
        <v>0</v>
      </c>
      <c r="E40" s="20">
        <f>Coal_Table_1!G37</f>
        <v>0</v>
      </c>
      <c r="F40" s="20">
        <f>Coal_Table_1!H37</f>
        <v>0</v>
      </c>
      <c r="G40" s="20">
        <f>Coal_Table_1!I37</f>
        <v>0</v>
      </c>
      <c r="H40" s="20">
        <f>Coal_Table_1!J37</f>
        <v>0</v>
      </c>
      <c r="I40" s="20">
        <f>Coal_Table_1!K37</f>
        <v>0</v>
      </c>
      <c r="J40" s="20">
        <f>Coal_Table_1!L37</f>
        <v>0</v>
      </c>
      <c r="K40" s="20">
        <f>Coal_Table_1!M37</f>
        <v>0</v>
      </c>
      <c r="L40" s="20">
        <f>Coal_Table_1!N37</f>
        <v>0</v>
      </c>
      <c r="M40" s="20">
        <f>Coal_Table_1!O37</f>
        <v>0</v>
      </c>
      <c r="N40" s="20">
        <f>Coal_Table_1!P37</f>
        <v>0</v>
      </c>
      <c r="O40" s="20">
        <f>Coal_Table_1!Q37</f>
        <v>0</v>
      </c>
      <c r="P40" s="20">
        <f>Coal_Table_1!R37</f>
        <v>0</v>
      </c>
      <c r="Q40" s="20"/>
      <c r="R40" s="20">
        <f>Coal_Table_1!S37</f>
        <v>0</v>
      </c>
      <c r="S40" s="20">
        <f>Coal_Table_1!T37</f>
        <v>0</v>
      </c>
      <c r="T40" s="20">
        <f>Coal_Table_1!U37</f>
        <v>0</v>
      </c>
      <c r="U40" s="20">
        <f>Oil_Table_3a!E25</f>
        <v>0</v>
      </c>
      <c r="V40" s="20">
        <f>Oil_Table_3a!F25</f>
        <v>0</v>
      </c>
      <c r="W40" s="20"/>
      <c r="X40" s="20"/>
      <c r="Y40" s="20"/>
      <c r="Z40" s="20">
        <f>Oil_Table_3a!G25</f>
        <v>0</v>
      </c>
      <c r="AA40" s="20">
        <f>Oil_Table_3a!H25</f>
        <v>0</v>
      </c>
      <c r="AB40" s="20">
        <f>Oil_Table_3a!I25</f>
        <v>0</v>
      </c>
      <c r="AC40" s="20">
        <f>(Oil_Table_3a!M25)</f>
        <v>0</v>
      </c>
      <c r="AD40" s="20">
        <f>Oil_Table_3a!N25</f>
        <v>0</v>
      </c>
      <c r="AE40" s="20">
        <f>Oil_Table_3a!O25</f>
        <v>0</v>
      </c>
      <c r="AF40" s="20">
        <f>Oil_Table_3a!R25</f>
        <v>0</v>
      </c>
      <c r="AG40" s="20">
        <f>Oil_Table_3a!S25</f>
        <v>0</v>
      </c>
      <c r="AH40" s="20">
        <f>Oil_Table_3a!X25</f>
        <v>0</v>
      </c>
      <c r="AI40" s="20">
        <f>Oil_Table_3a!Y25</f>
        <v>0</v>
      </c>
      <c r="AJ40" s="20">
        <f>Oil_Table_3a!J25</f>
        <v>0</v>
      </c>
      <c r="AK40" s="20">
        <f>Oil_Table_3a!AB25</f>
        <v>0</v>
      </c>
      <c r="AL40" s="20">
        <f>Oil_Table_3a!AC25</f>
        <v>0</v>
      </c>
      <c r="AM40" s="20">
        <f>Oil_Table_3a!AD25</f>
        <v>0</v>
      </c>
      <c r="AN40" s="20">
        <f>Oil_Table_3a!AE25</f>
        <v>0</v>
      </c>
      <c r="AO40" s="20">
        <f>Oil_Table_3a!AF25-Oil_Table_3a!AJ25</f>
        <v>0</v>
      </c>
      <c r="AP40" s="20">
        <f>Oil_Table_3a!AG25-Oil_Table_3a!AK25</f>
        <v>0</v>
      </c>
      <c r="AQ40" s="20">
        <f>Gas_Table_2a!E19</f>
        <v>0</v>
      </c>
      <c r="AR40" s="20">
        <f>Ren_Table_2a!G28</f>
        <v>0</v>
      </c>
      <c r="AS40" s="20">
        <f>Ren_Table_2a!H28</f>
        <v>0</v>
      </c>
      <c r="AT40" s="20">
        <f>Ren_Table_2a!I28</f>
        <v>0</v>
      </c>
      <c r="AU40" s="20">
        <f>Ren_Table_2a!J28</f>
        <v>0</v>
      </c>
      <c r="AV40" s="20">
        <f>Ren_Table_2a!L28</f>
        <v>0</v>
      </c>
      <c r="AW40" s="20">
        <f>ROUND(Oil_Table_3a!L25+Ren_Table_2a!M28,3)</f>
        <v>0</v>
      </c>
      <c r="AX40" s="20">
        <f>ROUND(Oil_Table_3a!Q25+Ren_Table_2a!O28,3)</f>
        <v>0</v>
      </c>
      <c r="AY40" s="20">
        <f>ROUND(Oil_Table_3a!W25+Ren_Table_2a!P28,3)</f>
        <v>0</v>
      </c>
      <c r="AZ40" s="20">
        <f>ROUND(Ren_Table_2a!Q28,3)</f>
        <v>0</v>
      </c>
      <c r="BA40" s="20"/>
      <c r="BB40" s="20">
        <f>Ren_Table_2a!K28</f>
        <v>0</v>
      </c>
      <c r="BC40" s="20"/>
      <c r="BD40" s="20"/>
      <c r="BE40" s="20">
        <f>Ren_Table_2a!E28</f>
        <v>0</v>
      </c>
      <c r="BF40" s="20"/>
      <c r="BG40" s="20">
        <f>Ren_Table_2a!F28</f>
        <v>0</v>
      </c>
      <c r="BH40" s="20"/>
      <c r="BI40" s="20"/>
      <c r="BJ40" s="20"/>
      <c r="BK40" s="20"/>
      <c r="BL40" s="20"/>
      <c r="BM40" s="20"/>
      <c r="BN40" s="20"/>
      <c r="BO40" s="20"/>
      <c r="BP40" s="590"/>
    </row>
    <row r="41" spans="1:68" x14ac:dyDescent="0.2">
      <c r="A41" s="893" t="s">
        <v>1083</v>
      </c>
      <c r="B41" s="256" t="s">
        <v>1082</v>
      </c>
      <c r="C41" s="256">
        <f>SUM(C42:C58)</f>
        <v>0</v>
      </c>
      <c r="D41" s="256">
        <f>SUM(D42:D58)</f>
        <v>0</v>
      </c>
      <c r="E41" s="256">
        <f>SUM(E42:E58)</f>
        <v>0</v>
      </c>
      <c r="F41" s="256">
        <f>SUM(F42:F58)</f>
        <v>0</v>
      </c>
      <c r="G41" s="256">
        <f>SUM(G42:G58)</f>
        <v>0</v>
      </c>
      <c r="H41" s="256">
        <f t="shared" ref="H41:P41" si="6">SUM(H42:H58)</f>
        <v>0</v>
      </c>
      <c r="I41" s="256">
        <f t="shared" si="6"/>
        <v>0</v>
      </c>
      <c r="J41" s="256">
        <f t="shared" si="6"/>
        <v>0</v>
      </c>
      <c r="K41" s="256">
        <f t="shared" si="6"/>
        <v>0</v>
      </c>
      <c r="L41" s="256">
        <f t="shared" si="6"/>
        <v>0</v>
      </c>
      <c r="M41" s="256">
        <f t="shared" si="6"/>
        <v>0</v>
      </c>
      <c r="N41" s="256">
        <f t="shared" si="6"/>
        <v>0</v>
      </c>
      <c r="O41" s="256">
        <f t="shared" si="6"/>
        <v>0</v>
      </c>
      <c r="P41" s="256">
        <f t="shared" si="6"/>
        <v>0</v>
      </c>
      <c r="Q41" s="256">
        <f t="shared" ref="Q41:V41" si="7">SUM(Q42:Q58)</f>
        <v>0</v>
      </c>
      <c r="R41" s="256">
        <f t="shared" si="7"/>
        <v>0</v>
      </c>
      <c r="S41" s="256">
        <f t="shared" si="7"/>
        <v>0</v>
      </c>
      <c r="T41" s="256">
        <f t="shared" si="7"/>
        <v>0</v>
      </c>
      <c r="U41" s="256">
        <f t="shared" si="7"/>
        <v>0</v>
      </c>
      <c r="V41" s="256">
        <f t="shared" si="7"/>
        <v>0</v>
      </c>
      <c r="W41" s="256"/>
      <c r="X41" s="256"/>
      <c r="Y41" s="256"/>
      <c r="Z41" s="256">
        <f t="shared" ref="Z41:AR41" si="8">SUM(Z42:Z58)</f>
        <v>0</v>
      </c>
      <c r="AA41" s="256">
        <f t="shared" si="8"/>
        <v>0</v>
      </c>
      <c r="AB41" s="256">
        <f t="shared" si="8"/>
        <v>0</v>
      </c>
      <c r="AC41" s="256">
        <f t="shared" si="8"/>
        <v>0</v>
      </c>
      <c r="AD41" s="256">
        <f t="shared" si="8"/>
        <v>0</v>
      </c>
      <c r="AE41" s="256">
        <f t="shared" si="8"/>
        <v>0</v>
      </c>
      <c r="AF41" s="256">
        <f t="shared" si="8"/>
        <v>0</v>
      </c>
      <c r="AG41" s="256">
        <f t="shared" si="8"/>
        <v>0</v>
      </c>
      <c r="AH41" s="256">
        <f t="shared" si="8"/>
        <v>0</v>
      </c>
      <c r="AI41" s="256">
        <f t="shared" si="8"/>
        <v>0</v>
      </c>
      <c r="AJ41" s="256">
        <f t="shared" si="8"/>
        <v>0</v>
      </c>
      <c r="AK41" s="256">
        <f t="shared" si="8"/>
        <v>0</v>
      </c>
      <c r="AL41" s="256">
        <f t="shared" si="8"/>
        <v>0</v>
      </c>
      <c r="AM41" s="256">
        <f t="shared" si="8"/>
        <v>0</v>
      </c>
      <c r="AN41" s="256">
        <f t="shared" si="8"/>
        <v>0</v>
      </c>
      <c r="AO41" s="256">
        <f t="shared" si="8"/>
        <v>0</v>
      </c>
      <c r="AP41" s="256">
        <f t="shared" si="8"/>
        <v>0</v>
      </c>
      <c r="AQ41" s="256">
        <f>SUM(AQ42:AQ58)</f>
        <v>0</v>
      </c>
      <c r="AR41" s="256">
        <f t="shared" si="8"/>
        <v>0</v>
      </c>
      <c r="AS41" s="256">
        <f t="shared" ref="AS41:AZ41" si="9">SUM(AS42:AS58)</f>
        <v>0</v>
      </c>
      <c r="AT41" s="256">
        <f t="shared" si="9"/>
        <v>0</v>
      </c>
      <c r="AU41" s="256">
        <f t="shared" si="9"/>
        <v>0</v>
      </c>
      <c r="AV41" s="256">
        <f t="shared" si="9"/>
        <v>0</v>
      </c>
      <c r="AW41" s="256">
        <f t="shared" si="9"/>
        <v>0</v>
      </c>
      <c r="AX41" s="256">
        <f t="shared" si="9"/>
        <v>0</v>
      </c>
      <c r="AY41" s="256">
        <f t="shared" si="9"/>
        <v>0</v>
      </c>
      <c r="AZ41" s="256">
        <f t="shared" si="9"/>
        <v>0</v>
      </c>
      <c r="BA41" s="256"/>
      <c r="BB41" s="256">
        <f>SUM(BB42:BB58)</f>
        <v>0</v>
      </c>
      <c r="BC41" s="256"/>
      <c r="BD41" s="256"/>
      <c r="BE41" s="256">
        <f>SUM(BE42:BE58)</f>
        <v>0</v>
      </c>
      <c r="BF41" s="256"/>
      <c r="BG41" s="256">
        <f>SUM(BG42:BG58)</f>
        <v>0</v>
      </c>
      <c r="BH41" s="256"/>
      <c r="BI41" s="256"/>
      <c r="BJ41" s="256"/>
      <c r="BK41" s="256"/>
      <c r="BL41" s="256"/>
      <c r="BM41" s="256"/>
      <c r="BN41" s="256">
        <f>SUM(BN42:BN58)</f>
        <v>0</v>
      </c>
      <c r="BO41" s="256">
        <f>SUM(BO42:BO58)</f>
        <v>0</v>
      </c>
      <c r="BP41" s="265"/>
    </row>
    <row r="42" spans="1:68" x14ac:dyDescent="0.2">
      <c r="A42" s="589" t="s">
        <v>1090</v>
      </c>
      <c r="B42" s="20" t="s">
        <v>1089</v>
      </c>
      <c r="C42" s="20">
        <f>Coal_Table_1!E42</f>
        <v>0</v>
      </c>
      <c r="D42" s="20">
        <f>Coal_Table_1!F42</f>
        <v>0</v>
      </c>
      <c r="E42" s="20">
        <f>Coal_Table_1!G42</f>
        <v>0</v>
      </c>
      <c r="F42" s="20">
        <f>Coal_Table_1!H42</f>
        <v>0</v>
      </c>
      <c r="G42" s="20">
        <f>Coal_Table_1!I42</f>
        <v>0</v>
      </c>
      <c r="H42" s="20">
        <f>Coal_Table_1!J42</f>
        <v>0</v>
      </c>
      <c r="I42" s="20">
        <f>Coal_Table_1!K42</f>
        <v>0</v>
      </c>
      <c r="J42" s="20">
        <f>Coal_Table_1!L42</f>
        <v>0</v>
      </c>
      <c r="K42" s="20">
        <f>Coal_Table_1!M42</f>
        <v>0</v>
      </c>
      <c r="L42" s="20">
        <f>Coal_Table_1!N42</f>
        <v>0</v>
      </c>
      <c r="M42" s="20">
        <f>Coal_Table_1!O42</f>
        <v>0</v>
      </c>
      <c r="N42" s="20">
        <f>Coal_Table_1!P42</f>
        <v>0</v>
      </c>
      <c r="O42" s="20">
        <f>Coal_Table_1!Q42</f>
        <v>0</v>
      </c>
      <c r="P42" s="20">
        <f>Coal_Table_1!R42</f>
        <v>0</v>
      </c>
      <c r="Q42" s="20"/>
      <c r="R42" s="20">
        <f>Coal_Table_1!S42</f>
        <v>0</v>
      </c>
      <c r="S42" s="20">
        <f>Coal_Table_1!T42</f>
        <v>0</v>
      </c>
      <c r="T42" s="20">
        <f>Coal_Table_1!U42</f>
        <v>0</v>
      </c>
      <c r="U42" s="20">
        <f>Oil_Table_3a!E27</f>
        <v>0</v>
      </c>
      <c r="V42" s="20">
        <f>Oil_Table_3a!F27</f>
        <v>0</v>
      </c>
      <c r="W42" s="20"/>
      <c r="X42" s="20"/>
      <c r="Y42" s="20"/>
      <c r="Z42" s="20">
        <f>Oil_Table_3a!G27</f>
        <v>0</v>
      </c>
      <c r="AA42" s="20">
        <f>Oil_Table_3a!H27</f>
        <v>0</v>
      </c>
      <c r="AB42" s="20">
        <f>Oil_Table_3a!I27</f>
        <v>0</v>
      </c>
      <c r="AC42" s="20">
        <f>(Oil_Table_3a!M27)</f>
        <v>0</v>
      </c>
      <c r="AD42" s="20">
        <f>Oil_Table_3a!N27</f>
        <v>0</v>
      </c>
      <c r="AE42" s="20">
        <f>Oil_Table_3a!O27</f>
        <v>0</v>
      </c>
      <c r="AF42" s="20">
        <f>Oil_Table_3a!R27</f>
        <v>0</v>
      </c>
      <c r="AG42" s="20">
        <f>Oil_Table_3a!S27</f>
        <v>0</v>
      </c>
      <c r="AH42" s="20">
        <f>Oil_Table_3a!X27</f>
        <v>0</v>
      </c>
      <c r="AI42" s="20">
        <f>Oil_Table_3a!Y27</f>
        <v>0</v>
      </c>
      <c r="AJ42" s="20">
        <f>Oil_Table_3a!J27</f>
        <v>0</v>
      </c>
      <c r="AK42" s="20">
        <f>Oil_Table_3a!AB27</f>
        <v>0</v>
      </c>
      <c r="AL42" s="20">
        <f>Oil_Table_3a!AC27</f>
        <v>0</v>
      </c>
      <c r="AM42" s="20">
        <f>Oil_Table_3a!AD27</f>
        <v>0</v>
      </c>
      <c r="AN42" s="20">
        <f>Oil_Table_3a!AE27</f>
        <v>0</v>
      </c>
      <c r="AO42" s="20">
        <f>Oil_Table_3a!AF27-Oil_Table_3a!AJ27</f>
        <v>0</v>
      </c>
      <c r="AP42" s="20">
        <f>Oil_Table_3a!AG27-Oil_Table_3a!AK27</f>
        <v>0</v>
      </c>
      <c r="AQ42" s="20">
        <f>Gas_Table_2a!E21</f>
        <v>0</v>
      </c>
      <c r="AR42" s="20">
        <f>Ren_Table_2a!G32</f>
        <v>0</v>
      </c>
      <c r="AS42" s="20">
        <f>Ren_Table_2a!H32</f>
        <v>0</v>
      </c>
      <c r="AT42" s="20">
        <f>Ren_Table_2a!I32</f>
        <v>0</v>
      </c>
      <c r="AU42" s="20">
        <f>Ren_Table_2a!J32</f>
        <v>0</v>
      </c>
      <c r="AV42" s="20">
        <f>Ren_Table_2a!L32</f>
        <v>0</v>
      </c>
      <c r="AW42" s="20">
        <f>ROUND(Oil_Table_3a!L27+Ren_Table_2a!M32,3)</f>
        <v>0</v>
      </c>
      <c r="AX42" s="20">
        <f>ROUND(Oil_Table_3a!Q27+Ren_Table_2a!O32,3)</f>
        <v>0</v>
      </c>
      <c r="AY42" s="20">
        <f>ROUND(Oil_Table_3a!W27+Ren_Table_2a!P32,3)</f>
        <v>0</v>
      </c>
      <c r="AZ42" s="20">
        <f>ROUND(Ren_Table_2a!Q32,3)</f>
        <v>0</v>
      </c>
      <c r="BA42" s="20"/>
      <c r="BB42" s="20">
        <f>Ren_Table_2a!K32</f>
        <v>0</v>
      </c>
      <c r="BC42" s="20"/>
      <c r="BD42" s="20"/>
      <c r="BE42" s="20">
        <f>Ren_Table_2a!E32</f>
        <v>0</v>
      </c>
      <c r="BF42" s="20"/>
      <c r="BG42" s="20">
        <f>Ren_Table_2a!F32</f>
        <v>0</v>
      </c>
      <c r="BH42" s="20"/>
      <c r="BI42" s="20"/>
      <c r="BJ42" s="20"/>
      <c r="BK42" s="20"/>
      <c r="BL42" s="20"/>
      <c r="BM42" s="20"/>
      <c r="BN42" s="20">
        <f>Ele_Table_4!E7</f>
        <v>0</v>
      </c>
      <c r="BO42" s="20">
        <f>Ele_Table_4!F7</f>
        <v>0</v>
      </c>
      <c r="BP42" s="590"/>
    </row>
    <row r="43" spans="1:68" x14ac:dyDescent="0.2">
      <c r="A43" s="589" t="s">
        <v>1097</v>
      </c>
      <c r="B43" s="20" t="s">
        <v>1096</v>
      </c>
      <c r="C43" s="20"/>
      <c r="D43" s="20"/>
      <c r="E43" s="20"/>
      <c r="F43" s="20"/>
      <c r="G43" s="20"/>
      <c r="H43" s="20"/>
      <c r="I43" s="20"/>
      <c r="J43" s="20"/>
      <c r="K43" s="20"/>
      <c r="L43" s="20"/>
      <c r="M43" s="20"/>
      <c r="N43" s="20"/>
      <c r="O43" s="20"/>
      <c r="P43" s="20"/>
      <c r="Q43" s="20"/>
      <c r="R43" s="20"/>
      <c r="S43" s="20"/>
      <c r="T43" s="20"/>
      <c r="U43" s="20">
        <f>Oil_Table_3a!E28</f>
        <v>0</v>
      </c>
      <c r="V43" s="20">
        <f>Oil_Table_3a!F28</f>
        <v>0</v>
      </c>
      <c r="W43" s="20"/>
      <c r="X43" s="20"/>
      <c r="Y43" s="20"/>
      <c r="Z43" s="20">
        <f>Oil_Table_3a!G28</f>
        <v>0</v>
      </c>
      <c r="AA43" s="20">
        <f>Oil_Table_3a!H28</f>
        <v>0</v>
      </c>
      <c r="AB43" s="20">
        <f>Oil_Table_3a!I28</f>
        <v>0</v>
      </c>
      <c r="AC43" s="20">
        <f>(Oil_Table_3a!M28)</f>
        <v>0</v>
      </c>
      <c r="AD43" s="20">
        <f>Oil_Table_3a!N28</f>
        <v>0</v>
      </c>
      <c r="AE43" s="20">
        <f>Oil_Table_3a!O28</f>
        <v>0</v>
      </c>
      <c r="AF43" s="20">
        <f>Oil_Table_3a!R28</f>
        <v>0</v>
      </c>
      <c r="AG43" s="20">
        <f>Oil_Table_3a!S28</f>
        <v>0</v>
      </c>
      <c r="AH43" s="20">
        <f>Oil_Table_3a!X28</f>
        <v>0</v>
      </c>
      <c r="AI43" s="20">
        <f>Oil_Table_3a!Y28</f>
        <v>0</v>
      </c>
      <c r="AJ43" s="20">
        <f>Oil_Table_3a!J28</f>
        <v>0</v>
      </c>
      <c r="AK43" s="20">
        <f>Oil_Table_3a!AB28</f>
        <v>0</v>
      </c>
      <c r="AL43" s="20">
        <f>Oil_Table_3a!AC28</f>
        <v>0</v>
      </c>
      <c r="AM43" s="20">
        <f>Oil_Table_3a!AD28</f>
        <v>0</v>
      </c>
      <c r="AN43" s="20">
        <f>Oil_Table_3a!AE28</f>
        <v>0</v>
      </c>
      <c r="AO43" s="20">
        <f>Oil_Table_3a!AF28-Oil_Table_3a!AJ28</f>
        <v>0</v>
      </c>
      <c r="AP43" s="20">
        <f>Oil_Table_3a!AG28-Oil_Table_3a!AK28</f>
        <v>0</v>
      </c>
      <c r="AQ43" s="20">
        <f>Gas_Table_2a!E22</f>
        <v>0</v>
      </c>
      <c r="AR43" s="20"/>
      <c r="AS43" s="20"/>
      <c r="AT43" s="20"/>
      <c r="AU43" s="20"/>
      <c r="AV43" s="20"/>
      <c r="AW43" s="20">
        <f>ROUND(Oil_Table_3a!L28,3)</f>
        <v>0</v>
      </c>
      <c r="AX43" s="20">
        <f>ROUND(Oil_Table_3a!Q28,3)</f>
        <v>0</v>
      </c>
      <c r="AY43" s="20">
        <f>ROUND(Oil_Table_3a!W28,3)</f>
        <v>0</v>
      </c>
      <c r="AZ43" s="20"/>
      <c r="BA43" s="20"/>
      <c r="BB43" s="20"/>
      <c r="BC43" s="20"/>
      <c r="BD43" s="20"/>
      <c r="BE43" s="20"/>
      <c r="BF43" s="20"/>
      <c r="BG43" s="20"/>
      <c r="BH43" s="20"/>
      <c r="BI43" s="20"/>
      <c r="BJ43" s="20"/>
      <c r="BK43" s="20"/>
      <c r="BL43" s="20"/>
      <c r="BM43" s="20"/>
      <c r="BN43" s="20">
        <f>Ele_Table_4!E8</f>
        <v>0</v>
      </c>
      <c r="BO43" s="20">
        <f>Ele_Table_4!F8</f>
        <v>0</v>
      </c>
      <c r="BP43" s="590"/>
    </row>
    <row r="44" spans="1:68" x14ac:dyDescent="0.2">
      <c r="A44" s="589" t="s">
        <v>997</v>
      </c>
      <c r="B44" s="20" t="s">
        <v>1103</v>
      </c>
      <c r="C44" s="20">
        <f>Coal_Table_1!E43</f>
        <v>0</v>
      </c>
      <c r="D44" s="20">
        <f>Coal_Table_1!F43</f>
        <v>0</v>
      </c>
      <c r="E44" s="20">
        <f>Coal_Table_1!G43</f>
        <v>0</v>
      </c>
      <c r="F44" s="20">
        <f>Coal_Table_1!H43</f>
        <v>0</v>
      </c>
      <c r="G44" s="20">
        <f>Coal_Table_1!I43</f>
        <v>0</v>
      </c>
      <c r="H44" s="20">
        <f>Coal_Table_1!J43</f>
        <v>0</v>
      </c>
      <c r="I44" s="20">
        <f>Coal_Table_1!K43</f>
        <v>0</v>
      </c>
      <c r="J44" s="20">
        <f>Coal_Table_1!L43</f>
        <v>0</v>
      </c>
      <c r="K44" s="20">
        <f>Coal_Table_1!M43</f>
        <v>0</v>
      </c>
      <c r="L44" s="20">
        <f>Coal_Table_1!N43</f>
        <v>0</v>
      </c>
      <c r="M44" s="20">
        <f>Coal_Table_1!O43</f>
        <v>0</v>
      </c>
      <c r="N44" s="20">
        <f>Coal_Table_1!P43</f>
        <v>0</v>
      </c>
      <c r="O44" s="20">
        <f>Coal_Table_1!Q43</f>
        <v>0</v>
      </c>
      <c r="P44" s="20">
        <f>Coal_Table_1!R43</f>
        <v>0</v>
      </c>
      <c r="Q44" s="20"/>
      <c r="R44" s="20">
        <f>Coal_Table_1!S43</f>
        <v>0</v>
      </c>
      <c r="S44" s="20">
        <f>Coal_Table_1!T43</f>
        <v>0</v>
      </c>
      <c r="T44" s="20">
        <f>Coal_Table_1!U43</f>
        <v>0</v>
      </c>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f>Ren_Table_2a!G33</f>
        <v>0</v>
      </c>
      <c r="AS44" s="20">
        <f>Ren_Table_2a!H33</f>
        <v>0</v>
      </c>
      <c r="AT44" s="20">
        <f>Ren_Table_2a!I33</f>
        <v>0</v>
      </c>
      <c r="AU44" s="20">
        <f>Ren_Table_2a!J33</f>
        <v>0</v>
      </c>
      <c r="AV44" s="20">
        <f>Ren_Table_2a!L33</f>
        <v>0</v>
      </c>
      <c r="AW44" s="20">
        <f>ROUND(+Ren_Table_2a!M33,3)</f>
        <v>0</v>
      </c>
      <c r="AX44" s="20">
        <f>ROUND(+Ren_Table_2a!O33,3)</f>
        <v>0</v>
      </c>
      <c r="AY44" s="20">
        <f>ROUND(+Ren_Table_2a!P33,3)</f>
        <v>0</v>
      </c>
      <c r="AZ44" s="20">
        <f>ROUND(+Ren_Table_2a!Q33,3)</f>
        <v>0</v>
      </c>
      <c r="BA44" s="20"/>
      <c r="BB44" s="20">
        <f>Ren_Table_2a!K33</f>
        <v>0</v>
      </c>
      <c r="BC44" s="20"/>
      <c r="BD44" s="20"/>
      <c r="BE44" s="20">
        <f>Ren_Table_2a!E33</f>
        <v>0</v>
      </c>
      <c r="BF44" s="20"/>
      <c r="BG44" s="20">
        <f>Ren_Table_2a!F33</f>
        <v>0</v>
      </c>
      <c r="BH44" s="20"/>
      <c r="BI44" s="20"/>
      <c r="BJ44" s="20"/>
      <c r="BK44" s="20"/>
      <c r="BL44" s="20"/>
      <c r="BM44" s="20"/>
      <c r="BN44" s="20">
        <f>Ele_Table_4!E9</f>
        <v>0</v>
      </c>
      <c r="BO44" s="20">
        <f>Ele_Table_4!F9</f>
        <v>0</v>
      </c>
      <c r="BP44" s="590"/>
    </row>
    <row r="45" spans="1:68" x14ac:dyDescent="0.2">
      <c r="A45" s="589" t="s">
        <v>1004</v>
      </c>
      <c r="B45" s="20" t="s">
        <v>1107</v>
      </c>
      <c r="C45" s="20">
        <f>Coal_Table_1!E44</f>
        <v>0</v>
      </c>
      <c r="D45" s="20">
        <f>Coal_Table_1!F44</f>
        <v>0</v>
      </c>
      <c r="E45" s="20">
        <f>Coal_Table_1!G44</f>
        <v>0</v>
      </c>
      <c r="F45" s="20">
        <f>Coal_Table_1!H44</f>
        <v>0</v>
      </c>
      <c r="G45" s="20">
        <f>Coal_Table_1!I44</f>
        <v>0</v>
      </c>
      <c r="H45" s="20">
        <f>Coal_Table_1!J44</f>
        <v>0</v>
      </c>
      <c r="I45" s="20">
        <f>Coal_Table_1!K44</f>
        <v>0</v>
      </c>
      <c r="J45" s="20">
        <f>Coal_Table_1!L44</f>
        <v>0</v>
      </c>
      <c r="K45" s="20">
        <f>Coal_Table_1!M44</f>
        <v>0</v>
      </c>
      <c r="L45" s="20">
        <f>Coal_Table_1!N44</f>
        <v>0</v>
      </c>
      <c r="M45" s="20">
        <f>Coal_Table_1!O44</f>
        <v>0</v>
      </c>
      <c r="N45" s="20">
        <f>Coal_Table_1!P44</f>
        <v>0</v>
      </c>
      <c r="O45" s="20">
        <f>Coal_Table_1!Q44</f>
        <v>0</v>
      </c>
      <c r="P45" s="20">
        <f>Coal_Table_1!R44</f>
        <v>0</v>
      </c>
      <c r="Q45" s="20"/>
      <c r="R45" s="20">
        <f>Coal_Table_1!S44</f>
        <v>0</v>
      </c>
      <c r="S45" s="20">
        <f>Coal_Table_1!T44</f>
        <v>0</v>
      </c>
      <c r="T45" s="20">
        <f>Coal_Table_1!U44</f>
        <v>0</v>
      </c>
      <c r="U45" s="20">
        <f>Oil_Table_3a!E29</f>
        <v>0</v>
      </c>
      <c r="V45" s="20">
        <f>Oil_Table_3a!F29</f>
        <v>0</v>
      </c>
      <c r="W45" s="20"/>
      <c r="X45" s="20"/>
      <c r="Y45" s="20"/>
      <c r="Z45" s="20">
        <f>Oil_Table_3a!G29</f>
        <v>0</v>
      </c>
      <c r="AA45" s="20">
        <f>Oil_Table_3a!H29</f>
        <v>0</v>
      </c>
      <c r="AB45" s="20">
        <f>Oil_Table_3a!I29</f>
        <v>0</v>
      </c>
      <c r="AC45" s="20">
        <f>(Oil_Table_3a!M29)</f>
        <v>0</v>
      </c>
      <c r="AD45" s="20">
        <f>Oil_Table_3a!N29</f>
        <v>0</v>
      </c>
      <c r="AE45" s="20">
        <f>Oil_Table_3a!O29</f>
        <v>0</v>
      </c>
      <c r="AF45" s="20">
        <f>Oil_Table_3a!R29</f>
        <v>0</v>
      </c>
      <c r="AG45" s="20">
        <f>Oil_Table_3a!S29</f>
        <v>0</v>
      </c>
      <c r="AH45" s="20">
        <f>Oil_Table_3a!X29</f>
        <v>0</v>
      </c>
      <c r="AI45" s="20">
        <f>Oil_Table_3a!Y29</f>
        <v>0</v>
      </c>
      <c r="AJ45" s="20">
        <f>Oil_Table_3a!J29</f>
        <v>0</v>
      </c>
      <c r="AK45" s="20">
        <f>Oil_Table_3a!AB29</f>
        <v>0</v>
      </c>
      <c r="AL45" s="20">
        <f>Oil_Table_3a!AC29</f>
        <v>0</v>
      </c>
      <c r="AM45" s="20">
        <f>Oil_Table_3a!AD29</f>
        <v>0</v>
      </c>
      <c r="AN45" s="20">
        <f>Oil_Table_3a!AE29</f>
        <v>0</v>
      </c>
      <c r="AO45" s="20">
        <f>Oil_Table_3a!AF29-Oil_Table_3a!AJ29</f>
        <v>0</v>
      </c>
      <c r="AP45" s="20">
        <f>Oil_Table_3a!AG29-Oil_Table_3a!AK29</f>
        <v>0</v>
      </c>
      <c r="AQ45" s="20">
        <f>Gas_Table_2a!E24</f>
        <v>0</v>
      </c>
      <c r="AR45" s="20">
        <f>Ren_Table_2a!G34</f>
        <v>0</v>
      </c>
      <c r="AS45" s="20">
        <f>Ren_Table_2a!H34</f>
        <v>0</v>
      </c>
      <c r="AT45" s="20">
        <f>Ren_Table_2a!I34</f>
        <v>0</v>
      </c>
      <c r="AU45" s="20">
        <f>Ren_Table_2a!J34</f>
        <v>0</v>
      </c>
      <c r="AV45" s="20">
        <f>Ren_Table_2a!L34</f>
        <v>0</v>
      </c>
      <c r="AW45" s="20">
        <f>ROUND(Oil_Table_3a!L29+Ren_Table_2a!M34,3)</f>
        <v>0</v>
      </c>
      <c r="AX45" s="20">
        <f>ROUND(Oil_Table_3a!Q29+Ren_Table_2a!O34,3)</f>
        <v>0</v>
      </c>
      <c r="AY45" s="20">
        <f>ROUND(Oil_Table_3a!W29+Ren_Table_2a!P34,3)</f>
        <v>0</v>
      </c>
      <c r="AZ45" s="20">
        <f>ROUND(Ren_Table_2a!Q34,3)</f>
        <v>0</v>
      </c>
      <c r="BA45" s="20"/>
      <c r="BB45" s="20">
        <f>Ren_Table_2a!K34</f>
        <v>0</v>
      </c>
      <c r="BC45" s="20"/>
      <c r="BD45" s="20"/>
      <c r="BE45" s="20">
        <f>Ren_Table_2a!E34</f>
        <v>0</v>
      </c>
      <c r="BF45" s="20"/>
      <c r="BG45" s="20">
        <f>Ren_Table_2a!F34</f>
        <v>0</v>
      </c>
      <c r="BH45" s="20"/>
      <c r="BI45" s="20"/>
      <c r="BJ45" s="20"/>
      <c r="BK45" s="20"/>
      <c r="BL45" s="20"/>
      <c r="BM45" s="20"/>
      <c r="BN45" s="20">
        <f>Ele_Table_4!E10</f>
        <v>0</v>
      </c>
      <c r="BO45" s="20">
        <f>Ele_Table_4!F10</f>
        <v>0</v>
      </c>
      <c r="BP45" s="590"/>
    </row>
    <row r="46" spans="1:68" x14ac:dyDescent="0.2">
      <c r="A46" s="589" t="s">
        <v>1011</v>
      </c>
      <c r="B46" s="20" t="s">
        <v>1111</v>
      </c>
      <c r="C46" s="20">
        <f>Coal_Table_1!E46</f>
        <v>0</v>
      </c>
      <c r="D46" s="20">
        <f>Coal_Table_1!F46</f>
        <v>0</v>
      </c>
      <c r="E46" s="20">
        <f>Coal_Table_1!G46</f>
        <v>0</v>
      </c>
      <c r="F46" s="20">
        <f>Coal_Table_1!H46</f>
        <v>0</v>
      </c>
      <c r="G46" s="20">
        <f>Coal_Table_1!I46</f>
        <v>0</v>
      </c>
      <c r="H46" s="20">
        <f>Coal_Table_1!J46</f>
        <v>0</v>
      </c>
      <c r="I46" s="20">
        <f>Coal_Table_1!K46</f>
        <v>0</v>
      </c>
      <c r="J46" s="20">
        <f>Coal_Table_1!L46</f>
        <v>0</v>
      </c>
      <c r="K46" s="20">
        <f>Coal_Table_1!M46</f>
        <v>0</v>
      </c>
      <c r="L46" s="20">
        <f>Coal_Table_1!N46</f>
        <v>0</v>
      </c>
      <c r="M46" s="20">
        <f>Coal_Table_1!O46</f>
        <v>0</v>
      </c>
      <c r="N46" s="20">
        <f>Coal_Table_1!P46</f>
        <v>0</v>
      </c>
      <c r="O46" s="20">
        <f>Coal_Table_1!Q46</f>
        <v>0</v>
      </c>
      <c r="P46" s="20">
        <f>Coal_Table_1!R46</f>
        <v>0</v>
      </c>
      <c r="Q46" s="20"/>
      <c r="R46" s="20">
        <f>Coal_Table_1!S46</f>
        <v>0</v>
      </c>
      <c r="S46" s="20">
        <f>Coal_Table_1!T46</f>
        <v>0</v>
      </c>
      <c r="T46" s="20">
        <f>Coal_Table_1!U46</f>
        <v>0</v>
      </c>
      <c r="U46" s="20">
        <f>Oil_Table_3a!E31</f>
        <v>0</v>
      </c>
      <c r="V46" s="20">
        <f>Oil_Table_3a!F31</f>
        <v>0</v>
      </c>
      <c r="W46" s="20"/>
      <c r="X46" s="20"/>
      <c r="Y46" s="20"/>
      <c r="Z46" s="20">
        <f>Oil_Table_3a!G31</f>
        <v>0</v>
      </c>
      <c r="AA46" s="20">
        <f>Oil_Table_3a!H31</f>
        <v>0</v>
      </c>
      <c r="AB46" s="20">
        <f>Oil_Table_3a!I31</f>
        <v>0</v>
      </c>
      <c r="AC46" s="20">
        <f>(Oil_Table_3a!M31)</f>
        <v>0</v>
      </c>
      <c r="AD46" s="20">
        <f>Oil_Table_3a!N31</f>
        <v>0</v>
      </c>
      <c r="AE46" s="20">
        <f>Oil_Table_3a!O31</f>
        <v>0</v>
      </c>
      <c r="AF46" s="20">
        <f>Oil_Table_3a!R31</f>
        <v>0</v>
      </c>
      <c r="AG46" s="20">
        <f>Oil_Table_3a!S31</f>
        <v>0</v>
      </c>
      <c r="AH46" s="20">
        <f>Oil_Table_3a!X31</f>
        <v>0</v>
      </c>
      <c r="AI46" s="20">
        <f>Oil_Table_3a!Y31</f>
        <v>0</v>
      </c>
      <c r="AJ46" s="20">
        <f>Oil_Table_3a!J31</f>
        <v>0</v>
      </c>
      <c r="AK46" s="20">
        <f>Oil_Table_3a!AB31</f>
        <v>0</v>
      </c>
      <c r="AL46" s="20">
        <f>Oil_Table_3a!AC31</f>
        <v>0</v>
      </c>
      <c r="AM46" s="20">
        <f>Oil_Table_3a!AD31</f>
        <v>0</v>
      </c>
      <c r="AN46" s="20">
        <f>Oil_Table_3a!AE31</f>
        <v>0</v>
      </c>
      <c r="AO46" s="20">
        <f>Oil_Table_3a!AF31-Oil_Table_3a!AJ31</f>
        <v>0</v>
      </c>
      <c r="AP46" s="20">
        <f>Oil_Table_3a!AG31-Oil_Table_3a!AK31</f>
        <v>0</v>
      </c>
      <c r="AQ46" s="20">
        <f>Gas_Table_2a!E26</f>
        <v>0</v>
      </c>
      <c r="AR46" s="20">
        <f>Ren_Table_2a!G37</f>
        <v>0</v>
      </c>
      <c r="AS46" s="20">
        <f>Ren_Table_2a!H37</f>
        <v>0</v>
      </c>
      <c r="AT46" s="20">
        <f>Ren_Table_2a!I37</f>
        <v>0</v>
      </c>
      <c r="AU46" s="20">
        <f>Ren_Table_2a!J37</f>
        <v>0</v>
      </c>
      <c r="AV46" s="20">
        <f>Ren_Table_2a!L37</f>
        <v>0</v>
      </c>
      <c r="AW46" s="20">
        <f>ROUND(Oil_Table_3a!L31+Ren_Table_2a!M37,3)</f>
        <v>0</v>
      </c>
      <c r="AX46" s="20">
        <f>ROUND(Oil_Table_3a!Q31+Ren_Table_2a!O37,3)</f>
        <v>0</v>
      </c>
      <c r="AY46" s="20">
        <f>ROUND(Oil_Table_3a!W31+Ren_Table_2a!P37,3)</f>
        <v>0</v>
      </c>
      <c r="AZ46" s="20">
        <f>ROUND(Ren_Table_2a!Q37,3)</f>
        <v>0</v>
      </c>
      <c r="BA46" s="20"/>
      <c r="BB46" s="20">
        <f>Ren_Table_2a!K37</f>
        <v>0</v>
      </c>
      <c r="BC46" s="20"/>
      <c r="BD46" s="20"/>
      <c r="BE46" s="20">
        <f>Ren_Table_2a!E37</f>
        <v>0</v>
      </c>
      <c r="BF46" s="20"/>
      <c r="BG46" s="20">
        <f>Ren_Table_2a!F37</f>
        <v>0</v>
      </c>
      <c r="BH46" s="20"/>
      <c r="BI46" s="20"/>
      <c r="BJ46" s="20"/>
      <c r="BK46" s="20"/>
      <c r="BL46" s="20"/>
      <c r="BM46" s="20"/>
      <c r="BN46" s="20">
        <f>Ele_Table_4!E12</f>
        <v>0</v>
      </c>
      <c r="BO46" s="20">
        <f>Ele_Table_4!F12</f>
        <v>0</v>
      </c>
      <c r="BP46" s="590"/>
    </row>
    <row r="47" spans="1:68" x14ac:dyDescent="0.2">
      <c r="A47" s="589" t="s">
        <v>1117</v>
      </c>
      <c r="B47" s="20" t="s">
        <v>1116</v>
      </c>
      <c r="C47" s="20"/>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f>Ren_Table_2a!G30</f>
        <v>0</v>
      </c>
      <c r="AS47" s="20">
        <f>Ren_Table_2a!H30</f>
        <v>0</v>
      </c>
      <c r="AT47" s="20">
        <f>Ren_Table_2a!I30</f>
        <v>0</v>
      </c>
      <c r="AU47" s="20">
        <f>Ren_Table_2a!J30</f>
        <v>0</v>
      </c>
      <c r="AV47" s="20">
        <f>Ren_Table_2a!L30</f>
        <v>0</v>
      </c>
      <c r="AW47" s="20">
        <f>ROUND(+Ren_Table_2a!M30,3)</f>
        <v>0</v>
      </c>
      <c r="AX47" s="20">
        <f>ROUND(+Ren_Table_2a!O30,3)</f>
        <v>0</v>
      </c>
      <c r="AY47" s="20">
        <f>ROUND(+Ren_Table_2a!P30,3)</f>
        <v>0</v>
      </c>
      <c r="AZ47" s="20">
        <f>ROUND(+Ren_Table_2a!Q30,3)</f>
        <v>0</v>
      </c>
      <c r="BA47" s="20"/>
      <c r="BB47" s="20">
        <f>Ren_Table_2a!K30</f>
        <v>0</v>
      </c>
      <c r="BC47" s="20"/>
      <c r="BD47" s="20"/>
      <c r="BE47" s="20">
        <f>Ren_Table_2a!E30</f>
        <v>0</v>
      </c>
      <c r="BF47" s="20"/>
      <c r="BG47" s="20">
        <f>Ren_Table_2a!F30</f>
        <v>0</v>
      </c>
      <c r="BH47" s="20"/>
      <c r="BI47" s="20"/>
      <c r="BJ47" s="20"/>
      <c r="BK47" s="20"/>
      <c r="BL47" s="20"/>
      <c r="BM47" s="20"/>
      <c r="BN47" s="20">
        <f>Ele_Table_4!E18</f>
        <v>0</v>
      </c>
      <c r="BO47" s="20">
        <f>Ele_Table_4!F18</f>
        <v>0</v>
      </c>
      <c r="BP47" s="590"/>
    </row>
    <row r="48" spans="1:68" x14ac:dyDescent="0.2">
      <c r="A48" s="589" t="s">
        <v>1018</v>
      </c>
      <c r="B48" s="20" t="s">
        <v>1123</v>
      </c>
      <c r="C48" s="20">
        <f>Coal_Table_1!E47</f>
        <v>0</v>
      </c>
      <c r="D48" s="20">
        <f>Coal_Table_1!F47</f>
        <v>0</v>
      </c>
      <c r="E48" s="20">
        <f>Coal_Table_1!G47</f>
        <v>0</v>
      </c>
      <c r="F48" s="20">
        <f>Coal_Table_1!H47</f>
        <v>0</v>
      </c>
      <c r="G48" s="20">
        <f>Coal_Table_1!I47</f>
        <v>0</v>
      </c>
      <c r="H48" s="20">
        <f>Coal_Table_1!J47</f>
        <v>0</v>
      </c>
      <c r="I48" s="20">
        <f>Coal_Table_1!K47</f>
        <v>0</v>
      </c>
      <c r="J48" s="20">
        <f>Coal_Table_1!L47</f>
        <v>0</v>
      </c>
      <c r="K48" s="20">
        <f>Coal_Table_1!M47</f>
        <v>0</v>
      </c>
      <c r="L48" s="20">
        <f>Coal_Table_1!N47</f>
        <v>0</v>
      </c>
      <c r="M48" s="20">
        <f>Coal_Table_1!O47</f>
        <v>0</v>
      </c>
      <c r="N48" s="20">
        <f>Coal_Table_1!P47</f>
        <v>0</v>
      </c>
      <c r="O48" s="20">
        <f>Coal_Table_1!Q47</f>
        <v>0</v>
      </c>
      <c r="P48" s="20">
        <f>Coal_Table_1!R47</f>
        <v>0</v>
      </c>
      <c r="Q48" s="20"/>
      <c r="R48" s="20">
        <f>Coal_Table_1!S47</f>
        <v>0</v>
      </c>
      <c r="S48" s="20">
        <f>Coal_Table_1!T47</f>
        <v>0</v>
      </c>
      <c r="T48" s="20">
        <f>Coal_Table_1!U47</f>
        <v>0</v>
      </c>
      <c r="U48" s="20">
        <f>Oil_Table_3a!E30</f>
        <v>0</v>
      </c>
      <c r="V48" s="20">
        <f>Oil_Table_3a!F30</f>
        <v>0</v>
      </c>
      <c r="W48" s="20"/>
      <c r="X48" s="20"/>
      <c r="Y48" s="20"/>
      <c r="Z48" s="20">
        <f>Oil_Table_3a!G30</f>
        <v>0</v>
      </c>
      <c r="AA48" s="20">
        <f>Oil_Table_3a!H30</f>
        <v>0</v>
      </c>
      <c r="AB48" s="20">
        <f>Oil_Table_3a!I30</f>
        <v>0</v>
      </c>
      <c r="AC48" s="20">
        <f>(Oil_Table_3a!M30)</f>
        <v>0</v>
      </c>
      <c r="AD48" s="20">
        <f>Oil_Table_3a!N30</f>
        <v>0</v>
      </c>
      <c r="AE48" s="20">
        <f>Oil_Table_3a!O30</f>
        <v>0</v>
      </c>
      <c r="AF48" s="20">
        <f>Oil_Table_3a!R30</f>
        <v>0</v>
      </c>
      <c r="AG48" s="20">
        <f>Oil_Table_3a!S30</f>
        <v>0</v>
      </c>
      <c r="AH48" s="20">
        <f>Oil_Table_3a!X30</f>
        <v>0</v>
      </c>
      <c r="AI48" s="20">
        <f>Oil_Table_3a!Y30</f>
        <v>0</v>
      </c>
      <c r="AJ48" s="20">
        <f>Oil_Table_3a!J30</f>
        <v>0</v>
      </c>
      <c r="AK48" s="20">
        <f>Oil_Table_3a!AB30</f>
        <v>0</v>
      </c>
      <c r="AL48" s="20">
        <f>Oil_Table_3a!AC30</f>
        <v>0</v>
      </c>
      <c r="AM48" s="20">
        <f>Oil_Table_3a!AD30</f>
        <v>0</v>
      </c>
      <c r="AN48" s="20">
        <f>Oil_Table_3a!AE30</f>
        <v>0</v>
      </c>
      <c r="AO48" s="20">
        <f>Oil_Table_3a!AF30-Oil_Table_3a!AJ30</f>
        <v>0</v>
      </c>
      <c r="AP48" s="20">
        <f>Oil_Table_3a!AG30-Oil_Table_3a!AK30</f>
        <v>0</v>
      </c>
      <c r="AQ48" s="20">
        <f>Gas_Table_2a!E25</f>
        <v>0</v>
      </c>
      <c r="AR48" s="20">
        <f>Ren_Table_2a!G38</f>
        <v>0</v>
      </c>
      <c r="AS48" s="20">
        <f>Ren_Table_2a!H38</f>
        <v>0</v>
      </c>
      <c r="AT48" s="20">
        <f>Ren_Table_2a!I38</f>
        <v>0</v>
      </c>
      <c r="AU48" s="20">
        <f>Ren_Table_2a!J38</f>
        <v>0</v>
      </c>
      <c r="AV48" s="20">
        <f>Ren_Table_2a!L38</f>
        <v>0</v>
      </c>
      <c r="AW48" s="20">
        <f>ROUND(Oil_Table_3a!L30+Ren_Table_2a!M38,3)</f>
        <v>0</v>
      </c>
      <c r="AX48" s="20">
        <f>ROUND(Oil_Table_3a!Q30+Ren_Table_2a!O38,3)</f>
        <v>0</v>
      </c>
      <c r="AY48" s="20">
        <f>ROUND(Oil_Table_3a!W30+Ren_Table_2a!P38,3)</f>
        <v>0</v>
      </c>
      <c r="AZ48" s="20">
        <f>ROUND(Ren_Table_2a!Q38,3)</f>
        <v>0</v>
      </c>
      <c r="BA48" s="20"/>
      <c r="BB48" s="20">
        <f>Ren_Table_2a!K38</f>
        <v>0</v>
      </c>
      <c r="BC48" s="20"/>
      <c r="BD48" s="20"/>
      <c r="BE48" s="20">
        <f>Ren_Table_2a!E38</f>
        <v>0</v>
      </c>
      <c r="BF48" s="20"/>
      <c r="BG48" s="20">
        <f>Ren_Table_2a!F38</f>
        <v>0</v>
      </c>
      <c r="BH48" s="20"/>
      <c r="BI48" s="20"/>
      <c r="BJ48" s="20"/>
      <c r="BK48" s="20"/>
      <c r="BL48" s="20"/>
      <c r="BM48" s="20"/>
      <c r="BN48" s="20">
        <f>Ele_Table_4!E13</f>
        <v>0</v>
      </c>
      <c r="BO48" s="20">
        <f>Ele_Table_4!F13</f>
        <v>0</v>
      </c>
      <c r="BP48" s="590"/>
    </row>
    <row r="49" spans="1:68" x14ac:dyDescent="0.2">
      <c r="A49" s="589" t="s">
        <v>1031</v>
      </c>
      <c r="B49" s="20" t="s">
        <v>1127</v>
      </c>
      <c r="C49" s="20">
        <f>Coal_Table_1!E45</f>
        <v>0</v>
      </c>
      <c r="D49" s="20">
        <f>Coal_Table_1!F45</f>
        <v>0</v>
      </c>
      <c r="E49" s="20">
        <f>Coal_Table_1!G45</f>
        <v>0</v>
      </c>
      <c r="F49" s="20">
        <f>Coal_Table_1!H45</f>
        <v>0</v>
      </c>
      <c r="G49" s="20">
        <f>Coal_Table_1!I45</f>
        <v>0</v>
      </c>
      <c r="H49" s="20">
        <f>Coal_Table_1!J45</f>
        <v>0</v>
      </c>
      <c r="I49" s="20">
        <f>Coal_Table_1!K45</f>
        <v>0</v>
      </c>
      <c r="J49" s="20">
        <f>Coal_Table_1!L45</f>
        <v>0</v>
      </c>
      <c r="K49" s="20">
        <f>Coal_Table_1!M45</f>
        <v>0</v>
      </c>
      <c r="L49" s="20">
        <f>Coal_Table_1!N45</f>
        <v>0</v>
      </c>
      <c r="M49" s="20">
        <f>Coal_Table_1!O45</f>
        <v>0</v>
      </c>
      <c r="N49" s="20">
        <f>Coal_Table_1!P45</f>
        <v>0</v>
      </c>
      <c r="O49" s="20">
        <f>Coal_Table_1!Q45</f>
        <v>0</v>
      </c>
      <c r="P49" s="20">
        <f>Coal_Table_1!R45</f>
        <v>0</v>
      </c>
      <c r="Q49" s="20"/>
      <c r="R49" s="20">
        <f>Coal_Table_1!S45</f>
        <v>0</v>
      </c>
      <c r="S49" s="20">
        <f>Coal_Table_1!T45</f>
        <v>0</v>
      </c>
      <c r="T49" s="20">
        <f>Coal_Table_1!U45</f>
        <v>0</v>
      </c>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f>Ren_Table_2a!G36</f>
        <v>0</v>
      </c>
      <c r="AS49" s="20">
        <f>Ren_Table_2a!H36</f>
        <v>0</v>
      </c>
      <c r="AT49" s="20">
        <f>Ren_Table_2a!I36</f>
        <v>0</v>
      </c>
      <c r="AU49" s="20">
        <f>Ren_Table_2a!J36</f>
        <v>0</v>
      </c>
      <c r="AV49" s="20">
        <f>Ren_Table_2a!L36</f>
        <v>0</v>
      </c>
      <c r="AW49" s="20">
        <f>ROUND(+Ren_Table_2a!M36,3)</f>
        <v>0</v>
      </c>
      <c r="AX49" s="20">
        <f>ROUND(+Ren_Table_2a!O36,3)</f>
        <v>0</v>
      </c>
      <c r="AY49" s="20">
        <f>ROUND(+Ren_Table_2a!P36,3)</f>
        <v>0</v>
      </c>
      <c r="AZ49" s="20">
        <f>ROUND(+Ren_Table_2a!Q36,3)</f>
        <v>0</v>
      </c>
      <c r="BA49" s="20"/>
      <c r="BB49" s="20">
        <f>Ren_Table_2a!K36</f>
        <v>0</v>
      </c>
      <c r="BC49" s="20"/>
      <c r="BD49" s="20"/>
      <c r="BE49" s="20">
        <f>Ren_Table_2a!E36</f>
        <v>0</v>
      </c>
      <c r="BF49" s="20"/>
      <c r="BG49" s="20">
        <f>Ren_Table_2a!F36</f>
        <v>0</v>
      </c>
      <c r="BH49" s="20"/>
      <c r="BI49" s="20"/>
      <c r="BJ49" s="20"/>
      <c r="BK49" s="20"/>
      <c r="BL49" s="20"/>
      <c r="BM49" s="20"/>
      <c r="BN49" s="20">
        <f>Ele_Table_4!E11</f>
        <v>0</v>
      </c>
      <c r="BO49" s="20">
        <f>Ele_Table_4!F11</f>
        <v>0</v>
      </c>
      <c r="BP49" s="590"/>
    </row>
    <row r="50" spans="1:68" x14ac:dyDescent="0.2">
      <c r="A50" s="589" t="s">
        <v>1038</v>
      </c>
      <c r="B50" s="20" t="s">
        <v>1132</v>
      </c>
      <c r="C50" s="20">
        <f>Coal_Table_1!E48</f>
        <v>0</v>
      </c>
      <c r="D50" s="20">
        <f>Coal_Table_1!F48</f>
        <v>0</v>
      </c>
      <c r="E50" s="20">
        <f>Coal_Table_1!G48</f>
        <v>0</v>
      </c>
      <c r="F50" s="20">
        <f>Coal_Table_1!H48</f>
        <v>0</v>
      </c>
      <c r="G50" s="20">
        <f>Coal_Table_1!I48</f>
        <v>0</v>
      </c>
      <c r="H50" s="20">
        <f>Coal_Table_1!J48</f>
        <v>0</v>
      </c>
      <c r="I50" s="20">
        <f>Coal_Table_1!K48</f>
        <v>0</v>
      </c>
      <c r="J50" s="20">
        <f>Coal_Table_1!L48</f>
        <v>0</v>
      </c>
      <c r="K50" s="20">
        <f>Coal_Table_1!M48</f>
        <v>0</v>
      </c>
      <c r="L50" s="20">
        <f>Coal_Table_1!N48</f>
        <v>0</v>
      </c>
      <c r="M50" s="20">
        <f>Coal_Table_1!O48</f>
        <v>0</v>
      </c>
      <c r="N50" s="20">
        <f>Coal_Table_1!P48</f>
        <v>0</v>
      </c>
      <c r="O50" s="20">
        <f>Coal_Table_1!Q48</f>
        <v>0</v>
      </c>
      <c r="P50" s="20">
        <f>Coal_Table_1!R48</f>
        <v>0</v>
      </c>
      <c r="Q50" s="20"/>
      <c r="R50" s="20">
        <f>Coal_Table_1!S48</f>
        <v>0</v>
      </c>
      <c r="S50" s="20">
        <f>Coal_Table_1!T48</f>
        <v>0</v>
      </c>
      <c r="T50" s="20">
        <f>Coal_Table_1!U48</f>
        <v>0</v>
      </c>
      <c r="U50" s="20"/>
      <c r="V50" s="20"/>
      <c r="W50" s="20"/>
      <c r="X50" s="20"/>
      <c r="Y50" s="20"/>
      <c r="Z50" s="626">
        <f>Oil_Table_2a!G14-(Oil_Table_2a!G28+Oil_Table_2a!G29+Oil_Table_2a!G30)</f>
        <v>0</v>
      </c>
      <c r="AA50" s="626">
        <f>Oil_Table_2a!H14-(Oil_Table_2a!H28+Oil_Table_2a!H29+Oil_Table_2a!H30)</f>
        <v>0</v>
      </c>
      <c r="AB50" s="626">
        <f>Oil_Table_2a!I14-(Oil_Table_2a!I28+Oil_Table_2a!I29+Oil_Table_2a!I30)</f>
        <v>0</v>
      </c>
      <c r="AC50" s="626">
        <f>Oil_Table_2a!M14-(Oil_Table_2a!M28+Oil_Table_2a!M29+Oil_Table_2a!M30)</f>
        <v>0</v>
      </c>
      <c r="AD50" s="626">
        <f>Oil_Table_2a!N14-(Oil_Table_2a!N28+Oil_Table_2a!N29+Oil_Table_2a!N30)</f>
        <v>0</v>
      </c>
      <c r="AE50" s="626">
        <f>Oil_Table_2a!O14-(Oil_Table_2a!O28+Oil_Table_2a!O29+Oil_Table_2a!O30)</f>
        <v>0</v>
      </c>
      <c r="AF50" s="626">
        <f>Oil_Table_2a!R14-(Oil_Table_2a!R28+Oil_Table_2a!R29+Oil_Table_2a!R30)</f>
        <v>0</v>
      </c>
      <c r="AG50" s="626">
        <f>Oil_Table_2a!S14-(Oil_Table_2a!S28+Oil_Table_2a!S29+Oil_Table_2a!S30)</f>
        <v>0</v>
      </c>
      <c r="AH50" s="626">
        <f>Oil_Table_2a!X14-(Oil_Table_2a!X28+Oil_Table_2a!X29+Oil_Table_2a!X30)</f>
        <v>0</v>
      </c>
      <c r="AI50" s="626">
        <f>Oil_Table_2a!Y14-(Oil_Table_2a!Y28+Oil_Table_2a!Y29+Oil_Table_2a!Y30)</f>
        <v>0</v>
      </c>
      <c r="AJ50" s="626">
        <f>Oil_Table_2a!J14-(Oil_Table_2a!J28+Oil_Table_2a!J29+Oil_Table_2a!J30)</f>
        <v>0</v>
      </c>
      <c r="AK50" s="626">
        <f>Oil_Table_2a!AB14-(Oil_Table_2a!AB28+Oil_Table_2a!AB29+Oil_Table_2a!AB30)</f>
        <v>0</v>
      </c>
      <c r="AL50" s="626">
        <f>Oil_Table_2a!AC14-(Oil_Table_2a!AC28+Oil_Table_2a!AC29+Oil_Table_2a!AC30)</f>
        <v>0</v>
      </c>
      <c r="AM50" s="626">
        <f>Oil_Table_2a!AD14-(Oil_Table_2a!AD28+Oil_Table_2a!AD29+Oil_Table_2a!AD30)</f>
        <v>0</v>
      </c>
      <c r="AN50" s="626">
        <f>Oil_Table_2a!AE14-(Oil_Table_2a!AE28+Oil_Table_2a!AE29+Oil_Table_2a!AE30)</f>
        <v>0</v>
      </c>
      <c r="AO50" s="626">
        <f>Oil_Table_2a!AF14-(Oil_Table_2a!AF28+Oil_Table_2a!AF29+Oil_Table_2a!AF30)</f>
        <v>0</v>
      </c>
      <c r="AP50" s="626">
        <f>Oil_Table_2a!AG14-(Oil_Table_2a!AG28+Oil_Table_2a!AG29+Oil_Table_2a!AG30)</f>
        <v>0</v>
      </c>
      <c r="AQ50" s="20">
        <f>Gas_Table_2a!E23</f>
        <v>0</v>
      </c>
      <c r="AR50" s="20">
        <f>Ren_Table_2a!G35</f>
        <v>0</v>
      </c>
      <c r="AS50" s="20">
        <f>Ren_Table_2a!H35</f>
        <v>0</v>
      </c>
      <c r="AT50" s="20">
        <f>Ren_Table_2a!I35</f>
        <v>0</v>
      </c>
      <c r="AU50" s="20">
        <f>Ren_Table_2a!J35</f>
        <v>0</v>
      </c>
      <c r="AV50" s="20">
        <f>Ren_Table_2a!L35</f>
        <v>0</v>
      </c>
      <c r="AW50" s="626">
        <f>ROUND(Oil_Table_2a!L28+Oil_Table_2a!L29+Ren_Table_2a!M35,3)</f>
        <v>0</v>
      </c>
      <c r="AX50" s="626">
        <f>ROUND(Oil_Table_2a!Q28+Oil_Table_2a!Q29+Ren_Table_2a!O35,3)</f>
        <v>0</v>
      </c>
      <c r="AY50" s="626">
        <f>ROUND(Oil_Table_2a!W28+Oil_Table_2a!W29+Ren_Table_2a!P35,3)</f>
        <v>0</v>
      </c>
      <c r="AZ50" s="20">
        <f>ROUND(Ren_Table_2a!Q35,3)</f>
        <v>0</v>
      </c>
      <c r="BA50" s="20"/>
      <c r="BB50" s="20">
        <f>Ren_Table_2a!K35</f>
        <v>0</v>
      </c>
      <c r="BC50" s="20"/>
      <c r="BD50" s="20"/>
      <c r="BE50" s="20">
        <f>Ren_Table_2a!E35</f>
        <v>0</v>
      </c>
      <c r="BF50" s="20"/>
      <c r="BG50" s="20">
        <f>Ren_Table_2a!F35</f>
        <v>0</v>
      </c>
      <c r="BH50" s="20"/>
      <c r="BI50" s="20"/>
      <c r="BJ50" s="20"/>
      <c r="BK50" s="20"/>
      <c r="BL50" s="20"/>
      <c r="BM50" s="20"/>
      <c r="BN50" s="20">
        <f>Ele_Table_4!E14</f>
        <v>0</v>
      </c>
      <c r="BO50" s="20">
        <f>Ele_Table_4!F14</f>
        <v>0</v>
      </c>
      <c r="BP50" s="590"/>
    </row>
    <row r="51" spans="1:68" x14ac:dyDescent="0.2">
      <c r="A51" s="589" t="s">
        <v>1045</v>
      </c>
      <c r="B51" s="20" t="s">
        <v>1137</v>
      </c>
      <c r="C51" s="20">
        <f>Coal_Table_1!E49</f>
        <v>0</v>
      </c>
      <c r="D51" s="20">
        <f>Coal_Table_1!F49</f>
        <v>0</v>
      </c>
      <c r="E51" s="20">
        <f>Coal_Table_1!G49</f>
        <v>0</v>
      </c>
      <c r="F51" s="20">
        <f>Coal_Table_1!H49</f>
        <v>0</v>
      </c>
      <c r="G51" s="20">
        <f>Coal_Table_1!I49</f>
        <v>0</v>
      </c>
      <c r="H51" s="20">
        <f>Coal_Table_1!J49</f>
        <v>0</v>
      </c>
      <c r="I51" s="20">
        <f>Coal_Table_1!K49</f>
        <v>0</v>
      </c>
      <c r="J51" s="20">
        <f>Coal_Table_1!L49</f>
        <v>0</v>
      </c>
      <c r="K51" s="20">
        <f>Coal_Table_1!M49</f>
        <v>0</v>
      </c>
      <c r="L51" s="20">
        <f>Coal_Table_1!N49</f>
        <v>0</v>
      </c>
      <c r="M51" s="20">
        <f>Coal_Table_1!O49</f>
        <v>0</v>
      </c>
      <c r="N51" s="20">
        <f>Coal_Table_1!P49</f>
        <v>0</v>
      </c>
      <c r="O51" s="20">
        <f>Coal_Table_1!Q49</f>
        <v>0</v>
      </c>
      <c r="P51" s="20">
        <f>Coal_Table_1!R49</f>
        <v>0</v>
      </c>
      <c r="Q51" s="20"/>
      <c r="R51" s="20">
        <f>Coal_Table_1!S49</f>
        <v>0</v>
      </c>
      <c r="S51" s="20">
        <f>Coal_Table_1!T49</f>
        <v>0</v>
      </c>
      <c r="T51" s="20">
        <f>Coal_Table_1!U49</f>
        <v>0</v>
      </c>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f>Ele_Table_4!E16</f>
        <v>0</v>
      </c>
      <c r="BO51" s="20">
        <f>Ele_Table_4!F16</f>
        <v>0</v>
      </c>
      <c r="BP51" s="590"/>
    </row>
    <row r="52" spans="1:68" x14ac:dyDescent="0.2">
      <c r="A52" s="589" t="s">
        <v>1144</v>
      </c>
      <c r="B52" s="20" t="s">
        <v>1143</v>
      </c>
      <c r="C52" s="20"/>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f>Gas_Table_2a!E28</f>
        <v>0</v>
      </c>
      <c r="AR52" s="20"/>
      <c r="AS52" s="20"/>
      <c r="AT52" s="20"/>
      <c r="AU52" s="20"/>
      <c r="AV52" s="20"/>
      <c r="AW52" s="20"/>
      <c r="AX52" s="20"/>
      <c r="AY52" s="20"/>
      <c r="AZ52" s="20"/>
      <c r="BA52" s="20"/>
      <c r="BB52" s="20"/>
      <c r="BC52" s="20"/>
      <c r="BD52" s="20"/>
      <c r="BE52" s="20"/>
      <c r="BF52" s="20"/>
      <c r="BG52" s="20"/>
      <c r="BH52" s="20"/>
      <c r="BI52" s="20"/>
      <c r="BJ52" s="20"/>
      <c r="BK52" s="20"/>
      <c r="BL52" s="20"/>
      <c r="BM52" s="20"/>
      <c r="BN52" s="20">
        <f>Ele_Table_4!E17</f>
        <v>0</v>
      </c>
      <c r="BO52" s="20">
        <f>Ele_Table_4!F17</f>
        <v>0</v>
      </c>
      <c r="BP52" s="590"/>
    </row>
    <row r="53" spans="1:68" x14ac:dyDescent="0.2">
      <c r="A53" s="589" t="s">
        <v>1052</v>
      </c>
      <c r="B53" s="20" t="s">
        <v>1150</v>
      </c>
      <c r="C53" s="20"/>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f>Gas_Table_2a!E29</f>
        <v>0</v>
      </c>
      <c r="AR53" s="20"/>
      <c r="AS53" s="20"/>
      <c r="AT53" s="20"/>
      <c r="AU53" s="20"/>
      <c r="AV53" s="20"/>
      <c r="AW53" s="20"/>
      <c r="AX53" s="20"/>
      <c r="AY53" s="20"/>
      <c r="AZ53" s="20"/>
      <c r="BA53" s="20"/>
      <c r="BB53" s="20"/>
      <c r="BC53" s="20"/>
      <c r="BD53" s="20"/>
      <c r="BE53" s="20"/>
      <c r="BF53" s="20"/>
      <c r="BG53" s="20"/>
      <c r="BH53" s="20"/>
      <c r="BI53" s="20"/>
      <c r="BJ53" s="20"/>
      <c r="BK53" s="20"/>
      <c r="BL53" s="20"/>
      <c r="BM53" s="20"/>
      <c r="BN53" s="20">
        <f>Ele_Table_4!E19</f>
        <v>0</v>
      </c>
      <c r="BO53" s="20">
        <f>Ele_Table_4!F19</f>
        <v>0</v>
      </c>
      <c r="BP53" s="590"/>
    </row>
    <row r="54" spans="1:68" x14ac:dyDescent="0.2">
      <c r="A54" s="589" t="s">
        <v>1156</v>
      </c>
      <c r="B54" s="20" t="s">
        <v>1155</v>
      </c>
      <c r="C54" s="20">
        <f>Coal_Table_1!E41</f>
        <v>0</v>
      </c>
      <c r="D54" s="20">
        <f>Coal_Table_1!F41</f>
        <v>0</v>
      </c>
      <c r="E54" s="20">
        <f>Coal_Table_1!G41</f>
        <v>0</v>
      </c>
      <c r="F54" s="20">
        <f>Coal_Table_1!H41</f>
        <v>0</v>
      </c>
      <c r="G54" s="20">
        <f>Coal_Table_1!I41</f>
        <v>0</v>
      </c>
      <c r="H54" s="20">
        <f>Coal_Table_1!J41</f>
        <v>0</v>
      </c>
      <c r="I54" s="20">
        <f>Coal_Table_1!K41</f>
        <v>0</v>
      </c>
      <c r="J54" s="20">
        <f>Coal_Table_1!L41</f>
        <v>0</v>
      </c>
      <c r="K54" s="20">
        <f>Coal_Table_1!M41</f>
        <v>0</v>
      </c>
      <c r="L54" s="20">
        <f>Coal_Table_1!N41</f>
        <v>0</v>
      </c>
      <c r="M54" s="20">
        <f>Coal_Table_1!O41</f>
        <v>0</v>
      </c>
      <c r="N54" s="20">
        <f>Coal_Table_1!P41</f>
        <v>0</v>
      </c>
      <c r="O54" s="20">
        <f>Coal_Table_1!Q41</f>
        <v>0</v>
      </c>
      <c r="P54" s="20">
        <f>Coal_Table_1!R41</f>
        <v>0</v>
      </c>
      <c r="Q54" s="20"/>
      <c r="R54" s="20">
        <f>Coal_Table_1!S41</f>
        <v>0</v>
      </c>
      <c r="S54" s="20">
        <f>Coal_Table_1!T41</f>
        <v>0</v>
      </c>
      <c r="T54" s="20">
        <f>Coal_Table_1!U41</f>
        <v>0</v>
      </c>
      <c r="U54" s="20">
        <f>Oil_Table_3a!E32</f>
        <v>0</v>
      </c>
      <c r="V54" s="20">
        <f>Oil_Table_3a!F32</f>
        <v>0</v>
      </c>
      <c r="W54" s="20"/>
      <c r="X54" s="20"/>
      <c r="Y54" s="20"/>
      <c r="Z54" s="20">
        <f>Oil_Table_3a!G32</f>
        <v>0</v>
      </c>
      <c r="AA54" s="20">
        <f>Oil_Table_3a!H32</f>
        <v>0</v>
      </c>
      <c r="AB54" s="20">
        <f>Oil_Table_3a!I32</f>
        <v>0</v>
      </c>
      <c r="AC54" s="20">
        <f>(Oil_Table_3a!M32)</f>
        <v>0</v>
      </c>
      <c r="AD54" s="20">
        <f>Oil_Table_3a!N32</f>
        <v>0</v>
      </c>
      <c r="AE54" s="20">
        <f>Oil_Table_3a!O32</f>
        <v>0</v>
      </c>
      <c r="AF54" s="20">
        <f>Oil_Table_3a!R32</f>
        <v>0</v>
      </c>
      <c r="AG54" s="20">
        <f>Oil_Table_3a!S32</f>
        <v>0</v>
      </c>
      <c r="AH54" s="20">
        <f>Oil_Table_3a!X32</f>
        <v>0</v>
      </c>
      <c r="AI54" s="20">
        <f>Oil_Table_3a!Y32</f>
        <v>0</v>
      </c>
      <c r="AJ54" s="20">
        <f>Oil_Table_3a!J32</f>
        <v>0</v>
      </c>
      <c r="AK54" s="20">
        <f>Oil_Table_3a!AB32</f>
        <v>0</v>
      </c>
      <c r="AL54" s="20">
        <f>Oil_Table_3a!AC32</f>
        <v>0</v>
      </c>
      <c r="AM54" s="20">
        <f>Oil_Table_3a!AD32</f>
        <v>0</v>
      </c>
      <c r="AN54" s="20">
        <f>Oil_Table_3a!AE32</f>
        <v>0</v>
      </c>
      <c r="AO54" s="20">
        <f>Oil_Table_3a!AF32-Oil_Table_3a!AJ32</f>
        <v>0</v>
      </c>
      <c r="AP54" s="20">
        <f>Oil_Table_3a!AG32-Oil_Table_3a!AK32</f>
        <v>0</v>
      </c>
      <c r="AQ54" s="20">
        <f>Gas_Table_2a!E27</f>
        <v>0</v>
      </c>
      <c r="AR54" s="20">
        <f>Ren_Table_2a!G31</f>
        <v>0</v>
      </c>
      <c r="AS54" s="20">
        <f>Ren_Table_2a!H31</f>
        <v>0</v>
      </c>
      <c r="AT54" s="20">
        <f>Ren_Table_2a!I31</f>
        <v>0</v>
      </c>
      <c r="AU54" s="20">
        <f>Ren_Table_2a!J31</f>
        <v>0</v>
      </c>
      <c r="AV54" s="20">
        <f>Ren_Table_2a!L31</f>
        <v>0</v>
      </c>
      <c r="AW54" s="20">
        <f>ROUND(Oil_Table_3a!L32+Ren_Table_2a!M31,3)</f>
        <v>0</v>
      </c>
      <c r="AX54" s="20">
        <f>ROUND(Oil_Table_3a!Q32+Ren_Table_2a!O31,3)</f>
        <v>0</v>
      </c>
      <c r="AY54" s="20">
        <f>ROUND(Oil_Table_3a!W32+Ren_Table_2a!P31,3)</f>
        <v>0</v>
      </c>
      <c r="AZ54" s="20">
        <f>ROUND(Ren_Table_2a!Q31,3)</f>
        <v>0</v>
      </c>
      <c r="BA54" s="20"/>
      <c r="BB54" s="20">
        <f>Ren_Table_2a!K31</f>
        <v>0</v>
      </c>
      <c r="BC54" s="20"/>
      <c r="BD54" s="20"/>
      <c r="BE54" s="20">
        <f>Ren_Table_2a!E31</f>
        <v>0</v>
      </c>
      <c r="BF54" s="20"/>
      <c r="BG54" s="20">
        <f>Ren_Table_2a!F31</f>
        <v>0</v>
      </c>
      <c r="BH54" s="20"/>
      <c r="BI54" s="20"/>
      <c r="BJ54" s="20"/>
      <c r="BK54" s="20"/>
      <c r="BL54" s="20"/>
      <c r="BM54" s="20"/>
      <c r="BN54" s="20">
        <f>Ele_Table_3!F7</f>
        <v>0</v>
      </c>
      <c r="BO54" s="20">
        <f>Ele_Table_3!G7</f>
        <v>0</v>
      </c>
      <c r="BP54" s="590"/>
    </row>
    <row r="55" spans="1:68" x14ac:dyDescent="0.2">
      <c r="A55" s="589" t="s">
        <v>1163</v>
      </c>
      <c r="B55" s="20" t="s">
        <v>1162</v>
      </c>
      <c r="C55" s="20"/>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f>Ele_Table_3!F13+Ele_Table_3!F14</f>
        <v>0</v>
      </c>
      <c r="BO55" s="20"/>
      <c r="BP55" s="590"/>
    </row>
    <row r="56" spans="1:68" x14ac:dyDescent="0.2">
      <c r="A56" s="589" t="s">
        <v>1170</v>
      </c>
      <c r="B56" s="20" t="s">
        <v>1169</v>
      </c>
      <c r="C56" s="20"/>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f>Ele_Table_4!E15</f>
        <v>0</v>
      </c>
      <c r="BO56" s="20">
        <f>Ele_Table_4!F15</f>
        <v>0</v>
      </c>
      <c r="BP56" s="590"/>
    </row>
    <row r="57" spans="1:68" x14ac:dyDescent="0.2">
      <c r="A57" s="589" t="s">
        <v>1066</v>
      </c>
      <c r="B57" s="20" t="s">
        <v>1176</v>
      </c>
      <c r="C57" s="20"/>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f>Ren_Table_2a!G39</f>
        <v>0</v>
      </c>
      <c r="AS57" s="20">
        <f>Ren_Table_2a!H39</f>
        <v>0</v>
      </c>
      <c r="AT57" s="20">
        <f>Ren_Table_2a!I39</f>
        <v>0</v>
      </c>
      <c r="AU57" s="20">
        <f>Ren_Table_2a!J39</f>
        <v>0</v>
      </c>
      <c r="AV57" s="20">
        <f>Ren_Table_2a!L39</f>
        <v>0</v>
      </c>
      <c r="AW57" s="20">
        <f>ROUND(+Ren_Table_2a!M39,3)</f>
        <v>0</v>
      </c>
      <c r="AX57" s="20">
        <f>ROUND(+Ren_Table_2a!O39,3)</f>
        <v>0</v>
      </c>
      <c r="AY57" s="20">
        <f>ROUND(+Ren_Table_2a!P39,3)</f>
        <v>0</v>
      </c>
      <c r="AZ57" s="20">
        <f>ROUND(+Ren_Table_2a!Q39,3)</f>
        <v>0</v>
      </c>
      <c r="BA57" s="20"/>
      <c r="BB57" s="20">
        <f>Ren_Table_2a!K39</f>
        <v>0</v>
      </c>
      <c r="BC57" s="20"/>
      <c r="BD57" s="20"/>
      <c r="BE57" s="20">
        <f>Ren_Table_2a!E39</f>
        <v>0</v>
      </c>
      <c r="BF57" s="20"/>
      <c r="BG57" s="20">
        <f>Ren_Table_2a!F39</f>
        <v>0</v>
      </c>
      <c r="BH57" s="20"/>
      <c r="BI57" s="20"/>
      <c r="BJ57" s="20"/>
      <c r="BK57" s="20"/>
      <c r="BL57" s="20"/>
      <c r="BM57" s="20"/>
      <c r="BN57" s="20">
        <f>Ele_Table_4!E20</f>
        <v>0</v>
      </c>
      <c r="BO57" s="20">
        <f>Ele_Table_4!F20</f>
        <v>0</v>
      </c>
      <c r="BP57" s="590"/>
    </row>
    <row r="58" spans="1:68" x14ac:dyDescent="0.2">
      <c r="A58" s="589" t="s">
        <v>7009</v>
      </c>
      <c r="B58" s="20" t="s">
        <v>1180</v>
      </c>
      <c r="C58" s="20">
        <f>Coal_Table_1!E50</f>
        <v>0</v>
      </c>
      <c r="D58" s="20">
        <f>Coal_Table_1!F50</f>
        <v>0</v>
      </c>
      <c r="E58" s="20">
        <f>Coal_Table_1!G50</f>
        <v>0</v>
      </c>
      <c r="F58" s="20">
        <f>Coal_Table_1!H50</f>
        <v>0</v>
      </c>
      <c r="G58" s="20">
        <f>Coal_Table_1!I50</f>
        <v>0</v>
      </c>
      <c r="H58" s="20">
        <f>Coal_Table_1!J50</f>
        <v>0</v>
      </c>
      <c r="I58" s="20">
        <f>Coal_Table_1!K50</f>
        <v>0</v>
      </c>
      <c r="J58" s="20">
        <f>Coal_Table_1!L50</f>
        <v>0</v>
      </c>
      <c r="K58" s="20">
        <f>Coal_Table_1!M50</f>
        <v>0</v>
      </c>
      <c r="L58" s="20">
        <f>Coal_Table_1!N50</f>
        <v>0</v>
      </c>
      <c r="M58" s="20">
        <f>Coal_Table_1!O50</f>
        <v>0</v>
      </c>
      <c r="N58" s="20">
        <f>Coal_Table_1!P50</f>
        <v>0</v>
      </c>
      <c r="O58" s="20">
        <f>Coal_Table_1!Q50</f>
        <v>0</v>
      </c>
      <c r="P58" s="20">
        <f>Coal_Table_1!R50</f>
        <v>0</v>
      </c>
      <c r="Q58" s="20"/>
      <c r="R58" s="20">
        <f>Coal_Table_1!S50</f>
        <v>0</v>
      </c>
      <c r="S58" s="20">
        <f>Coal_Table_1!T50</f>
        <v>0</v>
      </c>
      <c r="T58" s="20">
        <f>Coal_Table_1!U50</f>
        <v>0</v>
      </c>
      <c r="U58" s="20">
        <f>Oil_Table_3a!E33</f>
        <v>0</v>
      </c>
      <c r="V58" s="20">
        <f>Oil_Table_3a!F33</f>
        <v>0</v>
      </c>
      <c r="W58" s="20"/>
      <c r="X58" s="20"/>
      <c r="Y58" s="20"/>
      <c r="Z58" s="20">
        <f>Oil_Table_3a!G33</f>
        <v>0</v>
      </c>
      <c r="AA58" s="20">
        <f>Oil_Table_3a!H33</f>
        <v>0</v>
      </c>
      <c r="AB58" s="20">
        <f>Oil_Table_3a!I33</f>
        <v>0</v>
      </c>
      <c r="AC58" s="20">
        <f>(Oil_Table_3a!M33)</f>
        <v>0</v>
      </c>
      <c r="AD58" s="20">
        <f>Oil_Table_3a!N33</f>
        <v>0</v>
      </c>
      <c r="AE58" s="20">
        <f>Oil_Table_3a!O33</f>
        <v>0</v>
      </c>
      <c r="AF58" s="20">
        <f>Oil_Table_3a!R33</f>
        <v>0</v>
      </c>
      <c r="AG58" s="20">
        <f>Oil_Table_3a!S33</f>
        <v>0</v>
      </c>
      <c r="AH58" s="20">
        <f>Oil_Table_3a!X33</f>
        <v>0</v>
      </c>
      <c r="AI58" s="20">
        <f>Oil_Table_3a!Y33</f>
        <v>0</v>
      </c>
      <c r="AJ58" s="20">
        <f>Oil_Table_3a!J33</f>
        <v>0</v>
      </c>
      <c r="AK58" s="20">
        <f>Oil_Table_3a!AB33</f>
        <v>0</v>
      </c>
      <c r="AL58" s="20">
        <f>Oil_Table_3a!AC33</f>
        <v>0</v>
      </c>
      <c r="AM58" s="20">
        <f>Oil_Table_3a!AD33</f>
        <v>0</v>
      </c>
      <c r="AN58" s="20">
        <f>Oil_Table_3a!AE33</f>
        <v>0</v>
      </c>
      <c r="AO58" s="20">
        <f>Oil_Table_3a!AF33-Oil_Table_3a!AJ33</f>
        <v>0</v>
      </c>
      <c r="AP58" s="20">
        <f>Oil_Table_3a!AG33-Oil_Table_3a!AK33</f>
        <v>0</v>
      </c>
      <c r="AQ58" s="20">
        <f>Gas_Table_2a!E31</f>
        <v>0</v>
      </c>
      <c r="AR58" s="20">
        <f>Ren_Table_2a!G40</f>
        <v>0</v>
      </c>
      <c r="AS58" s="20">
        <f>Ren_Table_2a!H40</f>
        <v>0</v>
      </c>
      <c r="AT58" s="20">
        <f>Ren_Table_2a!I40</f>
        <v>0</v>
      </c>
      <c r="AU58" s="20">
        <f>Ren_Table_2a!J40</f>
        <v>0</v>
      </c>
      <c r="AV58" s="20">
        <f>Ren_Table_2a!L40</f>
        <v>0</v>
      </c>
      <c r="AW58" s="20">
        <f>ROUND(Oil_Table_3a!L33+Ren_Table_2a!M40,3)</f>
        <v>0</v>
      </c>
      <c r="AX58" s="20">
        <f>ROUND(Oil_Table_3a!Q33+Ren_Table_2a!O40,3)</f>
        <v>0</v>
      </c>
      <c r="AY58" s="20">
        <f>ROUND(Oil_Table_3a!W33+Ren_Table_2a!P40,3)</f>
        <v>0</v>
      </c>
      <c r="AZ58" s="20">
        <f>ROUND(Ren_Table_2a!Q40,3)</f>
        <v>0</v>
      </c>
      <c r="BA58" s="20"/>
      <c r="BB58" s="20">
        <f>Ren_Table_2a!K40</f>
        <v>0</v>
      </c>
      <c r="BC58" s="20"/>
      <c r="BD58" s="20"/>
      <c r="BE58" s="20">
        <f>Ren_Table_2a!E40</f>
        <v>0</v>
      </c>
      <c r="BF58" s="20"/>
      <c r="BG58" s="20">
        <f>Ren_Table_2a!F40</f>
        <v>0</v>
      </c>
      <c r="BH58" s="20"/>
      <c r="BI58" s="20"/>
      <c r="BJ58" s="20"/>
      <c r="BK58" s="20"/>
      <c r="BL58" s="20"/>
      <c r="BM58" s="20"/>
      <c r="BN58" s="20">
        <f>Ele_Table_4!E21</f>
        <v>0</v>
      </c>
      <c r="BO58" s="20">
        <f>Ele_Table_4!F21</f>
        <v>0</v>
      </c>
      <c r="BP58" s="590"/>
    </row>
    <row r="59" spans="1:68" x14ac:dyDescent="0.2">
      <c r="A59" s="589" t="s">
        <v>1188</v>
      </c>
      <c r="B59" s="20" t="s">
        <v>1187</v>
      </c>
      <c r="C59" s="20">
        <f>Coal_Table_1!E52</f>
        <v>0</v>
      </c>
      <c r="D59" s="20">
        <f>Coal_Table_1!F52</f>
        <v>0</v>
      </c>
      <c r="E59" s="20">
        <f>Coal_Table_1!G52</f>
        <v>0</v>
      </c>
      <c r="F59" s="20">
        <f>Coal_Table_1!H52</f>
        <v>0</v>
      </c>
      <c r="G59" s="20">
        <f>Coal_Table_1!I52</f>
        <v>0</v>
      </c>
      <c r="H59" s="20">
        <f>Coal_Table_1!J52</f>
        <v>0</v>
      </c>
      <c r="I59" s="20">
        <f>Coal_Table_1!K52</f>
        <v>0</v>
      </c>
      <c r="J59" s="20">
        <f>Coal_Table_1!L52</f>
        <v>0</v>
      </c>
      <c r="K59" s="20">
        <f>Coal_Table_1!M52</f>
        <v>0</v>
      </c>
      <c r="L59" s="20">
        <f>Coal_Table_1!N52</f>
        <v>0</v>
      </c>
      <c r="M59" s="20">
        <f>Coal_Table_1!O52</f>
        <v>0</v>
      </c>
      <c r="N59" s="20">
        <f>Coal_Table_1!P52</f>
        <v>0</v>
      </c>
      <c r="O59" s="20">
        <f>Coal_Table_1!Q52</f>
        <v>0</v>
      </c>
      <c r="P59" s="20">
        <f>Coal_Table_1!R52</f>
        <v>0</v>
      </c>
      <c r="Q59" s="20"/>
      <c r="R59" s="20">
        <f>Coal_Table_1!S52</f>
        <v>0</v>
      </c>
      <c r="S59" s="20">
        <f>Coal_Table_1!T52</f>
        <v>0</v>
      </c>
      <c r="T59" s="20">
        <f>Coal_Table_1!U52</f>
        <v>0</v>
      </c>
      <c r="U59" s="20">
        <f>Oil_Table_3a!E34</f>
        <v>0</v>
      </c>
      <c r="V59" s="20">
        <f>Oil_Table_3a!F34</f>
        <v>0</v>
      </c>
      <c r="W59" s="20"/>
      <c r="X59" s="20"/>
      <c r="Y59" s="20"/>
      <c r="Z59" s="20">
        <f>Oil_Table_3a!G34</f>
        <v>0</v>
      </c>
      <c r="AA59" s="20">
        <f>Oil_Table_3a!H34</f>
        <v>0</v>
      </c>
      <c r="AB59" s="20">
        <f>Oil_Table_3a!I34</f>
        <v>0</v>
      </c>
      <c r="AC59" s="20">
        <f>Oil_Table_3a!M34</f>
        <v>0</v>
      </c>
      <c r="AD59" s="20">
        <f>Oil_Table_3a!N34</f>
        <v>0</v>
      </c>
      <c r="AE59" s="20">
        <f>Oil_Table_3a!O34</f>
        <v>0</v>
      </c>
      <c r="AF59" s="20">
        <f>Oil_Table_3a!R34</f>
        <v>0</v>
      </c>
      <c r="AG59" s="20">
        <f>Oil_Table_3a!S34</f>
        <v>0</v>
      </c>
      <c r="AH59" s="20">
        <f>Oil_Table_3a!X34</f>
        <v>0</v>
      </c>
      <c r="AI59" s="20">
        <f>Oil_Table_3a!Y34</f>
        <v>0</v>
      </c>
      <c r="AJ59" s="20">
        <f>Oil_Table_3a!J34</f>
        <v>0</v>
      </c>
      <c r="AK59" s="20">
        <f>Oil_Table_3a!AB34</f>
        <v>0</v>
      </c>
      <c r="AL59" s="20">
        <f>Oil_Table_3a!AC34</f>
        <v>0</v>
      </c>
      <c r="AM59" s="20">
        <f>Oil_Table_3a!AD34</f>
        <v>0</v>
      </c>
      <c r="AN59" s="20">
        <f>Oil_Table_3a!AE34</f>
        <v>0</v>
      </c>
      <c r="AO59" s="20">
        <f>Oil_Table_3a!AF34-Oil_Table_3a!AJ34</f>
        <v>0</v>
      </c>
      <c r="AP59" s="20">
        <f>Oil_Table_3a!AG34-Oil_Table_3a!AK34</f>
        <v>0</v>
      </c>
      <c r="AQ59" s="20">
        <f>Gas_Table_2a!E32</f>
        <v>0</v>
      </c>
      <c r="AR59" s="20">
        <f>Ren_Table_2a!G41</f>
        <v>0</v>
      </c>
      <c r="AS59" s="20">
        <f>Ren_Table_2a!H41</f>
        <v>0</v>
      </c>
      <c r="AT59" s="20">
        <f>Ren_Table_2a!I41</f>
        <v>0</v>
      </c>
      <c r="AU59" s="20">
        <f>Ren_Table_2a!J41</f>
        <v>0</v>
      </c>
      <c r="AV59" s="20">
        <f>Ren_Table_2a!L41</f>
        <v>0</v>
      </c>
      <c r="AW59" s="20">
        <f>ROUND(Oil_Table_3a!L34+Ren_Table_2a!M41,3)</f>
        <v>0</v>
      </c>
      <c r="AX59" s="20">
        <f>ROUND(Oil_Table_3a!Q34+Ren_Table_2a!O41,3)</f>
        <v>0</v>
      </c>
      <c r="AY59" s="20">
        <f>ROUND(Oil_Table_3a!W34+Ren_Table_2a!P41,3)</f>
        <v>0</v>
      </c>
      <c r="AZ59" s="20">
        <f>ROUND(Ren_Table_2a!Q41,3)</f>
        <v>0</v>
      </c>
      <c r="BA59" s="20"/>
      <c r="BB59" s="20">
        <f>Ren_Table_2a!K41</f>
        <v>0</v>
      </c>
      <c r="BC59" s="20"/>
      <c r="BD59" s="20"/>
      <c r="BE59" s="20">
        <f>Ren_Table_2a!E41</f>
        <v>0</v>
      </c>
      <c r="BF59" s="20"/>
      <c r="BG59" s="20">
        <f>Ren_Table_2a!F41</f>
        <v>0</v>
      </c>
      <c r="BH59" s="20"/>
      <c r="BI59" s="20"/>
      <c r="BJ59" s="20"/>
      <c r="BK59" s="20"/>
      <c r="BL59" s="20"/>
      <c r="BM59" s="20"/>
      <c r="BN59" s="20">
        <f>Ele_Table_3!F17</f>
        <v>0</v>
      </c>
      <c r="BO59" s="20">
        <f>Ele_Table_3!G17</f>
        <v>0</v>
      </c>
      <c r="BP59" s="590"/>
    </row>
    <row r="60" spans="1:68" x14ac:dyDescent="0.2">
      <c r="A60" s="893" t="s">
        <v>1194</v>
      </c>
      <c r="B60" s="256" t="s">
        <v>1196</v>
      </c>
      <c r="C60" s="256">
        <f>C61+C75+C82+C88</f>
        <v>0</v>
      </c>
      <c r="D60" s="256">
        <f>D61+D75+D82+D88</f>
        <v>0</v>
      </c>
      <c r="E60" s="256">
        <f>E61+E75+E82+E88</f>
        <v>0</v>
      </c>
      <c r="F60" s="256">
        <f>F61+F75+F82+F88</f>
        <v>0</v>
      </c>
      <c r="G60" s="256">
        <f>G61+G75+G82+G88</f>
        <v>0</v>
      </c>
      <c r="H60" s="256">
        <f t="shared" ref="H60:P60" si="10">H61+H75+H82+H88</f>
        <v>0</v>
      </c>
      <c r="I60" s="256">
        <f t="shared" si="10"/>
        <v>0</v>
      </c>
      <c r="J60" s="256">
        <f t="shared" si="10"/>
        <v>0</v>
      </c>
      <c r="K60" s="256">
        <f t="shared" si="10"/>
        <v>0</v>
      </c>
      <c r="L60" s="256">
        <f t="shared" si="10"/>
        <v>0</v>
      </c>
      <c r="M60" s="256">
        <f t="shared" si="10"/>
        <v>0</v>
      </c>
      <c r="N60" s="256">
        <f t="shared" si="10"/>
        <v>0</v>
      </c>
      <c r="O60" s="256">
        <f t="shared" si="10"/>
        <v>0</v>
      </c>
      <c r="P60" s="256">
        <f t="shared" si="10"/>
        <v>0</v>
      </c>
      <c r="Q60" s="256">
        <f t="shared" ref="Q60:V60" si="11">Q61+Q75+Q82+Q88</f>
        <v>0</v>
      </c>
      <c r="R60" s="256">
        <f t="shared" si="11"/>
        <v>0</v>
      </c>
      <c r="S60" s="256">
        <f t="shared" si="11"/>
        <v>0</v>
      </c>
      <c r="T60" s="256">
        <f t="shared" si="11"/>
        <v>0</v>
      </c>
      <c r="U60" s="256">
        <f t="shared" si="11"/>
        <v>0</v>
      </c>
      <c r="V60" s="256">
        <f t="shared" si="11"/>
        <v>0</v>
      </c>
      <c r="W60" s="256"/>
      <c r="X60" s="256"/>
      <c r="Y60" s="256"/>
      <c r="Z60" s="256">
        <f t="shared" ref="Z60:AR60" si="12">Z61+Z75+Z82+Z88</f>
        <v>0</v>
      </c>
      <c r="AA60" s="256">
        <f t="shared" si="12"/>
        <v>0</v>
      </c>
      <c r="AB60" s="256">
        <f t="shared" si="12"/>
        <v>0</v>
      </c>
      <c r="AC60" s="256">
        <f t="shared" si="12"/>
        <v>0</v>
      </c>
      <c r="AD60" s="256">
        <f t="shared" si="12"/>
        <v>0</v>
      </c>
      <c r="AE60" s="256">
        <f t="shared" si="12"/>
        <v>0</v>
      </c>
      <c r="AF60" s="256">
        <f t="shared" si="12"/>
        <v>0</v>
      </c>
      <c r="AG60" s="256">
        <f t="shared" si="12"/>
        <v>0</v>
      </c>
      <c r="AH60" s="256">
        <f t="shared" si="12"/>
        <v>0</v>
      </c>
      <c r="AI60" s="256">
        <f t="shared" si="12"/>
        <v>0</v>
      </c>
      <c r="AJ60" s="256">
        <f t="shared" si="12"/>
        <v>0</v>
      </c>
      <c r="AK60" s="256">
        <f t="shared" si="12"/>
        <v>0</v>
      </c>
      <c r="AL60" s="256">
        <f t="shared" si="12"/>
        <v>0</v>
      </c>
      <c r="AM60" s="256">
        <f t="shared" si="12"/>
        <v>0</v>
      </c>
      <c r="AN60" s="256">
        <f t="shared" si="12"/>
        <v>0</v>
      </c>
      <c r="AO60" s="256">
        <f t="shared" si="12"/>
        <v>0</v>
      </c>
      <c r="AP60" s="256">
        <f t="shared" si="12"/>
        <v>0</v>
      </c>
      <c r="AQ60" s="256">
        <f>AQ61+AQ75+AQ82+AQ88</f>
        <v>0</v>
      </c>
      <c r="AR60" s="256">
        <f t="shared" si="12"/>
        <v>0</v>
      </c>
      <c r="AS60" s="256">
        <f t="shared" ref="AS60:AZ60" si="13">AS61+AS75+AS82+AS88</f>
        <v>0</v>
      </c>
      <c r="AT60" s="256">
        <f t="shared" si="13"/>
        <v>0</v>
      </c>
      <c r="AU60" s="256">
        <f t="shared" si="13"/>
        <v>0</v>
      </c>
      <c r="AV60" s="256">
        <f t="shared" si="13"/>
        <v>0</v>
      </c>
      <c r="AW60" s="256">
        <f t="shared" si="13"/>
        <v>0</v>
      </c>
      <c r="AX60" s="256">
        <f t="shared" si="13"/>
        <v>0</v>
      </c>
      <c r="AY60" s="256">
        <f t="shared" si="13"/>
        <v>0</v>
      </c>
      <c r="AZ60" s="256">
        <f t="shared" si="13"/>
        <v>0</v>
      </c>
      <c r="BA60" s="256"/>
      <c r="BB60" s="256">
        <f>BB61+BB75+BB82+BB88</f>
        <v>0</v>
      </c>
      <c r="BC60" s="256"/>
      <c r="BD60" s="256"/>
      <c r="BE60" s="256">
        <f>BE61+BE75+BE82+BE88</f>
        <v>0</v>
      </c>
      <c r="BF60" s="256"/>
      <c r="BG60" s="256">
        <f>BG61+BG75+BG82+BG88</f>
        <v>0</v>
      </c>
      <c r="BH60" s="256"/>
      <c r="BI60" s="256"/>
      <c r="BJ60" s="256"/>
      <c r="BK60" s="256"/>
      <c r="BL60" s="256"/>
      <c r="BM60" s="256"/>
      <c r="BN60" s="256">
        <f>BN61+BN75+BN82+BN88</f>
        <v>0</v>
      </c>
      <c r="BO60" s="256">
        <f>BO61+BO75+BO82+BO88</f>
        <v>0</v>
      </c>
      <c r="BP60" s="265"/>
    </row>
    <row r="61" spans="1:68" x14ac:dyDescent="0.2">
      <c r="A61" s="893" t="s">
        <v>1200</v>
      </c>
      <c r="B61" s="256" t="s">
        <v>1199</v>
      </c>
      <c r="C61" s="256">
        <f>SUM(C62:C74)</f>
        <v>0</v>
      </c>
      <c r="D61" s="256">
        <f>SUM(D62:D74)</f>
        <v>0</v>
      </c>
      <c r="E61" s="256">
        <f>SUM(E62:E74)</f>
        <v>0</v>
      </c>
      <c r="F61" s="256">
        <f>SUM(F62:F74)</f>
        <v>0</v>
      </c>
      <c r="G61" s="256">
        <f>SUM(G62:G74)</f>
        <v>0</v>
      </c>
      <c r="H61" s="256">
        <f t="shared" ref="H61:P61" si="14">SUM(H62:H74)</f>
        <v>0</v>
      </c>
      <c r="I61" s="256">
        <f t="shared" si="14"/>
        <v>0</v>
      </c>
      <c r="J61" s="256">
        <f t="shared" si="14"/>
        <v>0</v>
      </c>
      <c r="K61" s="256">
        <f t="shared" si="14"/>
        <v>0</v>
      </c>
      <c r="L61" s="256">
        <f t="shared" si="14"/>
        <v>0</v>
      </c>
      <c r="M61" s="256">
        <f t="shared" si="14"/>
        <v>0</v>
      </c>
      <c r="N61" s="256">
        <f t="shared" si="14"/>
        <v>0</v>
      </c>
      <c r="O61" s="256">
        <f t="shared" si="14"/>
        <v>0</v>
      </c>
      <c r="P61" s="256">
        <f t="shared" si="14"/>
        <v>0</v>
      </c>
      <c r="Q61" s="256">
        <f t="shared" ref="Q61:V61" si="15">SUM(Q62:Q74)</f>
        <v>0</v>
      </c>
      <c r="R61" s="256">
        <f t="shared" si="15"/>
        <v>0</v>
      </c>
      <c r="S61" s="256">
        <f t="shared" si="15"/>
        <v>0</v>
      </c>
      <c r="T61" s="256">
        <f t="shared" si="15"/>
        <v>0</v>
      </c>
      <c r="U61" s="256">
        <f t="shared" si="15"/>
        <v>0</v>
      </c>
      <c r="V61" s="256">
        <f t="shared" si="15"/>
        <v>0</v>
      </c>
      <c r="W61" s="256"/>
      <c r="X61" s="256"/>
      <c r="Y61" s="256"/>
      <c r="Z61" s="256">
        <f t="shared" ref="Z61:AR61" si="16">SUM(Z62:Z74)</f>
        <v>0</v>
      </c>
      <c r="AA61" s="256">
        <f t="shared" si="16"/>
        <v>0</v>
      </c>
      <c r="AB61" s="256">
        <f t="shared" si="16"/>
        <v>0</v>
      </c>
      <c r="AC61" s="256">
        <f t="shared" si="16"/>
        <v>0</v>
      </c>
      <c r="AD61" s="256">
        <f t="shared" si="16"/>
        <v>0</v>
      </c>
      <c r="AE61" s="256">
        <f t="shared" si="16"/>
        <v>0</v>
      </c>
      <c r="AF61" s="256">
        <f t="shared" si="16"/>
        <v>0</v>
      </c>
      <c r="AG61" s="256">
        <f t="shared" si="16"/>
        <v>0</v>
      </c>
      <c r="AH61" s="256">
        <f t="shared" si="16"/>
        <v>0</v>
      </c>
      <c r="AI61" s="256">
        <f t="shared" si="16"/>
        <v>0</v>
      </c>
      <c r="AJ61" s="256">
        <f t="shared" si="16"/>
        <v>0</v>
      </c>
      <c r="AK61" s="256">
        <f t="shared" si="16"/>
        <v>0</v>
      </c>
      <c r="AL61" s="256">
        <f t="shared" si="16"/>
        <v>0</v>
      </c>
      <c r="AM61" s="256">
        <f t="shared" si="16"/>
        <v>0</v>
      </c>
      <c r="AN61" s="256">
        <f t="shared" si="16"/>
        <v>0</v>
      </c>
      <c r="AO61" s="256">
        <f t="shared" si="16"/>
        <v>0</v>
      </c>
      <c r="AP61" s="256">
        <f t="shared" si="16"/>
        <v>0</v>
      </c>
      <c r="AQ61" s="256">
        <f>SUM(AQ62:AQ74)</f>
        <v>0</v>
      </c>
      <c r="AR61" s="256">
        <f t="shared" si="16"/>
        <v>0</v>
      </c>
      <c r="AS61" s="256">
        <f t="shared" ref="AS61:AZ61" si="17">SUM(AS62:AS74)</f>
        <v>0</v>
      </c>
      <c r="AT61" s="256">
        <f t="shared" si="17"/>
        <v>0</v>
      </c>
      <c r="AU61" s="256">
        <f t="shared" si="17"/>
        <v>0</v>
      </c>
      <c r="AV61" s="256">
        <f t="shared" si="17"/>
        <v>0</v>
      </c>
      <c r="AW61" s="256">
        <f t="shared" si="17"/>
        <v>0</v>
      </c>
      <c r="AX61" s="256">
        <f t="shared" si="17"/>
        <v>0</v>
      </c>
      <c r="AY61" s="256">
        <f t="shared" si="17"/>
        <v>0</v>
      </c>
      <c r="AZ61" s="256">
        <f t="shared" si="17"/>
        <v>0</v>
      </c>
      <c r="BA61" s="256"/>
      <c r="BB61" s="256">
        <f>SUM(BB62:BB74)</f>
        <v>0</v>
      </c>
      <c r="BC61" s="256"/>
      <c r="BD61" s="256"/>
      <c r="BE61" s="256">
        <f>SUM(BE62:BE74)</f>
        <v>0</v>
      </c>
      <c r="BF61" s="256"/>
      <c r="BG61" s="256">
        <f>SUM(BG62:BG74)</f>
        <v>0</v>
      </c>
      <c r="BH61" s="256"/>
      <c r="BI61" s="256"/>
      <c r="BJ61" s="256"/>
      <c r="BK61" s="256"/>
      <c r="BL61" s="256"/>
      <c r="BM61" s="256"/>
      <c r="BN61" s="256">
        <f>SUM(BN62:BN74)</f>
        <v>0</v>
      </c>
      <c r="BO61" s="256">
        <f>SUM(BO62:BO74)</f>
        <v>0</v>
      </c>
      <c r="BP61" s="265"/>
    </row>
    <row r="62" spans="1:68" x14ac:dyDescent="0.2">
      <c r="A62" s="589" t="s">
        <v>1207</v>
      </c>
      <c r="B62" s="20" t="s">
        <v>1206</v>
      </c>
      <c r="C62" s="20">
        <f>Coal_Table_1!E66</f>
        <v>0</v>
      </c>
      <c r="D62" s="20">
        <f>Coal_Table_1!F66</f>
        <v>0</v>
      </c>
      <c r="E62" s="20">
        <f>Coal_Table_1!G66</f>
        <v>0</v>
      </c>
      <c r="F62" s="20">
        <f>Coal_Table_1!H66</f>
        <v>0</v>
      </c>
      <c r="G62" s="20">
        <f>Coal_Table_1!I66</f>
        <v>0</v>
      </c>
      <c r="H62" s="20">
        <f>Coal_Table_1!J66</f>
        <v>0</v>
      </c>
      <c r="I62" s="20">
        <f>Coal_Table_1!K66</f>
        <v>0</v>
      </c>
      <c r="J62" s="20">
        <f>Coal_Table_1!L66</f>
        <v>0</v>
      </c>
      <c r="K62" s="20">
        <f>Coal_Table_1!M66</f>
        <v>0</v>
      </c>
      <c r="L62" s="20">
        <f>Coal_Table_1!N66</f>
        <v>0</v>
      </c>
      <c r="M62" s="20">
        <f>Coal_Table_1!O66</f>
        <v>0</v>
      </c>
      <c r="N62" s="20">
        <f>Coal_Table_1!P66</f>
        <v>0</v>
      </c>
      <c r="O62" s="20">
        <f>Coal_Table_1!Q66</f>
        <v>0</v>
      </c>
      <c r="P62" s="20">
        <f>Coal_Table_1!R66</f>
        <v>0</v>
      </c>
      <c r="Q62" s="20"/>
      <c r="R62" s="20">
        <f>Coal_Table_1!S66</f>
        <v>0</v>
      </c>
      <c r="S62" s="20">
        <f>Coal_Table_1!T66</f>
        <v>0</v>
      </c>
      <c r="T62" s="20">
        <f>Coal_Table_1!U66</f>
        <v>0</v>
      </c>
      <c r="U62" s="20">
        <f>Oil_Table_3a!E45</f>
        <v>0</v>
      </c>
      <c r="V62" s="20">
        <f>Oil_Table_3a!F45</f>
        <v>0</v>
      </c>
      <c r="W62" s="20"/>
      <c r="X62" s="20"/>
      <c r="Y62" s="20"/>
      <c r="Z62" s="20">
        <f>Oil_Table_3a!G45</f>
        <v>0</v>
      </c>
      <c r="AA62" s="20">
        <f>Oil_Table_3a!H45</f>
        <v>0</v>
      </c>
      <c r="AB62" s="20">
        <f>Oil_Table_3a!I45</f>
        <v>0</v>
      </c>
      <c r="AC62" s="20">
        <f>(Oil_Table_3a!M45)</f>
        <v>0</v>
      </c>
      <c r="AD62" s="20">
        <f>Oil_Table_3a!N45</f>
        <v>0</v>
      </c>
      <c r="AE62" s="20">
        <f>Oil_Table_3a!O45</f>
        <v>0</v>
      </c>
      <c r="AF62" s="20">
        <f>Oil_Table_3a!R45</f>
        <v>0</v>
      </c>
      <c r="AG62" s="20">
        <f>Oil_Table_3a!S45</f>
        <v>0</v>
      </c>
      <c r="AH62" s="20">
        <f>Oil_Table_3a!X45</f>
        <v>0</v>
      </c>
      <c r="AI62" s="20">
        <f>Oil_Table_3a!Y45</f>
        <v>0</v>
      </c>
      <c r="AJ62" s="20">
        <f>Oil_Table_3a!J45</f>
        <v>0</v>
      </c>
      <c r="AK62" s="20">
        <f>Oil_Table_3a!AB45</f>
        <v>0</v>
      </c>
      <c r="AL62" s="20">
        <f>Oil_Table_3a!AC45</f>
        <v>0</v>
      </c>
      <c r="AM62" s="20">
        <f>Oil_Table_3a!AD45</f>
        <v>0</v>
      </c>
      <c r="AN62" s="20">
        <f>Oil_Table_3a!AE45</f>
        <v>0</v>
      </c>
      <c r="AO62" s="20">
        <f>Oil_Table_3a!AF45-Oil_Table_3a!AJ45</f>
        <v>0</v>
      </c>
      <c r="AP62" s="20">
        <f>Oil_Table_3a!AG45-Oil_Table_3a!AK45</f>
        <v>0</v>
      </c>
      <c r="AQ62" s="20">
        <f>Gas_Table_2b!E13</f>
        <v>0</v>
      </c>
      <c r="AR62" s="20">
        <f>Ren_Table_2a!G45</f>
        <v>0</v>
      </c>
      <c r="AS62" s="20">
        <f>Ren_Table_2a!H45</f>
        <v>0</v>
      </c>
      <c r="AT62" s="20">
        <f>Ren_Table_2a!I45</f>
        <v>0</v>
      </c>
      <c r="AU62" s="20">
        <f>Ren_Table_2a!J45</f>
        <v>0</v>
      </c>
      <c r="AV62" s="20">
        <f>Ren_Table_2a!L45</f>
        <v>0</v>
      </c>
      <c r="AW62" s="20">
        <f>ROUND(Oil_Table_3a!L45+Ren_Table_2a!M45,3)</f>
        <v>0</v>
      </c>
      <c r="AX62" s="20">
        <f>ROUND(Oil_Table_3a!Q45+Ren_Table_2a!O45,3)</f>
        <v>0</v>
      </c>
      <c r="AY62" s="20">
        <f>ROUND(Oil_Table_3a!W45+Ren_Table_2a!P45,3)</f>
        <v>0</v>
      </c>
      <c r="AZ62" s="20">
        <f>ROUND(Ren_Table_2a!Q45,3)</f>
        <v>0</v>
      </c>
      <c r="BA62" s="20"/>
      <c r="BB62" s="20">
        <f>Ren_Table_2a!K45</f>
        <v>0</v>
      </c>
      <c r="BC62" s="20"/>
      <c r="BD62" s="20"/>
      <c r="BE62" s="20">
        <f>Ren_Table_2a!E45</f>
        <v>0</v>
      </c>
      <c r="BF62" s="20"/>
      <c r="BG62" s="20">
        <f>Ren_Table_2a!F45</f>
        <v>0</v>
      </c>
      <c r="BH62" s="20"/>
      <c r="BI62" s="20"/>
      <c r="BJ62" s="20"/>
      <c r="BK62" s="20"/>
      <c r="BL62" s="20"/>
      <c r="BM62" s="20"/>
      <c r="BN62" s="20">
        <f>Ele_Table_4!E24</f>
        <v>0</v>
      </c>
      <c r="BO62" s="20">
        <f>Ele_Table_4!F24</f>
        <v>0</v>
      </c>
      <c r="BP62" s="590"/>
    </row>
    <row r="63" spans="1:68" x14ac:dyDescent="0.2">
      <c r="A63" s="589" t="s">
        <v>1214</v>
      </c>
      <c r="B63" s="20" t="s">
        <v>1213</v>
      </c>
      <c r="C63" s="20">
        <f>Coal_Table_1!E67</f>
        <v>0</v>
      </c>
      <c r="D63" s="20">
        <f>Coal_Table_1!F67</f>
        <v>0</v>
      </c>
      <c r="E63" s="20">
        <f>Coal_Table_1!G67</f>
        <v>0</v>
      </c>
      <c r="F63" s="20">
        <f>Coal_Table_1!H67</f>
        <v>0</v>
      </c>
      <c r="G63" s="20">
        <f>Coal_Table_1!I67</f>
        <v>0</v>
      </c>
      <c r="H63" s="20">
        <f>Coal_Table_1!J67</f>
        <v>0</v>
      </c>
      <c r="I63" s="20">
        <f>Coal_Table_1!K67</f>
        <v>0</v>
      </c>
      <c r="J63" s="20">
        <f>Coal_Table_1!L67</f>
        <v>0</v>
      </c>
      <c r="K63" s="20">
        <f>Coal_Table_1!M67</f>
        <v>0</v>
      </c>
      <c r="L63" s="20">
        <f>Coal_Table_1!N67</f>
        <v>0</v>
      </c>
      <c r="M63" s="20">
        <f>Coal_Table_1!O67</f>
        <v>0</v>
      </c>
      <c r="N63" s="20">
        <f>Coal_Table_1!P67</f>
        <v>0</v>
      </c>
      <c r="O63" s="20">
        <f>Coal_Table_1!Q67</f>
        <v>0</v>
      </c>
      <c r="P63" s="20">
        <f>Coal_Table_1!R67</f>
        <v>0</v>
      </c>
      <c r="Q63" s="20"/>
      <c r="R63" s="20">
        <f>Coal_Table_1!S67</f>
        <v>0</v>
      </c>
      <c r="S63" s="20">
        <f>Coal_Table_1!T67</f>
        <v>0</v>
      </c>
      <c r="T63" s="20">
        <f>Coal_Table_1!U67</f>
        <v>0</v>
      </c>
      <c r="U63" s="20">
        <f>Oil_Table_3a!E46</f>
        <v>0</v>
      </c>
      <c r="V63" s="20">
        <f>Oil_Table_3a!F46</f>
        <v>0</v>
      </c>
      <c r="W63" s="20"/>
      <c r="X63" s="20"/>
      <c r="Y63" s="20"/>
      <c r="Z63" s="20">
        <f>Oil_Table_3a!G46</f>
        <v>0</v>
      </c>
      <c r="AA63" s="20">
        <f>Oil_Table_3a!H46</f>
        <v>0</v>
      </c>
      <c r="AB63" s="20">
        <f>Oil_Table_3a!I46</f>
        <v>0</v>
      </c>
      <c r="AC63" s="20">
        <f>(Oil_Table_3a!M46)</f>
        <v>0</v>
      </c>
      <c r="AD63" s="20">
        <f>Oil_Table_3a!N46</f>
        <v>0</v>
      </c>
      <c r="AE63" s="20">
        <f>Oil_Table_3a!O46</f>
        <v>0</v>
      </c>
      <c r="AF63" s="20">
        <f>Oil_Table_3a!R46</f>
        <v>0</v>
      </c>
      <c r="AG63" s="20">
        <f>Oil_Table_3a!S46</f>
        <v>0</v>
      </c>
      <c r="AH63" s="20">
        <f>Oil_Table_3a!X46</f>
        <v>0</v>
      </c>
      <c r="AI63" s="20">
        <f>Oil_Table_3a!Y46</f>
        <v>0</v>
      </c>
      <c r="AJ63" s="20">
        <f>Oil_Table_3a!J46</f>
        <v>0</v>
      </c>
      <c r="AK63" s="20">
        <f>Oil_Table_3a!AB46</f>
        <v>0</v>
      </c>
      <c r="AL63" s="20">
        <f>Oil_Table_3a!AC46</f>
        <v>0</v>
      </c>
      <c r="AM63" s="20">
        <f>Oil_Table_3a!AD46</f>
        <v>0</v>
      </c>
      <c r="AN63" s="20">
        <f>Oil_Table_3a!AE46</f>
        <v>0</v>
      </c>
      <c r="AO63" s="20">
        <f>Oil_Table_3a!AF46-Oil_Table_3a!AJ46</f>
        <v>0</v>
      </c>
      <c r="AP63" s="20">
        <f>Oil_Table_3a!AG46-Oil_Table_3a!AK46</f>
        <v>0</v>
      </c>
      <c r="AQ63" s="20">
        <f>Gas_Table_2b!E14</f>
        <v>0</v>
      </c>
      <c r="AR63" s="20">
        <f>Ren_Table_2a!G46</f>
        <v>0</v>
      </c>
      <c r="AS63" s="20">
        <f>Ren_Table_2a!H46</f>
        <v>0</v>
      </c>
      <c r="AT63" s="20">
        <f>Ren_Table_2a!I46</f>
        <v>0</v>
      </c>
      <c r="AU63" s="20">
        <f>Ren_Table_2a!J46</f>
        <v>0</v>
      </c>
      <c r="AV63" s="20">
        <f>Ren_Table_2a!L46</f>
        <v>0</v>
      </c>
      <c r="AW63" s="20">
        <f>ROUND(Oil_Table_3a!L46+Ren_Table_2a!M46,3)</f>
        <v>0</v>
      </c>
      <c r="AX63" s="20">
        <f>ROUND(Oil_Table_3a!Q46+Ren_Table_2a!O46,3)</f>
        <v>0</v>
      </c>
      <c r="AY63" s="20">
        <f>ROUND(Oil_Table_3a!W46+Ren_Table_2a!P46,3)</f>
        <v>0</v>
      </c>
      <c r="AZ63" s="20">
        <f>ROUND(Ren_Table_2a!Q46,3)</f>
        <v>0</v>
      </c>
      <c r="BA63" s="20"/>
      <c r="BB63" s="20">
        <f>Ren_Table_2a!K46</f>
        <v>0</v>
      </c>
      <c r="BC63" s="20"/>
      <c r="BD63" s="20"/>
      <c r="BE63" s="20">
        <f>Ren_Table_2a!E46</f>
        <v>0</v>
      </c>
      <c r="BF63" s="20"/>
      <c r="BG63" s="20">
        <f>Ren_Table_2a!F46</f>
        <v>0</v>
      </c>
      <c r="BH63" s="20"/>
      <c r="BI63" s="20"/>
      <c r="BJ63" s="20"/>
      <c r="BK63" s="20"/>
      <c r="BL63" s="20"/>
      <c r="BM63" s="20"/>
      <c r="BN63" s="20">
        <f>Ele_Table_4!E25</f>
        <v>0</v>
      </c>
      <c r="BO63" s="20">
        <f>Ele_Table_4!F25</f>
        <v>0</v>
      </c>
      <c r="BP63" s="590"/>
    </row>
    <row r="64" spans="1:68" x14ac:dyDescent="0.2">
      <c r="A64" s="589" t="s">
        <v>1221</v>
      </c>
      <c r="B64" s="20" t="s">
        <v>1220</v>
      </c>
      <c r="C64" s="20">
        <f>Coal_Table_1!E68</f>
        <v>0</v>
      </c>
      <c r="D64" s="20">
        <f>Coal_Table_1!F68</f>
        <v>0</v>
      </c>
      <c r="E64" s="20">
        <f>Coal_Table_1!G68</f>
        <v>0</v>
      </c>
      <c r="F64" s="20">
        <f>Coal_Table_1!H68</f>
        <v>0</v>
      </c>
      <c r="G64" s="20">
        <f>Coal_Table_1!I68</f>
        <v>0</v>
      </c>
      <c r="H64" s="20">
        <f>Coal_Table_1!J68</f>
        <v>0</v>
      </c>
      <c r="I64" s="20">
        <f>Coal_Table_1!K68</f>
        <v>0</v>
      </c>
      <c r="J64" s="20">
        <f>Coal_Table_1!L68</f>
        <v>0</v>
      </c>
      <c r="K64" s="20">
        <f>Coal_Table_1!M68</f>
        <v>0</v>
      </c>
      <c r="L64" s="20">
        <f>Coal_Table_1!N68</f>
        <v>0</v>
      </c>
      <c r="M64" s="20">
        <f>Coal_Table_1!O68</f>
        <v>0</v>
      </c>
      <c r="N64" s="20">
        <f>Coal_Table_1!P68</f>
        <v>0</v>
      </c>
      <c r="O64" s="20">
        <f>Coal_Table_1!Q68</f>
        <v>0</v>
      </c>
      <c r="P64" s="20">
        <f>Coal_Table_1!R68</f>
        <v>0</v>
      </c>
      <c r="Q64" s="20"/>
      <c r="R64" s="20">
        <f>Coal_Table_1!S68</f>
        <v>0</v>
      </c>
      <c r="S64" s="20">
        <f>Coal_Table_1!T68</f>
        <v>0</v>
      </c>
      <c r="T64" s="20">
        <f>Coal_Table_1!U68</f>
        <v>0</v>
      </c>
      <c r="U64" s="20">
        <f>Oil_Table_3a!E47</f>
        <v>0</v>
      </c>
      <c r="V64" s="20">
        <f>Oil_Table_3a!F47</f>
        <v>0</v>
      </c>
      <c r="W64" s="20"/>
      <c r="X64" s="20"/>
      <c r="Y64" s="20"/>
      <c r="Z64" s="20">
        <f>Oil_Table_3a!G47</f>
        <v>0</v>
      </c>
      <c r="AA64" s="20">
        <f>Oil_Table_3a!H47</f>
        <v>0</v>
      </c>
      <c r="AB64" s="20">
        <f>Oil_Table_3a!I47</f>
        <v>0</v>
      </c>
      <c r="AC64" s="20">
        <f>(Oil_Table_3a!M47)</f>
        <v>0</v>
      </c>
      <c r="AD64" s="20">
        <f>Oil_Table_3a!N47</f>
        <v>0</v>
      </c>
      <c r="AE64" s="20">
        <f>Oil_Table_3a!O47</f>
        <v>0</v>
      </c>
      <c r="AF64" s="20">
        <f>Oil_Table_3a!R47</f>
        <v>0</v>
      </c>
      <c r="AG64" s="20">
        <f>Oil_Table_3a!S47</f>
        <v>0</v>
      </c>
      <c r="AH64" s="20">
        <f>Oil_Table_3a!X47</f>
        <v>0</v>
      </c>
      <c r="AI64" s="20">
        <f>Oil_Table_3a!Y47</f>
        <v>0</v>
      </c>
      <c r="AJ64" s="20">
        <f>Oil_Table_3a!J47</f>
        <v>0</v>
      </c>
      <c r="AK64" s="20">
        <f>Oil_Table_3a!AB47</f>
        <v>0</v>
      </c>
      <c r="AL64" s="20">
        <f>Oil_Table_3a!AC47</f>
        <v>0</v>
      </c>
      <c r="AM64" s="20">
        <f>Oil_Table_3a!AD47</f>
        <v>0</v>
      </c>
      <c r="AN64" s="20">
        <f>Oil_Table_3a!AE47</f>
        <v>0</v>
      </c>
      <c r="AO64" s="20">
        <f>Oil_Table_3a!AF47-Oil_Table_3a!AJ47</f>
        <v>0</v>
      </c>
      <c r="AP64" s="20">
        <f>Oil_Table_3a!AG47-Oil_Table_3a!AK47</f>
        <v>0</v>
      </c>
      <c r="AQ64" s="20">
        <f>Gas_Table_2b!E15</f>
        <v>0</v>
      </c>
      <c r="AR64" s="20">
        <f>Ren_Table_2a!G47</f>
        <v>0</v>
      </c>
      <c r="AS64" s="20">
        <f>Ren_Table_2a!H47</f>
        <v>0</v>
      </c>
      <c r="AT64" s="20">
        <f>Ren_Table_2a!I47</f>
        <v>0</v>
      </c>
      <c r="AU64" s="20">
        <f>Ren_Table_2a!J47</f>
        <v>0</v>
      </c>
      <c r="AV64" s="20">
        <f>Ren_Table_2a!L47</f>
        <v>0</v>
      </c>
      <c r="AW64" s="20">
        <f>ROUND(Oil_Table_3a!L47+Ren_Table_2a!M47,3)</f>
        <v>0</v>
      </c>
      <c r="AX64" s="20">
        <f>ROUND(Oil_Table_3a!Q47+Ren_Table_2a!O47,3)</f>
        <v>0</v>
      </c>
      <c r="AY64" s="20">
        <f>ROUND(Oil_Table_3a!W47+Ren_Table_2a!P47,3)</f>
        <v>0</v>
      </c>
      <c r="AZ64" s="20">
        <f>ROUND(Ren_Table_2a!Q47,3)</f>
        <v>0</v>
      </c>
      <c r="BA64" s="20"/>
      <c r="BB64" s="20">
        <f>Ren_Table_2a!K47</f>
        <v>0</v>
      </c>
      <c r="BC64" s="20"/>
      <c r="BD64" s="20"/>
      <c r="BE64" s="20">
        <f>Ren_Table_2a!E47</f>
        <v>0</v>
      </c>
      <c r="BF64" s="20"/>
      <c r="BG64" s="20">
        <f>Ren_Table_2a!F47</f>
        <v>0</v>
      </c>
      <c r="BH64" s="20"/>
      <c r="BI64" s="20"/>
      <c r="BJ64" s="20"/>
      <c r="BK64" s="20"/>
      <c r="BL64" s="20"/>
      <c r="BM64" s="20"/>
      <c r="BN64" s="20">
        <f>Ele_Table_4!E26</f>
        <v>0</v>
      </c>
      <c r="BO64" s="20">
        <f>Ele_Table_4!F26</f>
        <v>0</v>
      </c>
      <c r="BP64" s="590"/>
    </row>
    <row r="65" spans="1:68" x14ac:dyDescent="0.2">
      <c r="A65" s="589" t="s">
        <v>1228</v>
      </c>
      <c r="B65" s="20" t="s">
        <v>1227</v>
      </c>
      <c r="C65" s="20">
        <f>Coal_Table_1!E69</f>
        <v>0</v>
      </c>
      <c r="D65" s="20">
        <f>Coal_Table_1!F69</f>
        <v>0</v>
      </c>
      <c r="E65" s="20">
        <f>Coal_Table_1!G69</f>
        <v>0</v>
      </c>
      <c r="F65" s="20">
        <f>Coal_Table_1!H69</f>
        <v>0</v>
      </c>
      <c r="G65" s="20">
        <f>Coal_Table_1!I69</f>
        <v>0</v>
      </c>
      <c r="H65" s="20">
        <f>Coal_Table_1!J69</f>
        <v>0</v>
      </c>
      <c r="I65" s="20">
        <f>Coal_Table_1!K69</f>
        <v>0</v>
      </c>
      <c r="J65" s="20">
        <f>Coal_Table_1!L69</f>
        <v>0</v>
      </c>
      <c r="K65" s="20">
        <f>Coal_Table_1!M69</f>
        <v>0</v>
      </c>
      <c r="L65" s="20">
        <f>Coal_Table_1!N69</f>
        <v>0</v>
      </c>
      <c r="M65" s="20">
        <f>Coal_Table_1!O69</f>
        <v>0</v>
      </c>
      <c r="N65" s="20">
        <f>Coal_Table_1!P69</f>
        <v>0</v>
      </c>
      <c r="O65" s="20">
        <f>Coal_Table_1!Q69</f>
        <v>0</v>
      </c>
      <c r="P65" s="20">
        <f>Coal_Table_1!R69</f>
        <v>0</v>
      </c>
      <c r="Q65" s="20"/>
      <c r="R65" s="20">
        <f>Coal_Table_1!S69</f>
        <v>0</v>
      </c>
      <c r="S65" s="20">
        <f>Coal_Table_1!T69</f>
        <v>0</v>
      </c>
      <c r="T65" s="20">
        <f>Coal_Table_1!U69</f>
        <v>0</v>
      </c>
      <c r="U65" s="20">
        <f>Oil_Table_3a!E48</f>
        <v>0</v>
      </c>
      <c r="V65" s="20">
        <f>Oil_Table_3a!F48</f>
        <v>0</v>
      </c>
      <c r="W65" s="20"/>
      <c r="X65" s="20"/>
      <c r="Y65" s="20"/>
      <c r="Z65" s="20">
        <f>Oil_Table_3a!G48</f>
        <v>0</v>
      </c>
      <c r="AA65" s="20">
        <f>Oil_Table_3a!H48</f>
        <v>0</v>
      </c>
      <c r="AB65" s="20">
        <f>Oil_Table_3a!I48</f>
        <v>0</v>
      </c>
      <c r="AC65" s="20">
        <f>(Oil_Table_3a!M48)</f>
        <v>0</v>
      </c>
      <c r="AD65" s="20">
        <f>Oil_Table_3a!N48</f>
        <v>0</v>
      </c>
      <c r="AE65" s="20">
        <f>Oil_Table_3a!O48</f>
        <v>0</v>
      </c>
      <c r="AF65" s="20">
        <f>Oil_Table_3a!R48</f>
        <v>0</v>
      </c>
      <c r="AG65" s="20">
        <f>Oil_Table_3a!S48</f>
        <v>0</v>
      </c>
      <c r="AH65" s="20">
        <f>Oil_Table_3a!X48</f>
        <v>0</v>
      </c>
      <c r="AI65" s="20">
        <f>Oil_Table_3a!Y48</f>
        <v>0</v>
      </c>
      <c r="AJ65" s="20">
        <f>Oil_Table_3a!J48</f>
        <v>0</v>
      </c>
      <c r="AK65" s="20">
        <f>Oil_Table_3a!AB48</f>
        <v>0</v>
      </c>
      <c r="AL65" s="20">
        <f>Oil_Table_3a!AC48</f>
        <v>0</v>
      </c>
      <c r="AM65" s="20">
        <f>Oil_Table_3a!AD48</f>
        <v>0</v>
      </c>
      <c r="AN65" s="20">
        <f>Oil_Table_3a!AE48</f>
        <v>0</v>
      </c>
      <c r="AO65" s="20">
        <f>Oil_Table_3a!AF48-Oil_Table_3a!AJ48</f>
        <v>0</v>
      </c>
      <c r="AP65" s="20">
        <f>Oil_Table_3a!AG48-Oil_Table_3a!AK1448</f>
        <v>0</v>
      </c>
      <c r="AQ65" s="20">
        <f>Gas_Table_2b!E16</f>
        <v>0</v>
      </c>
      <c r="AR65" s="20">
        <f>Ren_Table_2a!G48</f>
        <v>0</v>
      </c>
      <c r="AS65" s="20">
        <f>Ren_Table_2a!H48</f>
        <v>0</v>
      </c>
      <c r="AT65" s="20">
        <f>Ren_Table_2a!I48</f>
        <v>0</v>
      </c>
      <c r="AU65" s="20">
        <f>Ren_Table_2a!J48</f>
        <v>0</v>
      </c>
      <c r="AV65" s="20">
        <f>Ren_Table_2a!L48</f>
        <v>0</v>
      </c>
      <c r="AW65" s="20">
        <f>ROUND(Oil_Table_3a!L48+Ren_Table_2a!M48,3)</f>
        <v>0</v>
      </c>
      <c r="AX65" s="20">
        <f>ROUND(Oil_Table_3a!Q48+Ren_Table_2a!O48,3)</f>
        <v>0</v>
      </c>
      <c r="AY65" s="20">
        <f>ROUND(Oil_Table_3a!W48+Ren_Table_2a!P48,3)</f>
        <v>0</v>
      </c>
      <c r="AZ65" s="20">
        <f>ROUND(Ren_Table_2a!Q48,3)</f>
        <v>0</v>
      </c>
      <c r="BA65" s="20"/>
      <c r="BB65" s="20">
        <f>Ren_Table_2a!K48</f>
        <v>0</v>
      </c>
      <c r="BC65" s="20"/>
      <c r="BD65" s="20"/>
      <c r="BE65" s="20">
        <f>Ren_Table_2a!E48</f>
        <v>0</v>
      </c>
      <c r="BF65" s="20"/>
      <c r="BG65" s="20">
        <f>Ren_Table_2a!F48</f>
        <v>0</v>
      </c>
      <c r="BH65" s="20"/>
      <c r="BI65" s="20"/>
      <c r="BJ65" s="20"/>
      <c r="BK65" s="20"/>
      <c r="BL65" s="20"/>
      <c r="BM65" s="20"/>
      <c r="BN65" s="20">
        <f>Ele_Table_4!E27</f>
        <v>0</v>
      </c>
      <c r="BO65" s="20">
        <f>Ele_Table_4!F27</f>
        <v>0</v>
      </c>
      <c r="BP65" s="590"/>
    </row>
    <row r="66" spans="1:68" x14ac:dyDescent="0.2">
      <c r="A66" s="589" t="s">
        <v>1235</v>
      </c>
      <c r="B66" s="20" t="s">
        <v>1234</v>
      </c>
      <c r="C66" s="20">
        <f>Coal_Table_1!E70</f>
        <v>0</v>
      </c>
      <c r="D66" s="20">
        <f>Coal_Table_1!F70</f>
        <v>0</v>
      </c>
      <c r="E66" s="20">
        <f>Coal_Table_1!G70</f>
        <v>0</v>
      </c>
      <c r="F66" s="20">
        <f>Coal_Table_1!H70</f>
        <v>0</v>
      </c>
      <c r="G66" s="20">
        <f>Coal_Table_1!I70</f>
        <v>0</v>
      </c>
      <c r="H66" s="20">
        <f>Coal_Table_1!J70</f>
        <v>0</v>
      </c>
      <c r="I66" s="20">
        <f>Coal_Table_1!K70</f>
        <v>0</v>
      </c>
      <c r="J66" s="20">
        <f>Coal_Table_1!L70</f>
        <v>0</v>
      </c>
      <c r="K66" s="20">
        <f>Coal_Table_1!M70</f>
        <v>0</v>
      </c>
      <c r="L66" s="20">
        <f>Coal_Table_1!N70</f>
        <v>0</v>
      </c>
      <c r="M66" s="20">
        <f>Coal_Table_1!O70</f>
        <v>0</v>
      </c>
      <c r="N66" s="20">
        <f>Coal_Table_1!P70</f>
        <v>0</v>
      </c>
      <c r="O66" s="20">
        <f>Coal_Table_1!Q70</f>
        <v>0</v>
      </c>
      <c r="P66" s="20">
        <f>Coal_Table_1!R70</f>
        <v>0</v>
      </c>
      <c r="Q66" s="20"/>
      <c r="R66" s="20">
        <f>Coal_Table_1!S70</f>
        <v>0</v>
      </c>
      <c r="S66" s="20">
        <f>Coal_Table_1!T70</f>
        <v>0</v>
      </c>
      <c r="T66" s="20">
        <f>Coal_Table_1!U70</f>
        <v>0</v>
      </c>
      <c r="U66" s="20">
        <f>Oil_Table_3a!E49</f>
        <v>0</v>
      </c>
      <c r="V66" s="20">
        <f>Oil_Table_3a!F49</f>
        <v>0</v>
      </c>
      <c r="W66" s="20"/>
      <c r="X66" s="20"/>
      <c r="Y66" s="20"/>
      <c r="Z66" s="20">
        <f>Oil_Table_3a!G49</f>
        <v>0</v>
      </c>
      <c r="AA66" s="20">
        <f>Oil_Table_3a!H49</f>
        <v>0</v>
      </c>
      <c r="AB66" s="20">
        <f>Oil_Table_3a!I49</f>
        <v>0</v>
      </c>
      <c r="AC66" s="20">
        <f>(Oil_Table_3a!M49)</f>
        <v>0</v>
      </c>
      <c r="AD66" s="20">
        <f>Oil_Table_3a!N49</f>
        <v>0</v>
      </c>
      <c r="AE66" s="20">
        <f>Oil_Table_3a!O49</f>
        <v>0</v>
      </c>
      <c r="AF66" s="20">
        <f>Oil_Table_3a!R49</f>
        <v>0</v>
      </c>
      <c r="AG66" s="20">
        <f>Oil_Table_3a!S49</f>
        <v>0</v>
      </c>
      <c r="AH66" s="20">
        <f>Oil_Table_3a!X49</f>
        <v>0</v>
      </c>
      <c r="AI66" s="20">
        <f>Oil_Table_3a!Y49</f>
        <v>0</v>
      </c>
      <c r="AJ66" s="20">
        <f>Oil_Table_3a!J49</f>
        <v>0</v>
      </c>
      <c r="AK66" s="20">
        <f>Oil_Table_3a!AB49</f>
        <v>0</v>
      </c>
      <c r="AL66" s="20">
        <f>Oil_Table_3a!AC49</f>
        <v>0</v>
      </c>
      <c r="AM66" s="20">
        <f>Oil_Table_3a!AD49</f>
        <v>0</v>
      </c>
      <c r="AN66" s="20">
        <f>Oil_Table_3a!AE49</f>
        <v>0</v>
      </c>
      <c r="AO66" s="20">
        <f>Oil_Table_3a!AF49-Oil_Table_3a!AJ49</f>
        <v>0</v>
      </c>
      <c r="AP66" s="20">
        <f>Oil_Table_3a!AG49-Oil_Table_3a!AK49</f>
        <v>0</v>
      </c>
      <c r="AQ66" s="20">
        <f>Gas_Table_2b!E17</f>
        <v>0</v>
      </c>
      <c r="AR66" s="20">
        <f>Ren_Table_2a!G49</f>
        <v>0</v>
      </c>
      <c r="AS66" s="20">
        <f>Ren_Table_2a!H49</f>
        <v>0</v>
      </c>
      <c r="AT66" s="20">
        <f>Ren_Table_2a!I49</f>
        <v>0</v>
      </c>
      <c r="AU66" s="20">
        <f>Ren_Table_2a!J49</f>
        <v>0</v>
      </c>
      <c r="AV66" s="20">
        <f>Ren_Table_2a!L49</f>
        <v>0</v>
      </c>
      <c r="AW66" s="20">
        <f>ROUND(Oil_Table_3a!L49+Ren_Table_2a!M49,3)</f>
        <v>0</v>
      </c>
      <c r="AX66" s="20">
        <f>ROUND(Oil_Table_3a!Q49+Ren_Table_2a!O49,3)</f>
        <v>0</v>
      </c>
      <c r="AY66" s="20">
        <f>ROUND(Oil_Table_3a!W49+Ren_Table_2a!P49,3)</f>
        <v>0</v>
      </c>
      <c r="AZ66" s="20">
        <f>ROUND(Ren_Table_2a!Q49,3)</f>
        <v>0</v>
      </c>
      <c r="BA66" s="20"/>
      <c r="BB66" s="20">
        <f>Ren_Table_2a!K49</f>
        <v>0</v>
      </c>
      <c r="BC66" s="20"/>
      <c r="BD66" s="20"/>
      <c r="BE66" s="20">
        <f>Ren_Table_2a!E49</f>
        <v>0</v>
      </c>
      <c r="BF66" s="20"/>
      <c r="BG66" s="20">
        <f>Ren_Table_2a!F49</f>
        <v>0</v>
      </c>
      <c r="BH66" s="20"/>
      <c r="BI66" s="20"/>
      <c r="BJ66" s="20"/>
      <c r="BK66" s="20"/>
      <c r="BL66" s="20"/>
      <c r="BM66" s="20"/>
      <c r="BN66" s="20">
        <f>Ele_Table_4!E28</f>
        <v>0</v>
      </c>
      <c r="BO66" s="20">
        <f>Ele_Table_4!F28</f>
        <v>0</v>
      </c>
      <c r="BP66" s="590"/>
    </row>
    <row r="67" spans="1:68" x14ac:dyDescent="0.2">
      <c r="A67" s="589" t="s">
        <v>1242</v>
      </c>
      <c r="B67" s="20" t="s">
        <v>1241</v>
      </c>
      <c r="C67" s="20">
        <f>Coal_Table_1!E71</f>
        <v>0</v>
      </c>
      <c r="D67" s="20">
        <f>Coal_Table_1!F71</f>
        <v>0</v>
      </c>
      <c r="E67" s="20">
        <f>Coal_Table_1!G71</f>
        <v>0</v>
      </c>
      <c r="F67" s="20">
        <f>Coal_Table_1!H71</f>
        <v>0</v>
      </c>
      <c r="G67" s="20">
        <f>Coal_Table_1!I71</f>
        <v>0</v>
      </c>
      <c r="H67" s="20">
        <f>Coal_Table_1!J71</f>
        <v>0</v>
      </c>
      <c r="I67" s="20">
        <f>Coal_Table_1!K71</f>
        <v>0</v>
      </c>
      <c r="J67" s="20">
        <f>Coal_Table_1!L71</f>
        <v>0</v>
      </c>
      <c r="K67" s="20">
        <f>Coal_Table_1!M71</f>
        <v>0</v>
      </c>
      <c r="L67" s="20">
        <f>Coal_Table_1!N71</f>
        <v>0</v>
      </c>
      <c r="M67" s="20">
        <f>Coal_Table_1!O71</f>
        <v>0</v>
      </c>
      <c r="N67" s="20">
        <f>Coal_Table_1!P71</f>
        <v>0</v>
      </c>
      <c r="O67" s="20">
        <f>Coal_Table_1!Q71</f>
        <v>0</v>
      </c>
      <c r="P67" s="20">
        <f>Coal_Table_1!R71</f>
        <v>0</v>
      </c>
      <c r="Q67" s="20"/>
      <c r="R67" s="20">
        <f>Coal_Table_1!S71</f>
        <v>0</v>
      </c>
      <c r="S67" s="20">
        <f>Coal_Table_1!T71</f>
        <v>0</v>
      </c>
      <c r="T67" s="20">
        <f>Coal_Table_1!U71</f>
        <v>0</v>
      </c>
      <c r="U67" s="20">
        <f>Oil_Table_3a!E50</f>
        <v>0</v>
      </c>
      <c r="V67" s="20">
        <f>Oil_Table_3a!F50</f>
        <v>0</v>
      </c>
      <c r="W67" s="20"/>
      <c r="X67" s="20"/>
      <c r="Y67" s="20"/>
      <c r="Z67" s="20">
        <f>Oil_Table_3a!G50</f>
        <v>0</v>
      </c>
      <c r="AA67" s="20">
        <f>Oil_Table_3a!H50</f>
        <v>0</v>
      </c>
      <c r="AB67" s="20">
        <f>Oil_Table_3a!I50</f>
        <v>0</v>
      </c>
      <c r="AC67" s="20">
        <f>(Oil_Table_3a!M50)</f>
        <v>0</v>
      </c>
      <c r="AD67" s="20">
        <f>Oil_Table_3a!N50</f>
        <v>0</v>
      </c>
      <c r="AE67" s="20">
        <f>Oil_Table_3a!O50</f>
        <v>0</v>
      </c>
      <c r="AF67" s="20">
        <f>Oil_Table_3a!R50</f>
        <v>0</v>
      </c>
      <c r="AG67" s="20">
        <f>Oil_Table_3a!S50</f>
        <v>0</v>
      </c>
      <c r="AH67" s="20">
        <f>Oil_Table_3a!X50</f>
        <v>0</v>
      </c>
      <c r="AI67" s="20">
        <f>Oil_Table_3a!Y50</f>
        <v>0</v>
      </c>
      <c r="AJ67" s="20">
        <f>Oil_Table_3a!J50</f>
        <v>0</v>
      </c>
      <c r="AK67" s="20">
        <f>Oil_Table_3a!AB50</f>
        <v>0</v>
      </c>
      <c r="AL67" s="20">
        <f>Oil_Table_3a!AC50</f>
        <v>0</v>
      </c>
      <c r="AM67" s="20">
        <f>Oil_Table_3a!AD50</f>
        <v>0</v>
      </c>
      <c r="AN67" s="20">
        <f>Oil_Table_3a!AE50</f>
        <v>0</v>
      </c>
      <c r="AO67" s="20">
        <f>Oil_Table_3a!AF50-Oil_Table_3a!AJ50</f>
        <v>0</v>
      </c>
      <c r="AP67" s="20">
        <f>Oil_Table_3a!AG50-Oil_Table_3a!AK50</f>
        <v>0</v>
      </c>
      <c r="AQ67" s="20">
        <f>Gas_Table_2b!E18</f>
        <v>0</v>
      </c>
      <c r="AR67" s="20">
        <f>Ren_Table_2a!G50</f>
        <v>0</v>
      </c>
      <c r="AS67" s="20">
        <f>Ren_Table_2a!H50</f>
        <v>0</v>
      </c>
      <c r="AT67" s="20">
        <f>Ren_Table_2a!I50</f>
        <v>0</v>
      </c>
      <c r="AU67" s="20">
        <f>Ren_Table_2a!J50</f>
        <v>0</v>
      </c>
      <c r="AV67" s="20">
        <f>Ren_Table_2a!L50</f>
        <v>0</v>
      </c>
      <c r="AW67" s="20">
        <f>ROUND(Oil_Table_3a!L50+Ren_Table_2a!M50,3)</f>
        <v>0</v>
      </c>
      <c r="AX67" s="20">
        <f>ROUND(Oil_Table_3a!Q50+Ren_Table_2a!O50,3)</f>
        <v>0</v>
      </c>
      <c r="AY67" s="20">
        <f>ROUND(Oil_Table_3a!W50+Ren_Table_2a!P50,3)</f>
        <v>0</v>
      </c>
      <c r="AZ67" s="20">
        <f>ROUND(Ren_Table_2a!Q50,3)</f>
        <v>0</v>
      </c>
      <c r="BA67" s="20"/>
      <c r="BB67" s="20">
        <f>Ren_Table_2a!K50</f>
        <v>0</v>
      </c>
      <c r="BC67" s="20"/>
      <c r="BD67" s="20"/>
      <c r="BE67" s="20">
        <f>Ren_Table_2a!E50</f>
        <v>0</v>
      </c>
      <c r="BF67" s="20"/>
      <c r="BG67" s="20">
        <f>Ren_Table_2a!F50</f>
        <v>0</v>
      </c>
      <c r="BH67" s="20"/>
      <c r="BI67" s="20"/>
      <c r="BJ67" s="20"/>
      <c r="BK67" s="20"/>
      <c r="BL67" s="20"/>
      <c r="BM67" s="20"/>
      <c r="BN67" s="20">
        <f>Ele_Table_4!E29</f>
        <v>0</v>
      </c>
      <c r="BO67" s="20">
        <f>Ele_Table_4!F29</f>
        <v>0</v>
      </c>
      <c r="BP67" s="590"/>
    </row>
    <row r="68" spans="1:68" x14ac:dyDescent="0.2">
      <c r="A68" s="589" t="s">
        <v>1249</v>
      </c>
      <c r="B68" s="20" t="s">
        <v>1248</v>
      </c>
      <c r="C68" s="20">
        <f>Coal_Table_1!E72</f>
        <v>0</v>
      </c>
      <c r="D68" s="20">
        <f>Coal_Table_1!F72</f>
        <v>0</v>
      </c>
      <c r="E68" s="20">
        <f>Coal_Table_1!G72</f>
        <v>0</v>
      </c>
      <c r="F68" s="20">
        <f>Coal_Table_1!H72</f>
        <v>0</v>
      </c>
      <c r="G68" s="20">
        <f>Coal_Table_1!I72</f>
        <v>0</v>
      </c>
      <c r="H68" s="20">
        <f>Coal_Table_1!J72</f>
        <v>0</v>
      </c>
      <c r="I68" s="20">
        <f>Coal_Table_1!K72</f>
        <v>0</v>
      </c>
      <c r="J68" s="20">
        <f>Coal_Table_1!L72</f>
        <v>0</v>
      </c>
      <c r="K68" s="20">
        <f>Coal_Table_1!M72</f>
        <v>0</v>
      </c>
      <c r="L68" s="20">
        <f>Coal_Table_1!N72</f>
        <v>0</v>
      </c>
      <c r="M68" s="20">
        <f>Coal_Table_1!O72</f>
        <v>0</v>
      </c>
      <c r="N68" s="20">
        <f>Coal_Table_1!P72</f>
        <v>0</v>
      </c>
      <c r="O68" s="20">
        <f>Coal_Table_1!Q72</f>
        <v>0</v>
      </c>
      <c r="P68" s="20">
        <f>Coal_Table_1!R72</f>
        <v>0</v>
      </c>
      <c r="Q68" s="20"/>
      <c r="R68" s="20">
        <f>Coal_Table_1!S72</f>
        <v>0</v>
      </c>
      <c r="S68" s="20">
        <f>Coal_Table_1!T72</f>
        <v>0</v>
      </c>
      <c r="T68" s="20">
        <f>Coal_Table_1!U72</f>
        <v>0</v>
      </c>
      <c r="U68" s="20">
        <f>Oil_Table_3a!E51</f>
        <v>0</v>
      </c>
      <c r="V68" s="20">
        <f>Oil_Table_3a!F51</f>
        <v>0</v>
      </c>
      <c r="W68" s="20"/>
      <c r="X68" s="20"/>
      <c r="Y68" s="20"/>
      <c r="Z68" s="20">
        <f>Oil_Table_3a!G51</f>
        <v>0</v>
      </c>
      <c r="AA68" s="20">
        <f>Oil_Table_3a!H51</f>
        <v>0</v>
      </c>
      <c r="AB68" s="20">
        <f>Oil_Table_3a!I51</f>
        <v>0</v>
      </c>
      <c r="AC68" s="20">
        <f>(Oil_Table_3a!M51)</f>
        <v>0</v>
      </c>
      <c r="AD68" s="20">
        <f>Oil_Table_3a!N51</f>
        <v>0</v>
      </c>
      <c r="AE68" s="20">
        <f>Oil_Table_3a!O51</f>
        <v>0</v>
      </c>
      <c r="AF68" s="20">
        <f>Oil_Table_3a!R51</f>
        <v>0</v>
      </c>
      <c r="AG68" s="20">
        <f>Oil_Table_3a!S51</f>
        <v>0</v>
      </c>
      <c r="AH68" s="20">
        <f>Oil_Table_3a!X51</f>
        <v>0</v>
      </c>
      <c r="AI68" s="20">
        <f>Oil_Table_3a!Y51</f>
        <v>0</v>
      </c>
      <c r="AJ68" s="20">
        <f>Oil_Table_3a!J51</f>
        <v>0</v>
      </c>
      <c r="AK68" s="20">
        <f>Oil_Table_3a!AB51</f>
        <v>0</v>
      </c>
      <c r="AL68" s="20">
        <f>Oil_Table_3a!AC51</f>
        <v>0</v>
      </c>
      <c r="AM68" s="20">
        <f>Oil_Table_3a!AD51</f>
        <v>0</v>
      </c>
      <c r="AN68" s="20">
        <f>Oil_Table_3a!AE51</f>
        <v>0</v>
      </c>
      <c r="AO68" s="20">
        <f>Oil_Table_3a!AF51-Oil_Table_3a!AJ51</f>
        <v>0</v>
      </c>
      <c r="AP68" s="20">
        <f>Oil_Table_3a!AG51-Oil_Table_3a!AK51</f>
        <v>0</v>
      </c>
      <c r="AQ68" s="20">
        <f>Gas_Table_2b!E19</f>
        <v>0</v>
      </c>
      <c r="AR68" s="20">
        <f>Ren_Table_2a!G51</f>
        <v>0</v>
      </c>
      <c r="AS68" s="20">
        <f>Ren_Table_2a!H51</f>
        <v>0</v>
      </c>
      <c r="AT68" s="20">
        <f>Ren_Table_2a!I51</f>
        <v>0</v>
      </c>
      <c r="AU68" s="20">
        <f>Ren_Table_2a!J51</f>
        <v>0</v>
      </c>
      <c r="AV68" s="20">
        <f>Ren_Table_2a!L51</f>
        <v>0</v>
      </c>
      <c r="AW68" s="20">
        <f>ROUND(Oil_Table_3a!L51+Ren_Table_2a!M51,3)</f>
        <v>0</v>
      </c>
      <c r="AX68" s="20">
        <f>ROUND(Oil_Table_3a!Q51+Ren_Table_2a!O51,3)</f>
        <v>0</v>
      </c>
      <c r="AY68" s="20">
        <f>ROUND(Oil_Table_3a!W51+Ren_Table_2a!P51,3)</f>
        <v>0</v>
      </c>
      <c r="AZ68" s="20">
        <f>ROUND(Ren_Table_2a!Q51,3)</f>
        <v>0</v>
      </c>
      <c r="BA68" s="20"/>
      <c r="BB68" s="20">
        <f>Ren_Table_2a!K51</f>
        <v>0</v>
      </c>
      <c r="BC68" s="20"/>
      <c r="BD68" s="20"/>
      <c r="BE68" s="20">
        <f>Ren_Table_2a!E51</f>
        <v>0</v>
      </c>
      <c r="BF68" s="20"/>
      <c r="BG68" s="20">
        <f>Ren_Table_2a!F51</f>
        <v>0</v>
      </c>
      <c r="BH68" s="20"/>
      <c r="BI68" s="20"/>
      <c r="BJ68" s="20"/>
      <c r="BK68" s="20"/>
      <c r="BL68" s="20"/>
      <c r="BM68" s="20"/>
      <c r="BN68" s="20">
        <f>Ele_Table_4!E30</f>
        <v>0</v>
      </c>
      <c r="BO68" s="20">
        <f>Ele_Table_4!F30</f>
        <v>0</v>
      </c>
      <c r="BP68" s="590"/>
    </row>
    <row r="69" spans="1:68" x14ac:dyDescent="0.2">
      <c r="A69" s="589" t="s">
        <v>7010</v>
      </c>
      <c r="B69" s="20" t="s">
        <v>1255</v>
      </c>
      <c r="C69" s="20">
        <f>Coal_Table_1!E73</f>
        <v>0</v>
      </c>
      <c r="D69" s="20">
        <f>Coal_Table_1!F73</f>
        <v>0</v>
      </c>
      <c r="E69" s="20">
        <f>Coal_Table_1!G73</f>
        <v>0</v>
      </c>
      <c r="F69" s="20">
        <f>Coal_Table_1!H73</f>
        <v>0</v>
      </c>
      <c r="G69" s="20">
        <f>Coal_Table_1!I73</f>
        <v>0</v>
      </c>
      <c r="H69" s="20">
        <f>Coal_Table_1!J73</f>
        <v>0</v>
      </c>
      <c r="I69" s="20">
        <f>Coal_Table_1!K73</f>
        <v>0</v>
      </c>
      <c r="J69" s="20">
        <f>Coal_Table_1!L73</f>
        <v>0</v>
      </c>
      <c r="K69" s="20">
        <f>Coal_Table_1!M73</f>
        <v>0</v>
      </c>
      <c r="L69" s="20">
        <f>Coal_Table_1!N73</f>
        <v>0</v>
      </c>
      <c r="M69" s="20">
        <f>Coal_Table_1!O73</f>
        <v>0</v>
      </c>
      <c r="N69" s="20">
        <f>Coal_Table_1!P73</f>
        <v>0</v>
      </c>
      <c r="O69" s="20">
        <f>Coal_Table_1!Q73</f>
        <v>0</v>
      </c>
      <c r="P69" s="20">
        <f>Coal_Table_1!R73</f>
        <v>0</v>
      </c>
      <c r="Q69" s="20"/>
      <c r="R69" s="20">
        <f>Coal_Table_1!S73</f>
        <v>0</v>
      </c>
      <c r="S69" s="20">
        <f>Coal_Table_1!T73</f>
        <v>0</v>
      </c>
      <c r="T69" s="20">
        <f>Coal_Table_1!U73</f>
        <v>0</v>
      </c>
      <c r="U69" s="20">
        <f>Oil_Table_3a!E52</f>
        <v>0</v>
      </c>
      <c r="V69" s="20">
        <f>Oil_Table_3a!F52</f>
        <v>0</v>
      </c>
      <c r="W69" s="20"/>
      <c r="X69" s="20"/>
      <c r="Y69" s="20"/>
      <c r="Z69" s="20">
        <f>Oil_Table_3a!G52</f>
        <v>0</v>
      </c>
      <c r="AA69" s="20">
        <f>Oil_Table_3a!H52</f>
        <v>0</v>
      </c>
      <c r="AB69" s="20">
        <f>Oil_Table_3a!I52</f>
        <v>0</v>
      </c>
      <c r="AC69" s="20">
        <f>(Oil_Table_3a!M52)</f>
        <v>0</v>
      </c>
      <c r="AD69" s="20">
        <f>Oil_Table_3a!N52</f>
        <v>0</v>
      </c>
      <c r="AE69" s="20">
        <f>Oil_Table_3a!O52</f>
        <v>0</v>
      </c>
      <c r="AF69" s="20">
        <f>Oil_Table_3a!R52</f>
        <v>0</v>
      </c>
      <c r="AG69" s="20">
        <f>Oil_Table_3a!S52</f>
        <v>0</v>
      </c>
      <c r="AH69" s="20">
        <f>Oil_Table_3a!X52</f>
        <v>0</v>
      </c>
      <c r="AI69" s="20">
        <f>Oil_Table_3a!Y52</f>
        <v>0</v>
      </c>
      <c r="AJ69" s="20">
        <f>Oil_Table_3a!J52</f>
        <v>0</v>
      </c>
      <c r="AK69" s="20">
        <f>Oil_Table_3a!AB52</f>
        <v>0</v>
      </c>
      <c r="AL69" s="20">
        <f>Oil_Table_3a!AC52</f>
        <v>0</v>
      </c>
      <c r="AM69" s="20">
        <f>Oil_Table_3a!AD52</f>
        <v>0</v>
      </c>
      <c r="AN69" s="20">
        <f>Oil_Table_3a!AE52</f>
        <v>0</v>
      </c>
      <c r="AO69" s="20">
        <f>Oil_Table_3a!AF52-Oil_Table_3a!AJ52</f>
        <v>0</v>
      </c>
      <c r="AP69" s="20">
        <f>Oil_Table_3a!AG52-Oil_Table_3a!AK52</f>
        <v>0</v>
      </c>
      <c r="AQ69" s="20">
        <f>Gas_Table_2b!E20</f>
        <v>0</v>
      </c>
      <c r="AR69" s="20">
        <f>Ren_Table_2a!G52</f>
        <v>0</v>
      </c>
      <c r="AS69" s="20">
        <f>Ren_Table_2a!H52</f>
        <v>0</v>
      </c>
      <c r="AT69" s="20">
        <f>Ren_Table_2a!I52</f>
        <v>0</v>
      </c>
      <c r="AU69" s="20">
        <f>Ren_Table_2a!J52</f>
        <v>0</v>
      </c>
      <c r="AV69" s="20">
        <f>Ren_Table_2a!L52</f>
        <v>0</v>
      </c>
      <c r="AW69" s="20">
        <f>ROUND(Oil_Table_3a!L52+Ren_Table_2a!M52,3)</f>
        <v>0</v>
      </c>
      <c r="AX69" s="20">
        <f>ROUND(Oil_Table_3a!Q52+Ren_Table_2a!O52,3)</f>
        <v>0</v>
      </c>
      <c r="AY69" s="20">
        <f>ROUND(Oil_Table_3a!W52+Ren_Table_2a!P52,3)</f>
        <v>0</v>
      </c>
      <c r="AZ69" s="20">
        <f>ROUND(Ren_Table_2a!Q52,3)</f>
        <v>0</v>
      </c>
      <c r="BA69" s="20"/>
      <c r="BB69" s="20">
        <f>Ren_Table_2a!K52</f>
        <v>0</v>
      </c>
      <c r="BC69" s="20"/>
      <c r="BD69" s="20"/>
      <c r="BE69" s="20">
        <f>Ren_Table_2a!E52</f>
        <v>0</v>
      </c>
      <c r="BF69" s="20"/>
      <c r="BG69" s="20">
        <f>Ren_Table_2a!F52</f>
        <v>0</v>
      </c>
      <c r="BH69" s="20"/>
      <c r="BI69" s="20"/>
      <c r="BJ69" s="20"/>
      <c r="BK69" s="20"/>
      <c r="BL69" s="20"/>
      <c r="BM69" s="20"/>
      <c r="BN69" s="20">
        <f>Ele_Table_4!E31</f>
        <v>0</v>
      </c>
      <c r="BO69" s="20">
        <f>Ele_Table_4!F31</f>
        <v>0</v>
      </c>
      <c r="BP69" s="590"/>
    </row>
    <row r="70" spans="1:68" x14ac:dyDescent="0.2">
      <c r="A70" s="589" t="s">
        <v>1263</v>
      </c>
      <c r="B70" s="20" t="s">
        <v>1262</v>
      </c>
      <c r="C70" s="20">
        <f>Coal_Table_1!E74</f>
        <v>0</v>
      </c>
      <c r="D70" s="20">
        <f>Coal_Table_1!F74</f>
        <v>0</v>
      </c>
      <c r="E70" s="20">
        <f>Coal_Table_1!G74</f>
        <v>0</v>
      </c>
      <c r="F70" s="20">
        <f>Coal_Table_1!H74</f>
        <v>0</v>
      </c>
      <c r="G70" s="20">
        <f>Coal_Table_1!I74</f>
        <v>0</v>
      </c>
      <c r="H70" s="20">
        <f>Coal_Table_1!J74</f>
        <v>0</v>
      </c>
      <c r="I70" s="20">
        <f>Coal_Table_1!K74</f>
        <v>0</v>
      </c>
      <c r="J70" s="20">
        <f>Coal_Table_1!L74</f>
        <v>0</v>
      </c>
      <c r="K70" s="20">
        <f>Coal_Table_1!M74</f>
        <v>0</v>
      </c>
      <c r="L70" s="20">
        <f>Coal_Table_1!N74</f>
        <v>0</v>
      </c>
      <c r="M70" s="20">
        <f>Coal_Table_1!O74</f>
        <v>0</v>
      </c>
      <c r="N70" s="20">
        <f>Coal_Table_1!P74</f>
        <v>0</v>
      </c>
      <c r="O70" s="20">
        <f>Coal_Table_1!Q74</f>
        <v>0</v>
      </c>
      <c r="P70" s="20">
        <f>Coal_Table_1!R74</f>
        <v>0</v>
      </c>
      <c r="Q70" s="20"/>
      <c r="R70" s="20">
        <f>Coal_Table_1!S74</f>
        <v>0</v>
      </c>
      <c r="S70" s="20">
        <f>Coal_Table_1!T74</f>
        <v>0</v>
      </c>
      <c r="T70" s="20">
        <f>Coal_Table_1!U74</f>
        <v>0</v>
      </c>
      <c r="U70" s="20">
        <f>Oil_Table_3a!E53</f>
        <v>0</v>
      </c>
      <c r="V70" s="20">
        <f>Oil_Table_3a!F53</f>
        <v>0</v>
      </c>
      <c r="W70" s="20"/>
      <c r="X70" s="20"/>
      <c r="Y70" s="20"/>
      <c r="Z70" s="20">
        <f>Oil_Table_3a!G53</f>
        <v>0</v>
      </c>
      <c r="AA70" s="20">
        <f>Oil_Table_3a!H53</f>
        <v>0</v>
      </c>
      <c r="AB70" s="20">
        <f>Oil_Table_3a!I53</f>
        <v>0</v>
      </c>
      <c r="AC70" s="20">
        <f>(Oil_Table_3a!M53)</f>
        <v>0</v>
      </c>
      <c r="AD70" s="20">
        <f>Oil_Table_3a!N53</f>
        <v>0</v>
      </c>
      <c r="AE70" s="20">
        <f>Oil_Table_3a!O53</f>
        <v>0</v>
      </c>
      <c r="AF70" s="20">
        <f>Oil_Table_3a!R53</f>
        <v>0</v>
      </c>
      <c r="AG70" s="20">
        <f>Oil_Table_3a!S53</f>
        <v>0</v>
      </c>
      <c r="AH70" s="20">
        <f>Oil_Table_3a!X53</f>
        <v>0</v>
      </c>
      <c r="AI70" s="20">
        <f>Oil_Table_3a!Y53</f>
        <v>0</v>
      </c>
      <c r="AJ70" s="20">
        <f>Oil_Table_3a!J53</f>
        <v>0</v>
      </c>
      <c r="AK70" s="20">
        <f>Oil_Table_3a!AB53</f>
        <v>0</v>
      </c>
      <c r="AL70" s="20">
        <f>Oil_Table_3a!AC53</f>
        <v>0</v>
      </c>
      <c r="AM70" s="20">
        <f>Oil_Table_3a!AD53</f>
        <v>0</v>
      </c>
      <c r="AN70" s="20">
        <f>Oil_Table_3a!AE53</f>
        <v>0</v>
      </c>
      <c r="AO70" s="20">
        <f>Oil_Table_3a!AF53-Oil_Table_3a!AJ53</f>
        <v>0</v>
      </c>
      <c r="AP70" s="20">
        <f>Oil_Table_3a!AG53-Oil_Table_3a!AK53</f>
        <v>0</v>
      </c>
      <c r="AQ70" s="20">
        <f>Gas_Table_2b!E21</f>
        <v>0</v>
      </c>
      <c r="AR70" s="20">
        <f>Ren_Table_2a!G53</f>
        <v>0</v>
      </c>
      <c r="AS70" s="20">
        <f>Ren_Table_2a!H53</f>
        <v>0</v>
      </c>
      <c r="AT70" s="20">
        <f>Ren_Table_2a!I53</f>
        <v>0</v>
      </c>
      <c r="AU70" s="20">
        <f>Ren_Table_2a!J53</f>
        <v>0</v>
      </c>
      <c r="AV70" s="20">
        <f>Ren_Table_2a!L53</f>
        <v>0</v>
      </c>
      <c r="AW70" s="20">
        <f>ROUND(Oil_Table_3a!L53+Ren_Table_2a!M53,3)</f>
        <v>0</v>
      </c>
      <c r="AX70" s="20">
        <f>ROUND(Oil_Table_3a!Q53+Ren_Table_2a!O53,3)</f>
        <v>0</v>
      </c>
      <c r="AY70" s="20">
        <f>ROUND(Oil_Table_3a!W53+Ren_Table_2a!P53,3)</f>
        <v>0</v>
      </c>
      <c r="AZ70" s="20">
        <f>ROUND(Ren_Table_2a!Q53,3)</f>
        <v>0</v>
      </c>
      <c r="BA70" s="20"/>
      <c r="BB70" s="20">
        <f>Ren_Table_2a!K53</f>
        <v>0</v>
      </c>
      <c r="BC70" s="20"/>
      <c r="BD70" s="20"/>
      <c r="BE70" s="20">
        <f>Ren_Table_2a!E53</f>
        <v>0</v>
      </c>
      <c r="BF70" s="20"/>
      <c r="BG70" s="20">
        <f>Ren_Table_2a!F53</f>
        <v>0</v>
      </c>
      <c r="BH70" s="20"/>
      <c r="BI70" s="20"/>
      <c r="BJ70" s="20"/>
      <c r="BK70" s="20"/>
      <c r="BL70" s="20"/>
      <c r="BM70" s="20"/>
      <c r="BN70" s="20">
        <f>Ele_Table_4!E32</f>
        <v>0</v>
      </c>
      <c r="BO70" s="20">
        <f>Ele_Table_4!F32</f>
        <v>0</v>
      </c>
      <c r="BP70" s="590"/>
    </row>
    <row r="71" spans="1:68" x14ac:dyDescent="0.2">
      <c r="A71" s="589" t="s">
        <v>1270</v>
      </c>
      <c r="B71" s="20" t="s">
        <v>1269</v>
      </c>
      <c r="C71" s="20">
        <f>Coal_Table_1!E75</f>
        <v>0</v>
      </c>
      <c r="D71" s="20">
        <f>Coal_Table_1!F75</f>
        <v>0</v>
      </c>
      <c r="E71" s="20">
        <f>Coal_Table_1!G75</f>
        <v>0</v>
      </c>
      <c r="F71" s="20">
        <f>Coal_Table_1!H75</f>
        <v>0</v>
      </c>
      <c r="G71" s="20">
        <f>Coal_Table_1!I75</f>
        <v>0</v>
      </c>
      <c r="H71" s="20">
        <f>Coal_Table_1!J75</f>
        <v>0</v>
      </c>
      <c r="I71" s="20">
        <f>Coal_Table_1!K75</f>
        <v>0</v>
      </c>
      <c r="J71" s="20">
        <f>Coal_Table_1!L75</f>
        <v>0</v>
      </c>
      <c r="K71" s="20">
        <f>Coal_Table_1!M75</f>
        <v>0</v>
      </c>
      <c r="L71" s="20">
        <f>Coal_Table_1!N75</f>
        <v>0</v>
      </c>
      <c r="M71" s="20">
        <f>Coal_Table_1!O75</f>
        <v>0</v>
      </c>
      <c r="N71" s="20">
        <f>Coal_Table_1!P75</f>
        <v>0</v>
      </c>
      <c r="O71" s="20">
        <f>Coal_Table_1!Q75</f>
        <v>0</v>
      </c>
      <c r="P71" s="20">
        <f>Coal_Table_1!R75</f>
        <v>0</v>
      </c>
      <c r="Q71" s="20"/>
      <c r="R71" s="20">
        <f>Coal_Table_1!S75</f>
        <v>0</v>
      </c>
      <c r="S71" s="20">
        <f>Coal_Table_1!T75</f>
        <v>0</v>
      </c>
      <c r="T71" s="20">
        <f>Coal_Table_1!U75</f>
        <v>0</v>
      </c>
      <c r="U71" s="20">
        <f>Oil_Table_3a!E54</f>
        <v>0</v>
      </c>
      <c r="V71" s="20">
        <f>Oil_Table_3a!F54</f>
        <v>0</v>
      </c>
      <c r="W71" s="20"/>
      <c r="X71" s="20"/>
      <c r="Y71" s="20"/>
      <c r="Z71" s="20">
        <f>Oil_Table_3a!G54</f>
        <v>0</v>
      </c>
      <c r="AA71" s="20">
        <f>Oil_Table_3a!H54</f>
        <v>0</v>
      </c>
      <c r="AB71" s="20">
        <f>Oil_Table_3a!I54</f>
        <v>0</v>
      </c>
      <c r="AC71" s="20">
        <f>(Oil_Table_3a!M54)</f>
        <v>0</v>
      </c>
      <c r="AD71" s="20">
        <f>Oil_Table_3a!N54</f>
        <v>0</v>
      </c>
      <c r="AE71" s="20">
        <f>Oil_Table_3a!O54</f>
        <v>0</v>
      </c>
      <c r="AF71" s="20">
        <f>Oil_Table_3a!R54</f>
        <v>0</v>
      </c>
      <c r="AG71" s="20">
        <f>Oil_Table_3a!S54</f>
        <v>0</v>
      </c>
      <c r="AH71" s="20">
        <f>Oil_Table_3a!X54</f>
        <v>0</v>
      </c>
      <c r="AI71" s="20">
        <f>Oil_Table_3a!Y54</f>
        <v>0</v>
      </c>
      <c r="AJ71" s="20">
        <f>Oil_Table_3a!J54</f>
        <v>0</v>
      </c>
      <c r="AK71" s="20">
        <f>Oil_Table_3a!AB54</f>
        <v>0</v>
      </c>
      <c r="AL71" s="20">
        <f>Oil_Table_3a!AC54</f>
        <v>0</v>
      </c>
      <c r="AM71" s="20">
        <f>Oil_Table_3a!AD54</f>
        <v>0</v>
      </c>
      <c r="AN71" s="20">
        <f>Oil_Table_3a!AE54</f>
        <v>0</v>
      </c>
      <c r="AO71" s="20">
        <f>Oil_Table_3a!AF54-Oil_Table_3a!AJ54</f>
        <v>0</v>
      </c>
      <c r="AP71" s="20">
        <f>Oil_Table_3a!AG54-Oil_Table_3a!AK54</f>
        <v>0</v>
      </c>
      <c r="AQ71" s="20">
        <f>Gas_Table_2b!E22</f>
        <v>0</v>
      </c>
      <c r="AR71" s="20">
        <f>Ren_Table_2a!G54</f>
        <v>0</v>
      </c>
      <c r="AS71" s="20">
        <f>Ren_Table_2a!H54</f>
        <v>0</v>
      </c>
      <c r="AT71" s="20">
        <f>Ren_Table_2a!I54</f>
        <v>0</v>
      </c>
      <c r="AU71" s="20">
        <f>Ren_Table_2a!J54</f>
        <v>0</v>
      </c>
      <c r="AV71" s="20">
        <f>Ren_Table_2a!L54</f>
        <v>0</v>
      </c>
      <c r="AW71" s="20">
        <f>ROUND(Oil_Table_3a!L54+Ren_Table_2a!M54,3)</f>
        <v>0</v>
      </c>
      <c r="AX71" s="20">
        <f>ROUND(Oil_Table_3a!Q54+Ren_Table_2a!O54,3)</f>
        <v>0</v>
      </c>
      <c r="AY71" s="20">
        <f>ROUND(Oil_Table_3a!W54+Ren_Table_2a!P54,3)</f>
        <v>0</v>
      </c>
      <c r="AZ71" s="20">
        <f>ROUND(Ren_Table_2a!Q54,3)</f>
        <v>0</v>
      </c>
      <c r="BA71" s="20"/>
      <c r="BB71" s="20">
        <f>Ren_Table_2a!K54</f>
        <v>0</v>
      </c>
      <c r="BC71" s="20"/>
      <c r="BD71" s="20"/>
      <c r="BE71" s="20">
        <f>Ren_Table_2a!E54</f>
        <v>0</v>
      </c>
      <c r="BF71" s="20"/>
      <c r="BG71" s="20">
        <f>Ren_Table_2a!F54</f>
        <v>0</v>
      </c>
      <c r="BH71" s="20"/>
      <c r="BI71" s="20"/>
      <c r="BJ71" s="20"/>
      <c r="BK71" s="20"/>
      <c r="BL71" s="20"/>
      <c r="BM71" s="20"/>
      <c r="BN71" s="20">
        <f>Ele_Table_4!E33</f>
        <v>0</v>
      </c>
      <c r="BO71" s="20">
        <f>Ele_Table_4!F33</f>
        <v>0</v>
      </c>
      <c r="BP71" s="590"/>
    </row>
    <row r="72" spans="1:68" x14ac:dyDescent="0.2">
      <c r="A72" s="589" t="s">
        <v>1277</v>
      </c>
      <c r="B72" s="20" t="s">
        <v>1276</v>
      </c>
      <c r="C72" s="20">
        <f>Coal_Table_1!E76</f>
        <v>0</v>
      </c>
      <c r="D72" s="20">
        <f>Coal_Table_1!F76</f>
        <v>0</v>
      </c>
      <c r="E72" s="20">
        <f>Coal_Table_1!G76</f>
        <v>0</v>
      </c>
      <c r="F72" s="20">
        <f>Coal_Table_1!H76</f>
        <v>0</v>
      </c>
      <c r="G72" s="20">
        <f>Coal_Table_1!I76</f>
        <v>0</v>
      </c>
      <c r="H72" s="20">
        <f>Coal_Table_1!J76</f>
        <v>0</v>
      </c>
      <c r="I72" s="20">
        <f>Coal_Table_1!K76</f>
        <v>0</v>
      </c>
      <c r="J72" s="20">
        <f>Coal_Table_1!L76</f>
        <v>0</v>
      </c>
      <c r="K72" s="20">
        <f>Coal_Table_1!M76</f>
        <v>0</v>
      </c>
      <c r="L72" s="20">
        <f>Coal_Table_1!N76</f>
        <v>0</v>
      </c>
      <c r="M72" s="20">
        <f>Coal_Table_1!O76</f>
        <v>0</v>
      </c>
      <c r="N72" s="20">
        <f>Coal_Table_1!P76</f>
        <v>0</v>
      </c>
      <c r="O72" s="20">
        <f>Coal_Table_1!Q76</f>
        <v>0</v>
      </c>
      <c r="P72" s="20">
        <f>Coal_Table_1!R76</f>
        <v>0</v>
      </c>
      <c r="Q72" s="20"/>
      <c r="R72" s="20">
        <f>Coal_Table_1!S76</f>
        <v>0</v>
      </c>
      <c r="S72" s="20">
        <f>Coal_Table_1!T76</f>
        <v>0</v>
      </c>
      <c r="T72" s="20">
        <f>Coal_Table_1!U76</f>
        <v>0</v>
      </c>
      <c r="U72" s="20">
        <f>Oil_Table_3a!E55</f>
        <v>0</v>
      </c>
      <c r="V72" s="20">
        <f>Oil_Table_3a!F55</f>
        <v>0</v>
      </c>
      <c r="W72" s="20"/>
      <c r="X72" s="20"/>
      <c r="Y72" s="20"/>
      <c r="Z72" s="20">
        <f>Oil_Table_3a!G55</f>
        <v>0</v>
      </c>
      <c r="AA72" s="20">
        <f>Oil_Table_3a!H55</f>
        <v>0</v>
      </c>
      <c r="AB72" s="20">
        <f>Oil_Table_3a!I55</f>
        <v>0</v>
      </c>
      <c r="AC72" s="20">
        <f>(Oil_Table_3a!M55)</f>
        <v>0</v>
      </c>
      <c r="AD72" s="20">
        <f>Oil_Table_3a!N55</f>
        <v>0</v>
      </c>
      <c r="AE72" s="20">
        <f>Oil_Table_3a!O55</f>
        <v>0</v>
      </c>
      <c r="AF72" s="20">
        <f>Oil_Table_3a!R55</f>
        <v>0</v>
      </c>
      <c r="AG72" s="20">
        <f>Oil_Table_3a!S55</f>
        <v>0</v>
      </c>
      <c r="AH72" s="20">
        <f>Oil_Table_3a!X55</f>
        <v>0</v>
      </c>
      <c r="AI72" s="20">
        <f>Oil_Table_3a!Y55</f>
        <v>0</v>
      </c>
      <c r="AJ72" s="20">
        <f>Oil_Table_3a!J55</f>
        <v>0</v>
      </c>
      <c r="AK72" s="20">
        <f>Oil_Table_3a!AB55</f>
        <v>0</v>
      </c>
      <c r="AL72" s="20">
        <f>Oil_Table_3a!AC55</f>
        <v>0</v>
      </c>
      <c r="AM72" s="20">
        <f>Oil_Table_3a!AD55</f>
        <v>0</v>
      </c>
      <c r="AN72" s="20">
        <f>Oil_Table_3a!AE55</f>
        <v>0</v>
      </c>
      <c r="AO72" s="20">
        <f>Oil_Table_3a!AF55-Oil_Table_3a!AJ55</f>
        <v>0</v>
      </c>
      <c r="AP72" s="20">
        <f>Oil_Table_3a!AG55-Oil_Table_3a!AK55</f>
        <v>0</v>
      </c>
      <c r="AQ72" s="20">
        <f>Gas_Table_2b!E23</f>
        <v>0</v>
      </c>
      <c r="AR72" s="20">
        <f>Ren_Table_2a!G55</f>
        <v>0</v>
      </c>
      <c r="AS72" s="20">
        <f>Ren_Table_2a!H55</f>
        <v>0</v>
      </c>
      <c r="AT72" s="20">
        <f>Ren_Table_2a!I55</f>
        <v>0</v>
      </c>
      <c r="AU72" s="20">
        <f>Ren_Table_2a!J55</f>
        <v>0</v>
      </c>
      <c r="AV72" s="20">
        <f>Ren_Table_2a!L55</f>
        <v>0</v>
      </c>
      <c r="AW72" s="20">
        <f>ROUND(Oil_Table_3a!L55+Ren_Table_2a!M55,3)</f>
        <v>0</v>
      </c>
      <c r="AX72" s="20">
        <f>ROUND(Oil_Table_3a!Q55+Ren_Table_2a!O55,3)</f>
        <v>0</v>
      </c>
      <c r="AY72" s="20">
        <f>ROUND(Oil_Table_3a!W55+Ren_Table_2a!P55,3)</f>
        <v>0</v>
      </c>
      <c r="AZ72" s="20">
        <f>ROUND(Ren_Table_2a!Q55,3)</f>
        <v>0</v>
      </c>
      <c r="BA72" s="20"/>
      <c r="BB72" s="20">
        <f>Ren_Table_2a!K55</f>
        <v>0</v>
      </c>
      <c r="BC72" s="20"/>
      <c r="BD72" s="20"/>
      <c r="BE72" s="20">
        <f>Ren_Table_2a!E55</f>
        <v>0</v>
      </c>
      <c r="BF72" s="20"/>
      <c r="BG72" s="20">
        <f>Ren_Table_2a!F55</f>
        <v>0</v>
      </c>
      <c r="BH72" s="20"/>
      <c r="BI72" s="20"/>
      <c r="BJ72" s="20"/>
      <c r="BK72" s="20"/>
      <c r="BL72" s="20"/>
      <c r="BM72" s="20"/>
      <c r="BN72" s="20">
        <f>Ele_Table_4!E34</f>
        <v>0</v>
      </c>
      <c r="BO72" s="20">
        <f>Ele_Table_4!F34</f>
        <v>0</v>
      </c>
      <c r="BP72" s="590"/>
    </row>
    <row r="73" spans="1:68" x14ac:dyDescent="0.2">
      <c r="A73" s="589" t="s">
        <v>7011</v>
      </c>
      <c r="B73" s="20" t="s">
        <v>1283</v>
      </c>
      <c r="C73" s="20">
        <f>Coal_Table_1!E77</f>
        <v>0</v>
      </c>
      <c r="D73" s="20">
        <f>Coal_Table_1!F77</f>
        <v>0</v>
      </c>
      <c r="E73" s="20">
        <f>Coal_Table_1!G77</f>
        <v>0</v>
      </c>
      <c r="F73" s="20">
        <f>Coal_Table_1!H77</f>
        <v>0</v>
      </c>
      <c r="G73" s="20">
        <f>Coal_Table_1!I77</f>
        <v>0</v>
      </c>
      <c r="H73" s="20">
        <f>Coal_Table_1!J77</f>
        <v>0</v>
      </c>
      <c r="I73" s="20">
        <f>Coal_Table_1!K77</f>
        <v>0</v>
      </c>
      <c r="J73" s="20">
        <f>Coal_Table_1!L77</f>
        <v>0</v>
      </c>
      <c r="K73" s="20">
        <f>Coal_Table_1!M77</f>
        <v>0</v>
      </c>
      <c r="L73" s="20">
        <f>Coal_Table_1!N77</f>
        <v>0</v>
      </c>
      <c r="M73" s="20">
        <f>Coal_Table_1!O77</f>
        <v>0</v>
      </c>
      <c r="N73" s="20">
        <f>Coal_Table_1!P77</f>
        <v>0</v>
      </c>
      <c r="O73" s="20">
        <f>Coal_Table_1!Q77</f>
        <v>0</v>
      </c>
      <c r="P73" s="20">
        <f>Coal_Table_1!R77</f>
        <v>0</v>
      </c>
      <c r="Q73" s="20"/>
      <c r="R73" s="20">
        <f>Coal_Table_1!S77</f>
        <v>0</v>
      </c>
      <c r="S73" s="20">
        <f>Coal_Table_1!T77</f>
        <v>0</v>
      </c>
      <c r="T73" s="20">
        <f>Coal_Table_1!U77</f>
        <v>0</v>
      </c>
      <c r="U73" s="20">
        <f>Oil_Table_3a!E56</f>
        <v>0</v>
      </c>
      <c r="V73" s="20">
        <f>Oil_Table_3a!F56</f>
        <v>0</v>
      </c>
      <c r="W73" s="20"/>
      <c r="X73" s="20"/>
      <c r="Y73" s="20"/>
      <c r="Z73" s="20">
        <f>Oil_Table_3a!G56</f>
        <v>0</v>
      </c>
      <c r="AA73" s="20">
        <f>Oil_Table_3a!H56</f>
        <v>0</v>
      </c>
      <c r="AB73" s="20">
        <f>Oil_Table_3a!I56</f>
        <v>0</v>
      </c>
      <c r="AC73" s="20">
        <f>(Oil_Table_3a!M56)</f>
        <v>0</v>
      </c>
      <c r="AD73" s="20">
        <f>Oil_Table_3a!N56</f>
        <v>0</v>
      </c>
      <c r="AE73" s="20">
        <f>Oil_Table_3a!O56</f>
        <v>0</v>
      </c>
      <c r="AF73" s="20">
        <f>Oil_Table_3a!R56</f>
        <v>0</v>
      </c>
      <c r="AG73" s="20">
        <f>Oil_Table_3a!S56</f>
        <v>0</v>
      </c>
      <c r="AH73" s="20">
        <f>Oil_Table_3a!X56</f>
        <v>0</v>
      </c>
      <c r="AI73" s="20">
        <f>Oil_Table_3a!Y56</f>
        <v>0</v>
      </c>
      <c r="AJ73" s="20">
        <f>Oil_Table_3a!J56</f>
        <v>0</v>
      </c>
      <c r="AK73" s="20">
        <f>Oil_Table_3a!AB56</f>
        <v>0</v>
      </c>
      <c r="AL73" s="20">
        <f>Oil_Table_3a!AC56</f>
        <v>0</v>
      </c>
      <c r="AM73" s="20">
        <f>Oil_Table_3a!AD56</f>
        <v>0</v>
      </c>
      <c r="AN73" s="20">
        <f>Oil_Table_3a!AE56</f>
        <v>0</v>
      </c>
      <c r="AO73" s="20">
        <f>Oil_Table_3a!AF56-Oil_Table_3a!AJ56</f>
        <v>0</v>
      </c>
      <c r="AP73" s="20">
        <f>Oil_Table_3a!AG56-Oil_Table_3a!AK56</f>
        <v>0</v>
      </c>
      <c r="AQ73" s="20">
        <f>Gas_Table_2b!E24</f>
        <v>0</v>
      </c>
      <c r="AR73" s="20">
        <f>Ren_Table_2a!G56</f>
        <v>0</v>
      </c>
      <c r="AS73" s="20">
        <f>Ren_Table_2a!H56</f>
        <v>0</v>
      </c>
      <c r="AT73" s="20">
        <f>Ren_Table_2a!I56</f>
        <v>0</v>
      </c>
      <c r="AU73" s="20">
        <f>Ren_Table_2a!J56</f>
        <v>0</v>
      </c>
      <c r="AV73" s="20">
        <f>Ren_Table_2a!L56</f>
        <v>0</v>
      </c>
      <c r="AW73" s="20">
        <f>ROUND(Oil_Table_3a!L56+Ren_Table_2a!M56,3)</f>
        <v>0</v>
      </c>
      <c r="AX73" s="20">
        <f>ROUND(Oil_Table_3a!Q56+Ren_Table_2a!O56,3)</f>
        <v>0</v>
      </c>
      <c r="AY73" s="20">
        <f>ROUND(Oil_Table_3a!W56+Ren_Table_2a!P56,3)</f>
        <v>0</v>
      </c>
      <c r="AZ73" s="20">
        <f>ROUND(Ren_Table_2a!Q56,3)</f>
        <v>0</v>
      </c>
      <c r="BA73" s="20"/>
      <c r="BB73" s="20">
        <f>Ren_Table_2a!K56</f>
        <v>0</v>
      </c>
      <c r="BC73" s="20"/>
      <c r="BD73" s="20"/>
      <c r="BE73" s="20">
        <f>Ren_Table_2a!E56</f>
        <v>0</v>
      </c>
      <c r="BF73" s="20"/>
      <c r="BG73" s="20">
        <f>Ren_Table_2a!F56</f>
        <v>0</v>
      </c>
      <c r="BH73" s="20"/>
      <c r="BI73" s="20"/>
      <c r="BJ73" s="20"/>
      <c r="BK73" s="20"/>
      <c r="BL73" s="20"/>
      <c r="BM73" s="20"/>
      <c r="BN73" s="20">
        <f>Ele_Table_4!E35</f>
        <v>0</v>
      </c>
      <c r="BO73" s="20">
        <f>Ele_Table_4!F35</f>
        <v>0</v>
      </c>
      <c r="BP73" s="590"/>
    </row>
    <row r="74" spans="1:68" x14ac:dyDescent="0.2">
      <c r="A74" s="589" t="s">
        <v>7012</v>
      </c>
      <c r="B74" s="20" t="s">
        <v>1290</v>
      </c>
      <c r="C74" s="20">
        <f>Coal_Table_1!E78</f>
        <v>0</v>
      </c>
      <c r="D74" s="20">
        <f>Coal_Table_1!F78</f>
        <v>0</v>
      </c>
      <c r="E74" s="20">
        <f>Coal_Table_1!G78</f>
        <v>0</v>
      </c>
      <c r="F74" s="20">
        <f>Coal_Table_1!H78</f>
        <v>0</v>
      </c>
      <c r="G74" s="20">
        <f>Coal_Table_1!I78</f>
        <v>0</v>
      </c>
      <c r="H74" s="20">
        <f>Coal_Table_1!J78</f>
        <v>0</v>
      </c>
      <c r="I74" s="20">
        <f>Coal_Table_1!K78</f>
        <v>0</v>
      </c>
      <c r="J74" s="20">
        <f>Coal_Table_1!L78</f>
        <v>0</v>
      </c>
      <c r="K74" s="20">
        <f>Coal_Table_1!M78</f>
        <v>0</v>
      </c>
      <c r="L74" s="20">
        <f>Coal_Table_1!N78</f>
        <v>0</v>
      </c>
      <c r="M74" s="20">
        <f>Coal_Table_1!O78</f>
        <v>0</v>
      </c>
      <c r="N74" s="20">
        <f>Coal_Table_1!P78</f>
        <v>0</v>
      </c>
      <c r="O74" s="20">
        <f>Coal_Table_1!Q78</f>
        <v>0</v>
      </c>
      <c r="P74" s="20">
        <f>Coal_Table_1!R78</f>
        <v>0</v>
      </c>
      <c r="Q74" s="20"/>
      <c r="R74" s="20">
        <f>Coal_Table_1!S78</f>
        <v>0</v>
      </c>
      <c r="S74" s="20">
        <f>Coal_Table_1!T78</f>
        <v>0</v>
      </c>
      <c r="T74" s="20">
        <f>Coal_Table_1!U78</f>
        <v>0</v>
      </c>
      <c r="U74" s="20">
        <f>Oil_Table_3a!E57</f>
        <v>0</v>
      </c>
      <c r="V74" s="20">
        <f>Oil_Table_3a!F57</f>
        <v>0</v>
      </c>
      <c r="W74" s="20"/>
      <c r="X74" s="20"/>
      <c r="Y74" s="20"/>
      <c r="Z74" s="20">
        <f>Oil_Table_3a!G57</f>
        <v>0</v>
      </c>
      <c r="AA74" s="20">
        <f>Oil_Table_3a!H57</f>
        <v>0</v>
      </c>
      <c r="AB74" s="20">
        <f>Oil_Table_3a!I57</f>
        <v>0</v>
      </c>
      <c r="AC74" s="20">
        <f>(Oil_Table_3a!M57)</f>
        <v>0</v>
      </c>
      <c r="AD74" s="20">
        <f>Oil_Table_3a!N57</f>
        <v>0</v>
      </c>
      <c r="AE74" s="20">
        <f>Oil_Table_3a!O57</f>
        <v>0</v>
      </c>
      <c r="AF74" s="20">
        <f>Oil_Table_3a!R57</f>
        <v>0</v>
      </c>
      <c r="AG74" s="20">
        <f>Oil_Table_3a!S57</f>
        <v>0</v>
      </c>
      <c r="AH74" s="20">
        <f>Oil_Table_3a!X57</f>
        <v>0</v>
      </c>
      <c r="AI74" s="20">
        <f>Oil_Table_3a!Y57</f>
        <v>0</v>
      </c>
      <c r="AJ74" s="20">
        <f>Oil_Table_3a!J57</f>
        <v>0</v>
      </c>
      <c r="AK74" s="20">
        <f>Oil_Table_3a!AB57</f>
        <v>0</v>
      </c>
      <c r="AL74" s="20">
        <f>Oil_Table_3a!AC57</f>
        <v>0</v>
      </c>
      <c r="AM74" s="20">
        <f>Oil_Table_3a!AD57</f>
        <v>0</v>
      </c>
      <c r="AN74" s="20">
        <f>Oil_Table_3a!AE57</f>
        <v>0</v>
      </c>
      <c r="AO74" s="20">
        <f>Oil_Table_3a!AF57-Oil_Table_3a!AJ57</f>
        <v>0</v>
      </c>
      <c r="AP74" s="20">
        <f>Oil_Table_3a!AG57-Oil_Table_3a!AK57</f>
        <v>0</v>
      </c>
      <c r="AQ74" s="20">
        <f>Gas_Table_2b!E25</f>
        <v>0</v>
      </c>
      <c r="AR74" s="20">
        <f>Ren_Table_2a!G57</f>
        <v>0</v>
      </c>
      <c r="AS74" s="20">
        <f>Ren_Table_2a!H57</f>
        <v>0</v>
      </c>
      <c r="AT74" s="20">
        <f>Ren_Table_2a!I57</f>
        <v>0</v>
      </c>
      <c r="AU74" s="20">
        <f>Ren_Table_2a!J57</f>
        <v>0</v>
      </c>
      <c r="AV74" s="20">
        <f>Ren_Table_2a!L57</f>
        <v>0</v>
      </c>
      <c r="AW74" s="20">
        <f>ROUND(Oil_Table_3a!L57+Ren_Table_2a!M57,3)</f>
        <v>0</v>
      </c>
      <c r="AX74" s="20">
        <f>ROUND(Oil_Table_3a!Q57+Ren_Table_2a!O57,3)</f>
        <v>0</v>
      </c>
      <c r="AY74" s="20">
        <f>ROUND(Oil_Table_3a!W57+Ren_Table_2a!P57,3)</f>
        <v>0</v>
      </c>
      <c r="AZ74" s="20">
        <f>ROUND(Ren_Table_2a!Q57,3)</f>
        <v>0</v>
      </c>
      <c r="BA74" s="20"/>
      <c r="BB74" s="20">
        <f>Ren_Table_2a!K57</f>
        <v>0</v>
      </c>
      <c r="BC74" s="20"/>
      <c r="BD74" s="20"/>
      <c r="BE74" s="20">
        <f>Ren_Table_2a!E57</f>
        <v>0</v>
      </c>
      <c r="BF74" s="20"/>
      <c r="BG74" s="20">
        <f>Ren_Table_2a!F57</f>
        <v>0</v>
      </c>
      <c r="BH74" s="20"/>
      <c r="BI74" s="20"/>
      <c r="BJ74" s="20"/>
      <c r="BK74" s="20"/>
      <c r="BL74" s="20"/>
      <c r="BM74" s="20"/>
      <c r="BN74" s="20">
        <f>Ele_Table_4!E36</f>
        <v>0</v>
      </c>
      <c r="BO74" s="20">
        <f>Ele_Table_4!F36</f>
        <v>0</v>
      </c>
      <c r="BP74" s="590"/>
    </row>
    <row r="75" spans="1:68" x14ac:dyDescent="0.2">
      <c r="A75" s="893" t="s">
        <v>1298</v>
      </c>
      <c r="B75" s="256" t="s">
        <v>1297</v>
      </c>
      <c r="C75" s="256">
        <f>SUM(C76:C81)</f>
        <v>0</v>
      </c>
      <c r="D75" s="256">
        <f>SUM(D76:D81)</f>
        <v>0</v>
      </c>
      <c r="E75" s="256">
        <f>SUM(E76:E81)</f>
        <v>0</v>
      </c>
      <c r="F75" s="256">
        <f>SUM(F76:F81)</f>
        <v>0</v>
      </c>
      <c r="G75" s="256">
        <f>SUM(G76:G81)</f>
        <v>0</v>
      </c>
      <c r="H75" s="256">
        <f t="shared" ref="H75:P75" si="18">SUM(H76:H81)</f>
        <v>0</v>
      </c>
      <c r="I75" s="256">
        <f t="shared" si="18"/>
        <v>0</v>
      </c>
      <c r="J75" s="256">
        <f t="shared" si="18"/>
        <v>0</v>
      </c>
      <c r="K75" s="256">
        <f t="shared" si="18"/>
        <v>0</v>
      </c>
      <c r="L75" s="256">
        <f t="shared" si="18"/>
        <v>0</v>
      </c>
      <c r="M75" s="256">
        <f t="shared" si="18"/>
        <v>0</v>
      </c>
      <c r="N75" s="256">
        <f t="shared" si="18"/>
        <v>0</v>
      </c>
      <c r="O75" s="256">
        <f t="shared" si="18"/>
        <v>0</v>
      </c>
      <c r="P75" s="256">
        <f t="shared" si="18"/>
        <v>0</v>
      </c>
      <c r="Q75" s="256">
        <f t="shared" ref="Q75:V75" si="19">SUM(Q76:Q81)</f>
        <v>0</v>
      </c>
      <c r="R75" s="256">
        <f t="shared" si="19"/>
        <v>0</v>
      </c>
      <c r="S75" s="256">
        <f t="shared" si="19"/>
        <v>0</v>
      </c>
      <c r="T75" s="256">
        <f t="shared" si="19"/>
        <v>0</v>
      </c>
      <c r="U75" s="256">
        <f t="shared" si="19"/>
        <v>0</v>
      </c>
      <c r="V75" s="256">
        <f t="shared" si="19"/>
        <v>0</v>
      </c>
      <c r="W75" s="256"/>
      <c r="X75" s="256"/>
      <c r="Y75" s="256"/>
      <c r="Z75" s="256">
        <f t="shared" ref="Z75:AR75" si="20">SUM(Z76:Z81)</f>
        <v>0</v>
      </c>
      <c r="AA75" s="256">
        <f t="shared" si="20"/>
        <v>0</v>
      </c>
      <c r="AB75" s="256">
        <f t="shared" si="20"/>
        <v>0</v>
      </c>
      <c r="AC75" s="256">
        <f t="shared" si="20"/>
        <v>0</v>
      </c>
      <c r="AD75" s="256">
        <f t="shared" si="20"/>
        <v>0</v>
      </c>
      <c r="AE75" s="256">
        <f t="shared" si="20"/>
        <v>0</v>
      </c>
      <c r="AF75" s="256">
        <f t="shared" si="20"/>
        <v>0</v>
      </c>
      <c r="AG75" s="256">
        <f t="shared" si="20"/>
        <v>0</v>
      </c>
      <c r="AH75" s="256">
        <f>SUM(AH76:AH81)</f>
        <v>0</v>
      </c>
      <c r="AI75" s="256">
        <f t="shared" si="20"/>
        <v>0</v>
      </c>
      <c r="AJ75" s="256">
        <f t="shared" si="20"/>
        <v>0</v>
      </c>
      <c r="AK75" s="256">
        <f t="shared" si="20"/>
        <v>0</v>
      </c>
      <c r="AL75" s="256">
        <f t="shared" si="20"/>
        <v>0</v>
      </c>
      <c r="AM75" s="256">
        <f t="shared" si="20"/>
        <v>0</v>
      </c>
      <c r="AN75" s="256">
        <f t="shared" si="20"/>
        <v>0</v>
      </c>
      <c r="AO75" s="256">
        <f t="shared" si="20"/>
        <v>0</v>
      </c>
      <c r="AP75" s="256">
        <f t="shared" si="20"/>
        <v>0</v>
      </c>
      <c r="AQ75" s="256">
        <f>SUM(AQ76:AQ81)</f>
        <v>0</v>
      </c>
      <c r="AR75" s="256">
        <f t="shared" si="20"/>
        <v>0</v>
      </c>
      <c r="AS75" s="256">
        <f t="shared" ref="AS75:AZ75" si="21">SUM(AS76:AS81)</f>
        <v>0</v>
      </c>
      <c r="AT75" s="256">
        <f t="shared" si="21"/>
        <v>0</v>
      </c>
      <c r="AU75" s="256">
        <f t="shared" si="21"/>
        <v>0</v>
      </c>
      <c r="AV75" s="256">
        <f t="shared" si="21"/>
        <v>0</v>
      </c>
      <c r="AW75" s="256">
        <f t="shared" si="21"/>
        <v>0</v>
      </c>
      <c r="AX75" s="256">
        <f t="shared" si="21"/>
        <v>0</v>
      </c>
      <c r="AY75" s="256">
        <f t="shared" si="21"/>
        <v>0</v>
      </c>
      <c r="AZ75" s="256">
        <f t="shared" si="21"/>
        <v>0</v>
      </c>
      <c r="BA75" s="256"/>
      <c r="BB75" s="256">
        <f>SUM(BB76:BB81)</f>
        <v>0</v>
      </c>
      <c r="BC75" s="256"/>
      <c r="BD75" s="256"/>
      <c r="BE75" s="256">
        <f>SUM(BE76:BE81)</f>
        <v>0</v>
      </c>
      <c r="BF75" s="256"/>
      <c r="BG75" s="256">
        <f>SUM(BG76:BG81)</f>
        <v>0</v>
      </c>
      <c r="BH75" s="256"/>
      <c r="BI75" s="256"/>
      <c r="BJ75" s="256"/>
      <c r="BK75" s="256"/>
      <c r="BL75" s="256"/>
      <c r="BM75" s="256"/>
      <c r="BN75" s="256">
        <f>SUM(BN76:BN81)</f>
        <v>0</v>
      </c>
      <c r="BO75" s="256"/>
      <c r="BP75" s="265"/>
    </row>
    <row r="76" spans="1:68" x14ac:dyDescent="0.2">
      <c r="A76" s="589" t="s">
        <v>1312</v>
      </c>
      <c r="B76" s="20" t="s">
        <v>1304</v>
      </c>
      <c r="C76" s="20"/>
      <c r="D76" s="20"/>
      <c r="E76" s="20"/>
      <c r="F76" s="20"/>
      <c r="G76" s="20"/>
      <c r="H76" s="20"/>
      <c r="I76" s="20"/>
      <c r="J76" s="20"/>
      <c r="K76" s="20"/>
      <c r="L76" s="20"/>
      <c r="M76" s="20"/>
      <c r="N76" s="20"/>
      <c r="O76" s="20"/>
      <c r="P76" s="20"/>
      <c r="Q76" s="20"/>
      <c r="R76" s="20"/>
      <c r="S76" s="20"/>
      <c r="T76" s="20"/>
      <c r="U76" s="20">
        <f>Oil_Table_3a!E39</f>
        <v>0</v>
      </c>
      <c r="V76" s="20">
        <f>Oil_Table_3a!F39</f>
        <v>0</v>
      </c>
      <c r="W76" s="20"/>
      <c r="X76" s="20"/>
      <c r="Y76" s="20"/>
      <c r="Z76" s="20">
        <f>Oil_Table_3a!G39</f>
        <v>0</v>
      </c>
      <c r="AA76" s="20">
        <f>Oil_Table_3a!H39</f>
        <v>0</v>
      </c>
      <c r="AB76" s="20">
        <f>Oil_Table_3a!I39</f>
        <v>0</v>
      </c>
      <c r="AC76" s="20">
        <f>(Oil_Table_3a!M39)</f>
        <v>0</v>
      </c>
      <c r="AD76" s="20">
        <f>Oil_Table_3a!N39</f>
        <v>0</v>
      </c>
      <c r="AE76" s="20">
        <f>Oil_Table_3a!O39</f>
        <v>0</v>
      </c>
      <c r="AF76" s="20">
        <f>Oil_Table_3a!R39</f>
        <v>0</v>
      </c>
      <c r="AG76" s="20">
        <f>Oil_Table_3a!S39</f>
        <v>0</v>
      </c>
      <c r="AH76" s="20">
        <f>Oil_Table_3a!X39</f>
        <v>0</v>
      </c>
      <c r="AI76" s="20">
        <f>Oil_Table_3a!Y39</f>
        <v>0</v>
      </c>
      <c r="AJ76" s="20">
        <f>Oil_Table_3a!J39</f>
        <v>0</v>
      </c>
      <c r="AK76" s="20">
        <f>Oil_Table_3a!AB39</f>
        <v>0</v>
      </c>
      <c r="AL76" s="20">
        <f>Oil_Table_3a!AC39</f>
        <v>0</v>
      </c>
      <c r="AM76" s="20">
        <f>Oil_Table_3a!AD39</f>
        <v>0</v>
      </c>
      <c r="AN76" s="20">
        <f>Oil_Table_3a!AE39</f>
        <v>0</v>
      </c>
      <c r="AO76" s="20">
        <f>Oil_Table_3a!AF39-Oil_Table_3a!AJ39</f>
        <v>0</v>
      </c>
      <c r="AP76" s="20">
        <f>Oil_Table_3a!AG39-Oil_Table_3a!AK39</f>
        <v>0</v>
      </c>
      <c r="AQ76" s="20">
        <f>Gas_Table_2b!E8</f>
        <v>0</v>
      </c>
      <c r="AR76" s="20">
        <f>Ren_Table_2a!G60</f>
        <v>0</v>
      </c>
      <c r="AS76" s="20">
        <f>Ren_Table_2a!H60</f>
        <v>0</v>
      </c>
      <c r="AT76" s="20">
        <f>Ren_Table_2a!I60</f>
        <v>0</v>
      </c>
      <c r="AU76" s="20">
        <f>Ren_Table_2a!J60</f>
        <v>0</v>
      </c>
      <c r="AV76" s="20">
        <f>Ren_Table_2a!L60</f>
        <v>0</v>
      </c>
      <c r="AW76" s="20">
        <f>ROUND(Oil_Table_3a!L39+Ren_Table_2a!M60,3)</f>
        <v>0</v>
      </c>
      <c r="AX76" s="20">
        <f>ROUND(Oil_Table_3a!Q39+Ren_Table_2a!O60,3)</f>
        <v>0</v>
      </c>
      <c r="AY76" s="20">
        <f>ROUND(Oil_Table_3a!W39+Ren_Table_2a!P60,3)</f>
        <v>0</v>
      </c>
      <c r="AZ76" s="20">
        <f>ROUND(Ren_Table_2a!Q60,3)</f>
        <v>0</v>
      </c>
      <c r="BA76" s="20"/>
      <c r="BB76" s="20">
        <f>Ren_Table_2a!K60</f>
        <v>0</v>
      </c>
      <c r="BC76" s="20"/>
      <c r="BD76" s="20"/>
      <c r="BE76" s="20">
        <f>Ren_Table_2a!E60</f>
        <v>0</v>
      </c>
      <c r="BF76" s="20"/>
      <c r="BG76" s="20">
        <f>Ren_Table_2a!F60</f>
        <v>0</v>
      </c>
      <c r="BH76" s="20"/>
      <c r="BI76" s="20"/>
      <c r="BJ76" s="20"/>
      <c r="BK76" s="20"/>
      <c r="BL76" s="20"/>
      <c r="BM76" s="20"/>
      <c r="BN76" s="20">
        <f>+Ele_Table_3!F26</f>
        <v>0</v>
      </c>
      <c r="BO76" s="20"/>
      <c r="BP76" s="590"/>
    </row>
    <row r="77" spans="1:68" x14ac:dyDescent="0.2">
      <c r="A77" s="589" t="s">
        <v>1305</v>
      </c>
      <c r="B77" s="20" t="s">
        <v>1311</v>
      </c>
      <c r="C77" s="20"/>
      <c r="D77" s="20"/>
      <c r="E77" s="20"/>
      <c r="F77" s="20"/>
      <c r="G77" s="20"/>
      <c r="H77" s="20"/>
      <c r="I77" s="20"/>
      <c r="J77" s="20"/>
      <c r="K77" s="20"/>
      <c r="L77" s="20"/>
      <c r="M77" s="20"/>
      <c r="N77" s="20"/>
      <c r="O77" s="20"/>
      <c r="P77" s="20"/>
      <c r="Q77" s="20"/>
      <c r="R77" s="20"/>
      <c r="S77" s="20"/>
      <c r="T77" s="20"/>
      <c r="U77" s="20">
        <f>Oil_Table_3a!E38</f>
        <v>0</v>
      </c>
      <c r="V77" s="20">
        <f>Oil_Table_3a!F38</f>
        <v>0</v>
      </c>
      <c r="W77" s="20"/>
      <c r="X77" s="20"/>
      <c r="Y77" s="20"/>
      <c r="Z77" s="20">
        <f>Oil_Table_3a!G38</f>
        <v>0</v>
      </c>
      <c r="AA77" s="20">
        <f>Oil_Table_3a!H38</f>
        <v>0</v>
      </c>
      <c r="AB77" s="20">
        <f>Oil_Table_3a!I38</f>
        <v>0</v>
      </c>
      <c r="AC77" s="20">
        <f>(Oil_Table_3a!M38)</f>
        <v>0</v>
      </c>
      <c r="AD77" s="20">
        <f>Oil_Table_3a!N38</f>
        <v>0</v>
      </c>
      <c r="AE77" s="20">
        <f>Oil_Table_3a!O38</f>
        <v>0</v>
      </c>
      <c r="AF77" s="20">
        <f>Oil_Table_3a!R38</f>
        <v>0</v>
      </c>
      <c r="AG77" s="20">
        <f>Oil_Table_3a!S38</f>
        <v>0</v>
      </c>
      <c r="AH77" s="20">
        <f>Oil_Table_3a!X38</f>
        <v>0</v>
      </c>
      <c r="AI77" s="20">
        <f>Oil_Table_3a!Y38</f>
        <v>0</v>
      </c>
      <c r="AJ77" s="20">
        <f>Oil_Table_3a!J38</f>
        <v>0</v>
      </c>
      <c r="AK77" s="20">
        <f>Oil_Table_3a!AB38</f>
        <v>0</v>
      </c>
      <c r="AL77" s="20">
        <f>Oil_Table_3a!AC38</f>
        <v>0</v>
      </c>
      <c r="AM77" s="20">
        <f>Oil_Table_3a!AD38</f>
        <v>0</v>
      </c>
      <c r="AN77" s="20">
        <f>Oil_Table_3a!AE38</f>
        <v>0</v>
      </c>
      <c r="AO77" s="20">
        <f>Oil_Table_3a!AF38-Oil_Table_3a!AJ38</f>
        <v>0</v>
      </c>
      <c r="AP77" s="20">
        <f>Oil_Table_3a!AG38-Oil_Table_3a!AK38</f>
        <v>0</v>
      </c>
      <c r="AQ77" s="20"/>
      <c r="AR77" s="20"/>
      <c r="AS77" s="20"/>
      <c r="AT77" s="20"/>
      <c r="AU77" s="20"/>
      <c r="AV77" s="20"/>
      <c r="AW77" s="20">
        <f>ROUND(Oil_Table_3a!L38,3)</f>
        <v>0</v>
      </c>
      <c r="AX77" s="20">
        <f>ROUND(Oil_Table_3a!Q38,3)</f>
        <v>0</v>
      </c>
      <c r="AY77" s="20">
        <f>ROUND(Oil_Table_3a!W38,3)</f>
        <v>0</v>
      </c>
      <c r="AZ77" s="20"/>
      <c r="BA77" s="20"/>
      <c r="BB77" s="20"/>
      <c r="BC77" s="20"/>
      <c r="BD77" s="20"/>
      <c r="BE77" s="20"/>
      <c r="BF77" s="20"/>
      <c r="BG77" s="20"/>
      <c r="BH77" s="20"/>
      <c r="BI77" s="20"/>
      <c r="BJ77" s="20"/>
      <c r="BK77" s="20"/>
      <c r="BL77" s="20"/>
      <c r="BM77" s="20"/>
      <c r="BN77" s="20"/>
      <c r="BO77" s="20"/>
      <c r="BP77" s="590"/>
    </row>
    <row r="78" spans="1:68" x14ac:dyDescent="0.2">
      <c r="A78" s="589" t="s">
        <v>1319</v>
      </c>
      <c r="B78" s="20" t="s">
        <v>1318</v>
      </c>
      <c r="C78" s="20">
        <f>Coal_Table_1!E81</f>
        <v>0</v>
      </c>
      <c r="D78" s="20">
        <f>Coal_Table_1!F81</f>
        <v>0</v>
      </c>
      <c r="E78" s="20">
        <f>Coal_Table_1!G81</f>
        <v>0</v>
      </c>
      <c r="F78" s="20">
        <f>Coal_Table_1!H81</f>
        <v>0</v>
      </c>
      <c r="G78" s="20">
        <f>Coal_Table_1!I81</f>
        <v>0</v>
      </c>
      <c r="H78" s="20">
        <f>Coal_Table_1!J81</f>
        <v>0</v>
      </c>
      <c r="I78" s="20">
        <f>Coal_Table_1!K81</f>
        <v>0</v>
      </c>
      <c r="J78" s="20">
        <f>Coal_Table_1!L81</f>
        <v>0</v>
      </c>
      <c r="K78" s="20">
        <f>Coal_Table_1!M81</f>
        <v>0</v>
      </c>
      <c r="L78" s="20">
        <f>Coal_Table_1!N81</f>
        <v>0</v>
      </c>
      <c r="M78" s="20">
        <f>Coal_Table_1!O81</f>
        <v>0</v>
      </c>
      <c r="N78" s="20">
        <f>Coal_Table_1!P81</f>
        <v>0</v>
      </c>
      <c r="O78" s="20">
        <f>Coal_Table_1!Q81</f>
        <v>0</v>
      </c>
      <c r="P78" s="20">
        <f>Coal_Table_1!R81</f>
        <v>0</v>
      </c>
      <c r="Q78" s="20"/>
      <c r="R78" s="20">
        <f>Coal_Table_1!S81</f>
        <v>0</v>
      </c>
      <c r="S78" s="20">
        <f>Coal_Table_1!T81</f>
        <v>0</v>
      </c>
      <c r="T78" s="20">
        <f>Coal_Table_1!U81</f>
        <v>0</v>
      </c>
      <c r="U78" s="20">
        <f>Oil_Table_3a!E40</f>
        <v>0</v>
      </c>
      <c r="V78" s="20">
        <f>Oil_Table_3a!F40</f>
        <v>0</v>
      </c>
      <c r="W78" s="20"/>
      <c r="X78" s="20"/>
      <c r="Y78" s="20"/>
      <c r="Z78" s="20">
        <f>Oil_Table_3a!G40</f>
        <v>0</v>
      </c>
      <c r="AA78" s="20">
        <f>Oil_Table_3a!H40</f>
        <v>0</v>
      </c>
      <c r="AB78" s="20">
        <f>Oil_Table_3a!I40</f>
        <v>0</v>
      </c>
      <c r="AC78" s="20">
        <f>(Oil_Table_3a!M40)</f>
        <v>0</v>
      </c>
      <c r="AD78" s="20">
        <f>Oil_Table_3a!N40</f>
        <v>0</v>
      </c>
      <c r="AE78" s="20">
        <f>Oil_Table_3a!O40</f>
        <v>0</v>
      </c>
      <c r="AF78" s="20">
        <f>Oil_Table_3a!R40</f>
        <v>0</v>
      </c>
      <c r="AG78" s="20">
        <f>Oil_Table_3a!S40</f>
        <v>0</v>
      </c>
      <c r="AH78" s="20">
        <f>Oil_Table_3a!X40</f>
        <v>0</v>
      </c>
      <c r="AI78" s="20">
        <f>Oil_Table_3a!Y40</f>
        <v>0</v>
      </c>
      <c r="AJ78" s="20">
        <f>Oil_Table_3a!J40</f>
        <v>0</v>
      </c>
      <c r="AK78" s="20">
        <f>Oil_Table_3a!AB40</f>
        <v>0</v>
      </c>
      <c r="AL78" s="20">
        <f>Oil_Table_3a!AC40</f>
        <v>0</v>
      </c>
      <c r="AM78" s="20">
        <f>Oil_Table_3a!AD40</f>
        <v>0</v>
      </c>
      <c r="AN78" s="20">
        <f>Oil_Table_3a!AE40</f>
        <v>0</v>
      </c>
      <c r="AO78" s="20">
        <f>Oil_Table_3a!AF40-Oil_Table_3a!AJ40</f>
        <v>0</v>
      </c>
      <c r="AP78" s="20">
        <f>Oil_Table_3a!AG40-Oil_Table_3a!AK40</f>
        <v>0</v>
      </c>
      <c r="AQ78" s="20"/>
      <c r="AR78" s="20">
        <f>Ren_Table_2a!G59</f>
        <v>0</v>
      </c>
      <c r="AS78" s="20">
        <f>Ren_Table_2a!H59</f>
        <v>0</v>
      </c>
      <c r="AT78" s="20">
        <f>Ren_Table_2a!I59</f>
        <v>0</v>
      </c>
      <c r="AU78" s="20">
        <f>Ren_Table_2a!J59</f>
        <v>0</v>
      </c>
      <c r="AV78" s="20">
        <f>Ren_Table_2a!L59</f>
        <v>0</v>
      </c>
      <c r="AW78" s="20">
        <f>ROUND(Oil_Table_3a!L40+Ren_Table_2a!M59,3)</f>
        <v>0</v>
      </c>
      <c r="AX78" s="20">
        <f>ROUND(Oil_Table_3a!Q40+Ren_Table_2a!O59,3)</f>
        <v>0</v>
      </c>
      <c r="AY78" s="20">
        <f>ROUND(Oil_Table_3a!W40+Ren_Table_2a!P59,3)</f>
        <v>0</v>
      </c>
      <c r="AZ78" s="20">
        <f>ROUND(Ren_Table_2a!Q59,3)</f>
        <v>0</v>
      </c>
      <c r="BA78" s="20"/>
      <c r="BB78" s="20">
        <f>Ren_Table_2a!K59</f>
        <v>0</v>
      </c>
      <c r="BC78" s="20"/>
      <c r="BD78" s="20"/>
      <c r="BE78" s="20">
        <f>Ren_Table_2a!E59</f>
        <v>0</v>
      </c>
      <c r="BF78" s="20"/>
      <c r="BG78" s="20">
        <f>Ren_Table_2a!F59</f>
        <v>0</v>
      </c>
      <c r="BH78" s="20"/>
      <c r="BI78" s="20"/>
      <c r="BJ78" s="20"/>
      <c r="BK78" s="20"/>
      <c r="BL78" s="20"/>
      <c r="BM78" s="20"/>
      <c r="BN78" s="20">
        <f>Ele_Table_3!F24</f>
        <v>0</v>
      </c>
      <c r="BO78" s="20"/>
      <c r="BP78" s="590"/>
    </row>
    <row r="79" spans="1:68" x14ac:dyDescent="0.2">
      <c r="A79" s="589" t="s">
        <v>1326</v>
      </c>
      <c r="B79" s="20" t="s">
        <v>1325</v>
      </c>
      <c r="C79" s="20"/>
      <c r="D79" s="20"/>
      <c r="E79" s="20"/>
      <c r="F79" s="20"/>
      <c r="G79" s="20"/>
      <c r="H79" s="20"/>
      <c r="I79" s="20"/>
      <c r="J79" s="20"/>
      <c r="K79" s="20"/>
      <c r="L79" s="20"/>
      <c r="M79" s="20"/>
      <c r="N79" s="20"/>
      <c r="O79" s="20"/>
      <c r="P79" s="20"/>
      <c r="Q79" s="20"/>
      <c r="R79" s="20"/>
      <c r="S79" s="20"/>
      <c r="T79" s="20"/>
      <c r="U79" s="20">
        <f>Oil_Table_3a!E42</f>
        <v>0</v>
      </c>
      <c r="V79" s="20">
        <f>Oil_Table_3a!F42</f>
        <v>0</v>
      </c>
      <c r="W79" s="20"/>
      <c r="X79" s="20"/>
      <c r="Y79" s="20"/>
      <c r="Z79" s="20">
        <f>Oil_Table_3a!G42</f>
        <v>0</v>
      </c>
      <c r="AA79" s="20">
        <f>Oil_Table_3a!H42</f>
        <v>0</v>
      </c>
      <c r="AB79" s="20">
        <f>Oil_Table_3a!I42</f>
        <v>0</v>
      </c>
      <c r="AC79" s="20">
        <f>(Oil_Table_3a!M42)</f>
        <v>0</v>
      </c>
      <c r="AD79" s="20">
        <f>Oil_Table_3a!N42</f>
        <v>0</v>
      </c>
      <c r="AE79" s="20">
        <f>Oil_Table_3a!O42</f>
        <v>0</v>
      </c>
      <c r="AF79" s="20">
        <f>Oil_Table_3a!R42</f>
        <v>0</v>
      </c>
      <c r="AG79" s="20">
        <f>Oil_Table_3a!S42</f>
        <v>0</v>
      </c>
      <c r="AH79" s="20">
        <f>Oil_Table_3a!X42</f>
        <v>0</v>
      </c>
      <c r="AI79" s="20">
        <f>Oil_Table_3a!Y42</f>
        <v>0</v>
      </c>
      <c r="AJ79" s="20">
        <f>Oil_Table_3a!J42</f>
        <v>0</v>
      </c>
      <c r="AK79" s="20">
        <f>Oil_Table_3a!AB42</f>
        <v>0</v>
      </c>
      <c r="AL79" s="20">
        <f>Oil_Table_3a!AC42</f>
        <v>0</v>
      </c>
      <c r="AM79" s="20">
        <f>Oil_Table_3a!AD42</f>
        <v>0</v>
      </c>
      <c r="AN79" s="20">
        <f>Oil_Table_3a!AE42</f>
        <v>0</v>
      </c>
      <c r="AO79" s="20">
        <f>Oil_Table_3a!AF42-Oil_Table_3a!AJ42</f>
        <v>0</v>
      </c>
      <c r="AP79" s="20">
        <f>Oil_Table_3a!AG42-Oil_Table_3a!AK42</f>
        <v>0</v>
      </c>
      <c r="AQ79" s="20">
        <f>Gas_Table_2b!E10</f>
        <v>0</v>
      </c>
      <c r="AR79" s="20"/>
      <c r="AS79" s="20"/>
      <c r="AT79" s="20"/>
      <c r="AU79" s="20"/>
      <c r="AV79" s="20"/>
      <c r="AW79" s="20">
        <f>ROUND(Oil_Table_3a!L42,3)</f>
        <v>0</v>
      </c>
      <c r="AX79" s="20">
        <f>ROUND(Oil_Table_3a!Q42,3)</f>
        <v>0</v>
      </c>
      <c r="AY79" s="20">
        <f>ROUND(Oil_Table_3a!W42,3)</f>
        <v>0</v>
      </c>
      <c r="AZ79" s="20"/>
      <c r="BA79" s="20"/>
      <c r="BB79" s="20"/>
      <c r="BC79" s="20"/>
      <c r="BD79" s="20"/>
      <c r="BE79" s="20"/>
      <c r="BF79" s="20"/>
      <c r="BG79" s="20"/>
      <c r="BH79" s="20"/>
      <c r="BI79" s="20"/>
      <c r="BJ79" s="20"/>
      <c r="BK79" s="20"/>
      <c r="BL79" s="20"/>
      <c r="BM79" s="20"/>
      <c r="BN79" s="20">
        <f>Ele_Table_3!F25</f>
        <v>0</v>
      </c>
      <c r="BO79" s="20"/>
      <c r="BP79" s="590"/>
    </row>
    <row r="80" spans="1:68" x14ac:dyDescent="0.2">
      <c r="A80" s="589" t="s">
        <v>1333</v>
      </c>
      <c r="B80" s="20" t="s">
        <v>1332</v>
      </c>
      <c r="C80" s="20">
        <f>Coal_Table_1!E82</f>
        <v>0</v>
      </c>
      <c r="D80" s="20">
        <f>Coal_Table_1!F82</f>
        <v>0</v>
      </c>
      <c r="E80" s="20">
        <f>Coal_Table_1!G82</f>
        <v>0</v>
      </c>
      <c r="F80" s="20">
        <f>Coal_Table_1!H82</f>
        <v>0</v>
      </c>
      <c r="G80" s="20">
        <f>Coal_Table_1!I82</f>
        <v>0</v>
      </c>
      <c r="H80" s="20">
        <f>Coal_Table_1!J82</f>
        <v>0</v>
      </c>
      <c r="I80" s="20">
        <f>Coal_Table_1!K82</f>
        <v>0</v>
      </c>
      <c r="J80" s="20">
        <f>Coal_Table_1!L82</f>
        <v>0</v>
      </c>
      <c r="K80" s="20">
        <f>Coal_Table_1!M82</f>
        <v>0</v>
      </c>
      <c r="L80" s="20">
        <f>Coal_Table_1!N82</f>
        <v>0</v>
      </c>
      <c r="M80" s="20">
        <f>Coal_Table_1!O82</f>
        <v>0</v>
      </c>
      <c r="N80" s="20">
        <f>Coal_Table_1!P82</f>
        <v>0</v>
      </c>
      <c r="O80" s="20">
        <f>Coal_Table_1!Q82</f>
        <v>0</v>
      </c>
      <c r="P80" s="20">
        <f>Coal_Table_1!R82</f>
        <v>0</v>
      </c>
      <c r="Q80" s="20"/>
      <c r="R80" s="20">
        <f>Coal_Table_1!S82</f>
        <v>0</v>
      </c>
      <c r="S80" s="20">
        <f>Coal_Table_1!T82</f>
        <v>0</v>
      </c>
      <c r="T80" s="20">
        <f>Coal_Table_1!U82</f>
        <v>0</v>
      </c>
      <c r="U80" s="20">
        <f>Oil_Table_3a!E41</f>
        <v>0</v>
      </c>
      <c r="V80" s="20">
        <f>Oil_Table_3a!F41</f>
        <v>0</v>
      </c>
      <c r="W80" s="20"/>
      <c r="X80" s="20"/>
      <c r="Y80" s="20"/>
      <c r="Z80" s="20">
        <f>Oil_Table_3a!G41</f>
        <v>0</v>
      </c>
      <c r="AA80" s="20">
        <f>Oil_Table_3a!H41</f>
        <v>0</v>
      </c>
      <c r="AB80" s="20">
        <f>Oil_Table_3a!I41</f>
        <v>0</v>
      </c>
      <c r="AC80" s="20">
        <f>(Oil_Table_3a!M41)</f>
        <v>0</v>
      </c>
      <c r="AD80" s="20">
        <f>Oil_Table_3a!N41</f>
        <v>0</v>
      </c>
      <c r="AE80" s="20">
        <f>Oil_Table_3a!O41</f>
        <v>0</v>
      </c>
      <c r="AF80" s="20">
        <f>Oil_Table_3a!R41</f>
        <v>0</v>
      </c>
      <c r="AG80" s="20">
        <f>Oil_Table_3a!S41</f>
        <v>0</v>
      </c>
      <c r="AH80" s="20">
        <f>Oil_Table_3a!X41</f>
        <v>0</v>
      </c>
      <c r="AI80" s="20">
        <f>Oil_Table_3a!Y41</f>
        <v>0</v>
      </c>
      <c r="AJ80" s="20">
        <f>Oil_Table_3a!J41</f>
        <v>0</v>
      </c>
      <c r="AK80" s="20">
        <f>Oil_Table_3a!AB41</f>
        <v>0</v>
      </c>
      <c r="AL80" s="20">
        <f>Oil_Table_3a!AC41</f>
        <v>0</v>
      </c>
      <c r="AM80" s="20">
        <f>Oil_Table_3a!AD41</f>
        <v>0</v>
      </c>
      <c r="AN80" s="20">
        <f>Oil_Table_3a!AE41</f>
        <v>0</v>
      </c>
      <c r="AO80" s="20">
        <f>Oil_Table_3a!AF41-Oil_Table_3a!AJ41</f>
        <v>0</v>
      </c>
      <c r="AP80" s="20">
        <f>Oil_Table_3a!AG41-Oil_Table_3a!AK41</f>
        <v>0</v>
      </c>
      <c r="AQ80" s="20"/>
      <c r="AR80" s="20">
        <f>Ren_Table_2a!G61</f>
        <v>0</v>
      </c>
      <c r="AS80" s="20">
        <f>Ren_Table_2a!H61</f>
        <v>0</v>
      </c>
      <c r="AT80" s="20">
        <f>Ren_Table_2a!I61</f>
        <v>0</v>
      </c>
      <c r="AU80" s="20">
        <f>Ren_Table_2a!J61</f>
        <v>0</v>
      </c>
      <c r="AV80" s="20">
        <f>Ren_Table_2a!L61</f>
        <v>0</v>
      </c>
      <c r="AW80" s="20">
        <f>ROUND(Oil_Table_3a!L41+Ren_Table_2a!M61,3)</f>
        <v>0</v>
      </c>
      <c r="AX80" s="20">
        <f>ROUND(Oil_Table_3a!Q41+Ren_Table_2a!O61,3)</f>
        <v>0</v>
      </c>
      <c r="AY80" s="20">
        <f>ROUND(Oil_Table_3a!W41+Ren_Table_2a!P61,3)</f>
        <v>0</v>
      </c>
      <c r="AZ80" s="20">
        <f>ROUND(Ren_Table_2a!Q61,3)</f>
        <v>0</v>
      </c>
      <c r="BA80" s="20"/>
      <c r="BB80" s="20">
        <f>Ren_Table_2a!K61</f>
        <v>0</v>
      </c>
      <c r="BC80" s="20"/>
      <c r="BD80" s="20"/>
      <c r="BE80" s="20">
        <f>Ren_Table_2a!E61</f>
        <v>0</v>
      </c>
      <c r="BF80" s="20"/>
      <c r="BG80" s="20">
        <f>Ren_Table_2a!F61</f>
        <v>0</v>
      </c>
      <c r="BH80" s="20"/>
      <c r="BI80" s="20"/>
      <c r="BJ80" s="20"/>
      <c r="BK80" s="20"/>
      <c r="BL80" s="20"/>
      <c r="BM80" s="20"/>
      <c r="BN80" s="20"/>
      <c r="BO80" s="20"/>
      <c r="BP80" s="590"/>
    </row>
    <row r="81" spans="1:68" x14ac:dyDescent="0.2">
      <c r="A81" s="589" t="s">
        <v>1340</v>
      </c>
      <c r="B81" s="20" t="s">
        <v>1339</v>
      </c>
      <c r="C81" s="20">
        <f>Coal_Table_1!E83</f>
        <v>0</v>
      </c>
      <c r="D81" s="20">
        <f>Coal_Table_1!F83</f>
        <v>0</v>
      </c>
      <c r="E81" s="20">
        <f>Coal_Table_1!G83</f>
        <v>0</v>
      </c>
      <c r="F81" s="20">
        <f>Coal_Table_1!H83</f>
        <v>0</v>
      </c>
      <c r="G81" s="20">
        <f>Coal_Table_1!I83</f>
        <v>0</v>
      </c>
      <c r="H81" s="20">
        <f>Coal_Table_1!J83</f>
        <v>0</v>
      </c>
      <c r="I81" s="20">
        <f>Coal_Table_1!K83</f>
        <v>0</v>
      </c>
      <c r="J81" s="20">
        <f>Coal_Table_1!L83</f>
        <v>0</v>
      </c>
      <c r="K81" s="20">
        <f>Coal_Table_1!M83</f>
        <v>0</v>
      </c>
      <c r="L81" s="20">
        <f>Coal_Table_1!N83</f>
        <v>0</v>
      </c>
      <c r="M81" s="20">
        <f>Coal_Table_1!O83</f>
        <v>0</v>
      </c>
      <c r="N81" s="20">
        <f>Coal_Table_1!P83</f>
        <v>0</v>
      </c>
      <c r="O81" s="20">
        <f>Coal_Table_1!Q83</f>
        <v>0</v>
      </c>
      <c r="P81" s="20">
        <f>Coal_Table_1!R83</f>
        <v>0</v>
      </c>
      <c r="Q81" s="20"/>
      <c r="R81" s="20">
        <f>Coal_Table_1!S83</f>
        <v>0</v>
      </c>
      <c r="S81" s="20">
        <f>Coal_Table_1!T83</f>
        <v>0</v>
      </c>
      <c r="T81" s="20">
        <f>Coal_Table_1!U83</f>
        <v>0</v>
      </c>
      <c r="U81" s="20">
        <f>Oil_Table_3a!E43</f>
        <v>0</v>
      </c>
      <c r="V81" s="20">
        <f>Oil_Table_3a!F43</f>
        <v>0</v>
      </c>
      <c r="W81" s="20"/>
      <c r="X81" s="20"/>
      <c r="Y81" s="20"/>
      <c r="Z81" s="20">
        <f>Oil_Table_3a!G43</f>
        <v>0</v>
      </c>
      <c r="AA81" s="20">
        <f>Oil_Table_3a!H43</f>
        <v>0</v>
      </c>
      <c r="AB81" s="20">
        <f>Oil_Table_3a!I43</f>
        <v>0</v>
      </c>
      <c r="AC81" s="20">
        <f>(Oil_Table_3a!M43)</f>
        <v>0</v>
      </c>
      <c r="AD81" s="20">
        <f>Oil_Table_3a!N43</f>
        <v>0</v>
      </c>
      <c r="AE81" s="20">
        <f>Oil_Table_3a!O43</f>
        <v>0</v>
      </c>
      <c r="AF81" s="20">
        <f>Oil_Table_3a!R43</f>
        <v>0</v>
      </c>
      <c r="AG81" s="20">
        <f>Oil_Table_3a!S43</f>
        <v>0</v>
      </c>
      <c r="AH81" s="20">
        <f>Oil_Table_3a!X43</f>
        <v>0</v>
      </c>
      <c r="AI81" s="20">
        <f>Oil_Table_3a!Y43</f>
        <v>0</v>
      </c>
      <c r="AJ81" s="20">
        <f>Oil_Table_3a!J43</f>
        <v>0</v>
      </c>
      <c r="AK81" s="20">
        <f>Oil_Table_3a!AB43</f>
        <v>0</v>
      </c>
      <c r="AL81" s="20">
        <f>Oil_Table_3a!AC43</f>
        <v>0</v>
      </c>
      <c r="AM81" s="20">
        <f>Oil_Table_3a!AD43</f>
        <v>0</v>
      </c>
      <c r="AN81" s="20">
        <f>Oil_Table_3a!AE43</f>
        <v>0</v>
      </c>
      <c r="AO81" s="20">
        <f>Oil_Table_3a!AF43-Oil_Table_3a!AJ43</f>
        <v>0</v>
      </c>
      <c r="AP81" s="20">
        <f>Oil_Table_3a!AG43-Oil_Table_3a!AK43</f>
        <v>0</v>
      </c>
      <c r="AQ81" s="20">
        <f>Gas_Table_2b!E11</f>
        <v>0</v>
      </c>
      <c r="AR81" s="20">
        <f>Ren_Table_2a!G62</f>
        <v>0</v>
      </c>
      <c r="AS81" s="20">
        <f>Ren_Table_2a!H62</f>
        <v>0</v>
      </c>
      <c r="AT81" s="20">
        <f>Ren_Table_2a!I62</f>
        <v>0</v>
      </c>
      <c r="AU81" s="20">
        <f>Ren_Table_2a!J62</f>
        <v>0</v>
      </c>
      <c r="AV81" s="20">
        <f>Ren_Table_2a!L62</f>
        <v>0</v>
      </c>
      <c r="AW81" s="20">
        <f>ROUND(Oil_Table_3a!L43+Ren_Table_2a!M62,3)</f>
        <v>0</v>
      </c>
      <c r="AX81" s="20">
        <f>ROUND(Oil_Table_3a!Q43+Ren_Table_2a!O62,3)</f>
        <v>0</v>
      </c>
      <c r="AY81" s="20">
        <f>ROUND(Oil_Table_3a!W43+Ren_Table_2a!P62,3)</f>
        <v>0</v>
      </c>
      <c r="AZ81" s="20">
        <f>ROUND(Ren_Table_2a!Q62,3)</f>
        <v>0</v>
      </c>
      <c r="BA81" s="20"/>
      <c r="BB81" s="20">
        <f>Ren_Table_2a!K62</f>
        <v>0</v>
      </c>
      <c r="BC81" s="20"/>
      <c r="BD81" s="20"/>
      <c r="BE81" s="20">
        <f>Ren_Table_2a!E62</f>
        <v>0</v>
      </c>
      <c r="BF81" s="20"/>
      <c r="BG81" s="20">
        <f>Ren_Table_2a!F62</f>
        <v>0</v>
      </c>
      <c r="BH81" s="20"/>
      <c r="BI81" s="20"/>
      <c r="BJ81" s="20"/>
      <c r="BK81" s="20"/>
      <c r="BL81" s="20"/>
      <c r="BM81" s="20"/>
      <c r="BN81" s="20">
        <f>Ele_Table_3!F27</f>
        <v>0</v>
      </c>
      <c r="BO81" s="20"/>
      <c r="BP81" s="590"/>
    </row>
    <row r="82" spans="1:68" x14ac:dyDescent="0.2">
      <c r="A82" s="893" t="s">
        <v>1347</v>
      </c>
      <c r="B82" s="256" t="s">
        <v>1346</v>
      </c>
      <c r="C82" s="256">
        <f>SUM(C83:C87)</f>
        <v>0</v>
      </c>
      <c r="D82" s="256">
        <f>SUM(D83:D87)</f>
        <v>0</v>
      </c>
      <c r="E82" s="256">
        <f>SUM(E83:E87)</f>
        <v>0</v>
      </c>
      <c r="F82" s="256">
        <f>SUM(F83:F87)</f>
        <v>0</v>
      </c>
      <c r="G82" s="256">
        <f>SUM(G83:G87)</f>
        <v>0</v>
      </c>
      <c r="H82" s="256">
        <f t="shared" ref="H82:P82" si="22">SUM(H83:H87)</f>
        <v>0</v>
      </c>
      <c r="I82" s="256">
        <f t="shared" si="22"/>
        <v>0</v>
      </c>
      <c r="J82" s="256">
        <f t="shared" si="22"/>
        <v>0</v>
      </c>
      <c r="K82" s="256">
        <f t="shared" si="22"/>
        <v>0</v>
      </c>
      <c r="L82" s="256">
        <f t="shared" si="22"/>
        <v>0</v>
      </c>
      <c r="M82" s="256">
        <f t="shared" si="22"/>
        <v>0</v>
      </c>
      <c r="N82" s="256">
        <f t="shared" si="22"/>
        <v>0</v>
      </c>
      <c r="O82" s="256">
        <f t="shared" si="22"/>
        <v>0</v>
      </c>
      <c r="P82" s="256">
        <f t="shared" si="22"/>
        <v>0</v>
      </c>
      <c r="Q82" s="256">
        <f t="shared" ref="Q82:V82" si="23">SUM(Q83:Q87)</f>
        <v>0</v>
      </c>
      <c r="R82" s="256">
        <f t="shared" si="23"/>
        <v>0</v>
      </c>
      <c r="S82" s="256">
        <f t="shared" si="23"/>
        <v>0</v>
      </c>
      <c r="T82" s="256">
        <f t="shared" si="23"/>
        <v>0</v>
      </c>
      <c r="U82" s="256">
        <f t="shared" si="23"/>
        <v>0</v>
      </c>
      <c r="V82" s="256">
        <f t="shared" si="23"/>
        <v>0</v>
      </c>
      <c r="W82" s="256"/>
      <c r="X82" s="256"/>
      <c r="Y82" s="256"/>
      <c r="Z82" s="256">
        <f t="shared" ref="Z82:AR82" si="24">SUM(Z83:Z87)</f>
        <v>0</v>
      </c>
      <c r="AA82" s="256">
        <f t="shared" si="24"/>
        <v>0</v>
      </c>
      <c r="AB82" s="256">
        <f t="shared" si="24"/>
        <v>0</v>
      </c>
      <c r="AC82" s="256">
        <f t="shared" si="24"/>
        <v>0</v>
      </c>
      <c r="AD82" s="256">
        <f t="shared" si="24"/>
        <v>0</v>
      </c>
      <c r="AE82" s="256">
        <f t="shared" si="24"/>
        <v>0</v>
      </c>
      <c r="AF82" s="256">
        <f t="shared" si="24"/>
        <v>0</v>
      </c>
      <c r="AG82" s="256">
        <f t="shared" si="24"/>
        <v>0</v>
      </c>
      <c r="AH82" s="256">
        <f>SUM(AH83:AH87)</f>
        <v>0</v>
      </c>
      <c r="AI82" s="256">
        <f t="shared" si="24"/>
        <v>0</v>
      </c>
      <c r="AJ82" s="256">
        <f t="shared" si="24"/>
        <v>0</v>
      </c>
      <c r="AK82" s="256">
        <f t="shared" si="24"/>
        <v>0</v>
      </c>
      <c r="AL82" s="256">
        <f t="shared" si="24"/>
        <v>0</v>
      </c>
      <c r="AM82" s="256">
        <f t="shared" si="24"/>
        <v>0</v>
      </c>
      <c r="AN82" s="256">
        <f t="shared" si="24"/>
        <v>0</v>
      </c>
      <c r="AO82" s="256">
        <f t="shared" si="24"/>
        <v>0</v>
      </c>
      <c r="AP82" s="256">
        <f t="shared" si="24"/>
        <v>0</v>
      </c>
      <c r="AQ82" s="256">
        <f>SUM(AQ83:AQ87)</f>
        <v>0</v>
      </c>
      <c r="AR82" s="256">
        <f t="shared" si="24"/>
        <v>0</v>
      </c>
      <c r="AS82" s="256">
        <f t="shared" ref="AS82:AZ82" si="25">SUM(AS83:AS87)</f>
        <v>0</v>
      </c>
      <c r="AT82" s="256">
        <f t="shared" si="25"/>
        <v>0</v>
      </c>
      <c r="AU82" s="256">
        <f t="shared" si="25"/>
        <v>0</v>
      </c>
      <c r="AV82" s="256">
        <f t="shared" si="25"/>
        <v>0</v>
      </c>
      <c r="AW82" s="256">
        <f t="shared" si="25"/>
        <v>0</v>
      </c>
      <c r="AX82" s="256">
        <f t="shared" si="25"/>
        <v>0</v>
      </c>
      <c r="AY82" s="256">
        <f t="shared" si="25"/>
        <v>0</v>
      </c>
      <c r="AZ82" s="256">
        <f t="shared" si="25"/>
        <v>0</v>
      </c>
      <c r="BA82" s="256"/>
      <c r="BB82" s="256">
        <f>SUM(BB83:BB87)</f>
        <v>0</v>
      </c>
      <c r="BC82" s="256"/>
      <c r="BD82" s="256"/>
      <c r="BE82" s="256">
        <f>SUM(BE83:BE87)</f>
        <v>0</v>
      </c>
      <c r="BF82" s="256"/>
      <c r="BG82" s="256">
        <f>SUM(BG83:BG87)</f>
        <v>0</v>
      </c>
      <c r="BH82" s="256"/>
      <c r="BI82" s="256"/>
      <c r="BJ82" s="256"/>
      <c r="BK82" s="256"/>
      <c r="BL82" s="256"/>
      <c r="BM82" s="256"/>
      <c r="BN82" s="256">
        <f>SUM(BN83:BN87)</f>
        <v>0</v>
      </c>
      <c r="BO82" s="256">
        <f>SUM(BO83:BO87)</f>
        <v>0</v>
      </c>
      <c r="BP82" s="265"/>
    </row>
    <row r="83" spans="1:68" x14ac:dyDescent="0.2">
      <c r="A83" s="589" t="s">
        <v>1354</v>
      </c>
      <c r="B83" s="20" t="s">
        <v>1353</v>
      </c>
      <c r="C83" s="20">
        <f>Coal_Table_1!E87</f>
        <v>0</v>
      </c>
      <c r="D83" s="20">
        <f>Coal_Table_1!F87</f>
        <v>0</v>
      </c>
      <c r="E83" s="20">
        <f>Coal_Table_1!G87</f>
        <v>0</v>
      </c>
      <c r="F83" s="20">
        <f>Coal_Table_1!H87</f>
        <v>0</v>
      </c>
      <c r="G83" s="20">
        <f>Coal_Table_1!I87</f>
        <v>0</v>
      </c>
      <c r="H83" s="20">
        <f>Coal_Table_1!J87</f>
        <v>0</v>
      </c>
      <c r="I83" s="20">
        <f>Coal_Table_1!K87</f>
        <v>0</v>
      </c>
      <c r="J83" s="20">
        <f>Coal_Table_1!L87</f>
        <v>0</v>
      </c>
      <c r="K83" s="20">
        <f>Coal_Table_1!M87</f>
        <v>0</v>
      </c>
      <c r="L83" s="20">
        <f>Coal_Table_1!N87</f>
        <v>0</v>
      </c>
      <c r="M83" s="20">
        <f>Coal_Table_1!O87</f>
        <v>0</v>
      </c>
      <c r="N83" s="20">
        <f>Coal_Table_1!P87</f>
        <v>0</v>
      </c>
      <c r="O83" s="20">
        <f>Coal_Table_1!Q87</f>
        <v>0</v>
      </c>
      <c r="P83" s="20">
        <f>Coal_Table_1!R87</f>
        <v>0</v>
      </c>
      <c r="Q83" s="20"/>
      <c r="R83" s="20">
        <f>Coal_Table_1!S87</f>
        <v>0</v>
      </c>
      <c r="S83" s="20">
        <f>Coal_Table_1!T87</f>
        <v>0</v>
      </c>
      <c r="T83" s="20">
        <f>Coal_Table_1!U87</f>
        <v>0</v>
      </c>
      <c r="U83" s="20">
        <f>Oil_Table_3a!E60</f>
        <v>0</v>
      </c>
      <c r="V83" s="20">
        <f>Oil_Table_3a!F60</f>
        <v>0</v>
      </c>
      <c r="W83" s="20"/>
      <c r="X83" s="20"/>
      <c r="Y83" s="20"/>
      <c r="Z83" s="20">
        <f>Oil_Table_3a!G60</f>
        <v>0</v>
      </c>
      <c r="AA83" s="20">
        <f>Oil_Table_3a!H60</f>
        <v>0</v>
      </c>
      <c r="AB83" s="20">
        <f>Oil_Table_3a!I60</f>
        <v>0</v>
      </c>
      <c r="AC83" s="20">
        <f>(Oil_Table_3a!M60)</f>
        <v>0</v>
      </c>
      <c r="AD83" s="20">
        <f>Oil_Table_3a!N60</f>
        <v>0</v>
      </c>
      <c r="AE83" s="20">
        <f>Oil_Table_3a!O60</f>
        <v>0</v>
      </c>
      <c r="AF83" s="20">
        <f>Oil_Table_3a!R60</f>
        <v>0</v>
      </c>
      <c r="AG83" s="20">
        <f>Oil_Table_3a!S60</f>
        <v>0</v>
      </c>
      <c r="AH83" s="20">
        <f>Oil_Table_3a!X60</f>
        <v>0</v>
      </c>
      <c r="AI83" s="20">
        <f>Oil_Table_3a!Y60</f>
        <v>0</v>
      </c>
      <c r="AJ83" s="20">
        <f>Oil_Table_3a!J60</f>
        <v>0</v>
      </c>
      <c r="AK83" s="20">
        <f>Oil_Table_3a!AB60</f>
        <v>0</v>
      </c>
      <c r="AL83" s="20">
        <f>Oil_Table_3a!AC60</f>
        <v>0</v>
      </c>
      <c r="AM83" s="20">
        <f>Oil_Table_3a!AD60</f>
        <v>0</v>
      </c>
      <c r="AN83" s="20">
        <f>Oil_Table_3a!AE60</f>
        <v>0</v>
      </c>
      <c r="AO83" s="20">
        <f>Oil_Table_3a!AF60-Oil_Table_3a!AJ60</f>
        <v>0</v>
      </c>
      <c r="AP83" s="20">
        <f>Oil_Table_3a!AG60-Oil_Table_3a!AK60</f>
        <v>0</v>
      </c>
      <c r="AQ83" s="20">
        <f>Gas_Table_2b!E28</f>
        <v>0</v>
      </c>
      <c r="AR83" s="20">
        <f>Ren_Table_2a!G65</f>
        <v>0</v>
      </c>
      <c r="AS83" s="20">
        <f>Ren_Table_2a!H65</f>
        <v>0</v>
      </c>
      <c r="AT83" s="20">
        <f>Ren_Table_2a!I65</f>
        <v>0</v>
      </c>
      <c r="AU83" s="20">
        <f>Ren_Table_2a!J65</f>
        <v>0</v>
      </c>
      <c r="AV83" s="20">
        <f>Ren_Table_2a!L65</f>
        <v>0</v>
      </c>
      <c r="AW83" s="20">
        <f>ROUND(Oil_Table_3a!L60+Ren_Table_2a!M65,3)</f>
        <v>0</v>
      </c>
      <c r="AX83" s="20">
        <f>ROUND(Oil_Table_3a!Q60+Ren_Table_2a!O65,3)</f>
        <v>0</v>
      </c>
      <c r="AY83" s="20">
        <f>ROUND(Oil_Table_3a!W60+Ren_Table_2a!P65,3)</f>
        <v>0</v>
      </c>
      <c r="AZ83" s="20">
        <f>ROUND(Ren_Table_2a!Q65,3)</f>
        <v>0</v>
      </c>
      <c r="BA83" s="20"/>
      <c r="BB83" s="20">
        <f>Ren_Table_2a!K65</f>
        <v>0</v>
      </c>
      <c r="BC83" s="20"/>
      <c r="BD83" s="20"/>
      <c r="BE83" s="20">
        <f>Ren_Table_2a!E65</f>
        <v>0</v>
      </c>
      <c r="BF83" s="20"/>
      <c r="BG83" s="20">
        <f>Ren_Table_2a!F65</f>
        <v>0</v>
      </c>
      <c r="BH83" s="20"/>
      <c r="BI83" s="20"/>
      <c r="BJ83" s="20"/>
      <c r="BK83" s="20"/>
      <c r="BL83" s="20"/>
      <c r="BM83" s="20"/>
      <c r="BN83" s="20">
        <f>Ele_Table_3!F28</f>
        <v>0</v>
      </c>
      <c r="BO83" s="20">
        <f>Ele_Table_3!G28</f>
        <v>0</v>
      </c>
      <c r="BP83" s="590"/>
    </row>
    <row r="84" spans="1:68" x14ac:dyDescent="0.2">
      <c r="A84" s="589" t="s">
        <v>1361</v>
      </c>
      <c r="B84" s="20" t="s">
        <v>1360</v>
      </c>
      <c r="C84" s="20">
        <f>Coal_Table_1!E86</f>
        <v>0</v>
      </c>
      <c r="D84" s="20">
        <f>Coal_Table_1!F86</f>
        <v>0</v>
      </c>
      <c r="E84" s="20">
        <f>Coal_Table_1!G86</f>
        <v>0</v>
      </c>
      <c r="F84" s="20">
        <f>Coal_Table_1!H86</f>
        <v>0</v>
      </c>
      <c r="G84" s="20">
        <f>Coal_Table_1!I86</f>
        <v>0</v>
      </c>
      <c r="H84" s="20">
        <f>Coal_Table_1!J86</f>
        <v>0</v>
      </c>
      <c r="I84" s="20">
        <f>Coal_Table_1!K86</f>
        <v>0</v>
      </c>
      <c r="J84" s="20">
        <f>Coal_Table_1!L86</f>
        <v>0</v>
      </c>
      <c r="K84" s="20">
        <f>Coal_Table_1!M86</f>
        <v>0</v>
      </c>
      <c r="L84" s="20">
        <f>Coal_Table_1!N86</f>
        <v>0</v>
      </c>
      <c r="M84" s="20">
        <f>Coal_Table_1!O86</f>
        <v>0</v>
      </c>
      <c r="N84" s="20">
        <f>Coal_Table_1!P86</f>
        <v>0</v>
      </c>
      <c r="O84" s="20">
        <f>Coal_Table_1!Q86</f>
        <v>0</v>
      </c>
      <c r="P84" s="20">
        <f>Coal_Table_1!R86</f>
        <v>0</v>
      </c>
      <c r="Q84" s="20"/>
      <c r="R84" s="20">
        <f>Coal_Table_1!S86</f>
        <v>0</v>
      </c>
      <c r="S84" s="20">
        <f>Coal_Table_1!T86</f>
        <v>0</v>
      </c>
      <c r="T84" s="20">
        <f>Coal_Table_1!U86</f>
        <v>0</v>
      </c>
      <c r="U84" s="20">
        <f>Oil_Table_3a!E59</f>
        <v>0</v>
      </c>
      <c r="V84" s="20">
        <f>Oil_Table_3a!F59</f>
        <v>0</v>
      </c>
      <c r="W84" s="20"/>
      <c r="X84" s="20"/>
      <c r="Y84" s="20"/>
      <c r="Z84" s="20">
        <f>Oil_Table_3a!G59</f>
        <v>0</v>
      </c>
      <c r="AA84" s="20">
        <f>Oil_Table_3a!H59</f>
        <v>0</v>
      </c>
      <c r="AB84" s="20">
        <f>Oil_Table_3a!I59</f>
        <v>0</v>
      </c>
      <c r="AC84" s="20">
        <f>(Oil_Table_3a!M59)</f>
        <v>0</v>
      </c>
      <c r="AD84" s="20">
        <f>Oil_Table_3a!N59</f>
        <v>0</v>
      </c>
      <c r="AE84" s="20">
        <f>Oil_Table_3a!O59</f>
        <v>0</v>
      </c>
      <c r="AF84" s="20">
        <f>Oil_Table_3a!R59</f>
        <v>0</v>
      </c>
      <c r="AG84" s="20">
        <f>Oil_Table_3a!S59</f>
        <v>0</v>
      </c>
      <c r="AH84" s="20">
        <f>Oil_Table_3a!X59</f>
        <v>0</v>
      </c>
      <c r="AI84" s="20">
        <f>Oil_Table_3a!Y59</f>
        <v>0</v>
      </c>
      <c r="AJ84" s="20">
        <f>Oil_Table_3a!J59</f>
        <v>0</v>
      </c>
      <c r="AK84" s="20">
        <f>Oil_Table_3a!AB59</f>
        <v>0</v>
      </c>
      <c r="AL84" s="20">
        <f>Oil_Table_3a!AC59</f>
        <v>0</v>
      </c>
      <c r="AM84" s="20">
        <f>Oil_Table_3a!AD59</f>
        <v>0</v>
      </c>
      <c r="AN84" s="20">
        <f>Oil_Table_3a!AE59</f>
        <v>0</v>
      </c>
      <c r="AO84" s="20">
        <f>Oil_Table_3a!AF59-Oil_Table_3a!AJ59</f>
        <v>0</v>
      </c>
      <c r="AP84" s="20">
        <f>Oil_Table_3a!AG59-Oil_Table_3a!AK59</f>
        <v>0</v>
      </c>
      <c r="AQ84" s="20">
        <f>Gas_Table_2b!E27</f>
        <v>0</v>
      </c>
      <c r="AR84" s="20">
        <f>Ren_Table_2a!G64</f>
        <v>0</v>
      </c>
      <c r="AS84" s="20">
        <f>Ren_Table_2a!H64</f>
        <v>0</v>
      </c>
      <c r="AT84" s="20">
        <f>Ren_Table_2a!I64</f>
        <v>0</v>
      </c>
      <c r="AU84" s="20">
        <f>Ren_Table_2a!J64</f>
        <v>0</v>
      </c>
      <c r="AV84" s="20">
        <f>Ren_Table_2a!L64</f>
        <v>0</v>
      </c>
      <c r="AW84" s="20">
        <f>ROUND(Oil_Table_3a!L59+Ren_Table_2a!M64,3)</f>
        <v>0</v>
      </c>
      <c r="AX84" s="20">
        <f>ROUND(Oil_Table_3a!Q59+Ren_Table_2a!O64,3)</f>
        <v>0</v>
      </c>
      <c r="AY84" s="20">
        <f>ROUND(Oil_Table_3a!W59+Ren_Table_2a!P64,3)</f>
        <v>0</v>
      </c>
      <c r="AZ84" s="20">
        <f>ROUND(Ren_Table_2a!Q64,3)</f>
        <v>0</v>
      </c>
      <c r="BA84" s="20"/>
      <c r="BB84" s="20">
        <f>Ren_Table_2a!K64</f>
        <v>0</v>
      </c>
      <c r="BC84" s="20"/>
      <c r="BD84" s="20"/>
      <c r="BE84" s="20">
        <f>Ren_Table_2a!E64</f>
        <v>0</v>
      </c>
      <c r="BF84" s="20"/>
      <c r="BG84" s="20">
        <f>Ren_Table_2a!F64</f>
        <v>0</v>
      </c>
      <c r="BH84" s="20"/>
      <c r="BI84" s="20"/>
      <c r="BJ84" s="20"/>
      <c r="BK84" s="20"/>
      <c r="BL84" s="20"/>
      <c r="BM84" s="20"/>
      <c r="BN84" s="20">
        <f>Ele_Table_3!F29</f>
        <v>0</v>
      </c>
      <c r="BO84" s="20">
        <f>Ele_Table_3!G29</f>
        <v>0</v>
      </c>
      <c r="BP84" s="590"/>
    </row>
    <row r="85" spans="1:68" x14ac:dyDescent="0.2">
      <c r="A85" s="589" t="s">
        <v>1368</v>
      </c>
      <c r="B85" s="20" t="s">
        <v>1367</v>
      </c>
      <c r="C85" s="20">
        <f>Coal_Table_1!E88</f>
        <v>0</v>
      </c>
      <c r="D85" s="20">
        <f>Coal_Table_1!F88</f>
        <v>0</v>
      </c>
      <c r="E85" s="20">
        <f>Coal_Table_1!G88</f>
        <v>0</v>
      </c>
      <c r="F85" s="20">
        <f>Coal_Table_1!H88</f>
        <v>0</v>
      </c>
      <c r="G85" s="20">
        <f>Coal_Table_1!I88</f>
        <v>0</v>
      </c>
      <c r="H85" s="20">
        <f>Coal_Table_1!J88</f>
        <v>0</v>
      </c>
      <c r="I85" s="20">
        <f>Coal_Table_1!K88</f>
        <v>0</v>
      </c>
      <c r="J85" s="20">
        <f>Coal_Table_1!L88</f>
        <v>0</v>
      </c>
      <c r="K85" s="20">
        <f>Coal_Table_1!M88</f>
        <v>0</v>
      </c>
      <c r="L85" s="20">
        <f>Coal_Table_1!N88</f>
        <v>0</v>
      </c>
      <c r="M85" s="20">
        <f>Coal_Table_1!O88</f>
        <v>0</v>
      </c>
      <c r="N85" s="20">
        <f>Coal_Table_1!P88</f>
        <v>0</v>
      </c>
      <c r="O85" s="20">
        <f>Coal_Table_1!Q88</f>
        <v>0</v>
      </c>
      <c r="P85" s="20">
        <f>Coal_Table_1!R88</f>
        <v>0</v>
      </c>
      <c r="Q85" s="20"/>
      <c r="R85" s="20">
        <f>Coal_Table_1!S88</f>
        <v>0</v>
      </c>
      <c r="S85" s="20">
        <f>Coal_Table_1!T88</f>
        <v>0</v>
      </c>
      <c r="T85" s="20">
        <f>Coal_Table_1!U88</f>
        <v>0</v>
      </c>
      <c r="U85" s="20">
        <f>Oil_Table_3a!E61</f>
        <v>0</v>
      </c>
      <c r="V85" s="20">
        <f>Oil_Table_3a!F61</f>
        <v>0</v>
      </c>
      <c r="W85" s="20"/>
      <c r="X85" s="20"/>
      <c r="Y85" s="20"/>
      <c r="Z85" s="20">
        <f>Oil_Table_3a!G61</f>
        <v>0</v>
      </c>
      <c r="AA85" s="20">
        <f>Oil_Table_3a!H61</f>
        <v>0</v>
      </c>
      <c r="AB85" s="20">
        <f>Oil_Table_3a!I61</f>
        <v>0</v>
      </c>
      <c r="AC85" s="20">
        <f>(Oil_Table_3a!M61)</f>
        <v>0</v>
      </c>
      <c r="AD85" s="20">
        <f>Oil_Table_3a!N61</f>
        <v>0</v>
      </c>
      <c r="AE85" s="20">
        <f>Oil_Table_3a!O61</f>
        <v>0</v>
      </c>
      <c r="AF85" s="20">
        <f>Oil_Table_3a!R61</f>
        <v>0</v>
      </c>
      <c r="AG85" s="20">
        <f>Oil_Table_3a!S61</f>
        <v>0</v>
      </c>
      <c r="AH85" s="20">
        <f>Oil_Table_3a!X61</f>
        <v>0</v>
      </c>
      <c r="AI85" s="20">
        <f>Oil_Table_3a!Y61</f>
        <v>0</v>
      </c>
      <c r="AJ85" s="20">
        <f>Oil_Table_3a!J61</f>
        <v>0</v>
      </c>
      <c r="AK85" s="20">
        <f>Oil_Table_3a!AB61</f>
        <v>0</v>
      </c>
      <c r="AL85" s="20">
        <f>Oil_Table_3a!AC61</f>
        <v>0</v>
      </c>
      <c r="AM85" s="20">
        <f>Oil_Table_3a!AD61</f>
        <v>0</v>
      </c>
      <c r="AN85" s="20">
        <f>Oil_Table_3a!AE61</f>
        <v>0</v>
      </c>
      <c r="AO85" s="20">
        <f>Oil_Table_3a!AF61-Oil_Table_3a!AJ61</f>
        <v>0</v>
      </c>
      <c r="AP85" s="20">
        <f>Oil_Table_3a!AG61-Oil_Table_3a!AK61</f>
        <v>0</v>
      </c>
      <c r="AQ85" s="20">
        <f>Gas_Table_2b!E29</f>
        <v>0</v>
      </c>
      <c r="AR85" s="20">
        <f>Ren_Table_2a!G66</f>
        <v>0</v>
      </c>
      <c r="AS85" s="20">
        <f>Ren_Table_2a!H66</f>
        <v>0</v>
      </c>
      <c r="AT85" s="20">
        <f>Ren_Table_2a!I66</f>
        <v>0</v>
      </c>
      <c r="AU85" s="20">
        <f>Ren_Table_2a!J66</f>
        <v>0</v>
      </c>
      <c r="AV85" s="20">
        <f>Ren_Table_2a!L66</f>
        <v>0</v>
      </c>
      <c r="AW85" s="20">
        <f>ROUND(Oil_Table_3a!L61+Ren_Table_2a!M66,3)</f>
        <v>0</v>
      </c>
      <c r="AX85" s="20">
        <f>ROUND(Oil_Table_3a!Q61+Ren_Table_2a!O66,3)</f>
        <v>0</v>
      </c>
      <c r="AY85" s="20">
        <f>ROUND(Oil_Table_3a!W61+Ren_Table_2a!P66,3)</f>
        <v>0</v>
      </c>
      <c r="AZ85" s="20">
        <f>ROUND(Ren_Table_2a!Q66,3)</f>
        <v>0</v>
      </c>
      <c r="BA85" s="20"/>
      <c r="BB85" s="20">
        <f>Ren_Table_2a!K66</f>
        <v>0</v>
      </c>
      <c r="BC85" s="20"/>
      <c r="BD85" s="20"/>
      <c r="BE85" s="20">
        <f>Ren_Table_2a!E66</f>
        <v>0</v>
      </c>
      <c r="BF85" s="20"/>
      <c r="BG85" s="20">
        <f>Ren_Table_2a!F66</f>
        <v>0</v>
      </c>
      <c r="BH85" s="20"/>
      <c r="BI85" s="20"/>
      <c r="BJ85" s="20"/>
      <c r="BK85" s="20"/>
      <c r="BL85" s="20"/>
      <c r="BM85" s="20"/>
      <c r="BN85" s="20">
        <f>Ele_Table_3!F30</f>
        <v>0</v>
      </c>
      <c r="BO85" s="20">
        <f>Ele_Table_3!G30</f>
        <v>0</v>
      </c>
      <c r="BP85" s="590"/>
    </row>
    <row r="86" spans="1:68" x14ac:dyDescent="0.2">
      <c r="A86" s="589" t="s">
        <v>1375</v>
      </c>
      <c r="B86" s="20" t="s">
        <v>1374</v>
      </c>
      <c r="C86" s="20">
        <f>Coal_Table_1!E89</f>
        <v>0</v>
      </c>
      <c r="D86" s="20">
        <f>Coal_Table_1!F89</f>
        <v>0</v>
      </c>
      <c r="E86" s="20">
        <f>Coal_Table_1!G89</f>
        <v>0</v>
      </c>
      <c r="F86" s="20">
        <f>Coal_Table_1!H89</f>
        <v>0</v>
      </c>
      <c r="G86" s="20">
        <f>Coal_Table_1!I89</f>
        <v>0</v>
      </c>
      <c r="H86" s="20">
        <f>Coal_Table_1!J89</f>
        <v>0</v>
      </c>
      <c r="I86" s="20">
        <f>Coal_Table_1!K89</f>
        <v>0</v>
      </c>
      <c r="J86" s="20">
        <f>Coal_Table_1!L89</f>
        <v>0</v>
      </c>
      <c r="K86" s="20">
        <f>Coal_Table_1!M89</f>
        <v>0</v>
      </c>
      <c r="L86" s="20">
        <f>Coal_Table_1!N89</f>
        <v>0</v>
      </c>
      <c r="M86" s="20">
        <f>Coal_Table_1!O89</f>
        <v>0</v>
      </c>
      <c r="N86" s="20">
        <f>Coal_Table_1!P89</f>
        <v>0</v>
      </c>
      <c r="O86" s="20">
        <f>Coal_Table_1!Q89</f>
        <v>0</v>
      </c>
      <c r="P86" s="20">
        <f>Coal_Table_1!R89</f>
        <v>0</v>
      </c>
      <c r="Q86" s="20"/>
      <c r="R86" s="20">
        <f>Coal_Table_1!S89</f>
        <v>0</v>
      </c>
      <c r="S86" s="20">
        <f>Coal_Table_1!T89</f>
        <v>0</v>
      </c>
      <c r="T86" s="20">
        <f>Coal_Table_1!U89</f>
        <v>0</v>
      </c>
      <c r="U86" s="20">
        <f>Oil_Table_3a!E62</f>
        <v>0</v>
      </c>
      <c r="V86" s="20">
        <f>Oil_Table_3a!F62</f>
        <v>0</v>
      </c>
      <c r="W86" s="20"/>
      <c r="X86" s="20"/>
      <c r="Y86" s="20"/>
      <c r="Z86" s="20">
        <f>Oil_Table_3a!G62</f>
        <v>0</v>
      </c>
      <c r="AA86" s="20">
        <f>Oil_Table_3a!H62</f>
        <v>0</v>
      </c>
      <c r="AB86" s="20">
        <f>Oil_Table_3a!I62</f>
        <v>0</v>
      </c>
      <c r="AC86" s="20">
        <f>(Oil_Table_3a!M62)</f>
        <v>0</v>
      </c>
      <c r="AD86" s="20">
        <f>Oil_Table_3a!N62</f>
        <v>0</v>
      </c>
      <c r="AE86" s="20">
        <f>Oil_Table_3a!O62</f>
        <v>0</v>
      </c>
      <c r="AF86" s="20">
        <f>Oil_Table_3a!R62</f>
        <v>0</v>
      </c>
      <c r="AG86" s="20">
        <f>Oil_Table_3a!S62</f>
        <v>0</v>
      </c>
      <c r="AH86" s="20">
        <f>Oil_Table_3a!X62</f>
        <v>0</v>
      </c>
      <c r="AI86" s="20">
        <f>Oil_Table_3a!Y62</f>
        <v>0</v>
      </c>
      <c r="AJ86" s="20">
        <f>Oil_Table_3a!J62</f>
        <v>0</v>
      </c>
      <c r="AK86" s="20">
        <f>Oil_Table_3a!AB62</f>
        <v>0</v>
      </c>
      <c r="AL86" s="20">
        <f>Oil_Table_3a!AC62</f>
        <v>0</v>
      </c>
      <c r="AM86" s="20">
        <f>Oil_Table_3a!AD62</f>
        <v>0</v>
      </c>
      <c r="AN86" s="20">
        <f>Oil_Table_3a!AE62</f>
        <v>0</v>
      </c>
      <c r="AO86" s="20">
        <f>Oil_Table_3a!AF62-Oil_Table_3a!AJ62</f>
        <v>0</v>
      </c>
      <c r="AP86" s="20">
        <f>Oil_Table_3a!AG62-Oil_Table_3a!AK62</f>
        <v>0</v>
      </c>
      <c r="AQ86" s="20">
        <f>Gas_Table_2b!E30</f>
        <v>0</v>
      </c>
      <c r="AR86" s="20">
        <f>Ren_Table_2a!G67</f>
        <v>0</v>
      </c>
      <c r="AS86" s="20">
        <f>Ren_Table_2a!H67</f>
        <v>0</v>
      </c>
      <c r="AT86" s="20">
        <f>Ren_Table_2a!I67</f>
        <v>0</v>
      </c>
      <c r="AU86" s="20">
        <f>Ren_Table_2a!J67</f>
        <v>0</v>
      </c>
      <c r="AV86" s="20">
        <f>Ren_Table_2a!L67</f>
        <v>0</v>
      </c>
      <c r="AW86" s="20">
        <f>ROUND(Oil_Table_3a!L62+Ren_Table_2a!M67,3)</f>
        <v>0</v>
      </c>
      <c r="AX86" s="20">
        <f>ROUND(Oil_Table_3a!Q62+Ren_Table_2a!O67,3)</f>
        <v>0</v>
      </c>
      <c r="AY86" s="20">
        <f>ROUND(Oil_Table_3a!W62+Ren_Table_2a!P67,3)</f>
        <v>0</v>
      </c>
      <c r="AZ86" s="20">
        <f>ROUND(Ren_Table_2a!Q67,3)</f>
        <v>0</v>
      </c>
      <c r="BA86" s="20"/>
      <c r="BB86" s="20">
        <f>Ren_Table_2a!K67</f>
        <v>0</v>
      </c>
      <c r="BC86" s="20"/>
      <c r="BD86" s="20"/>
      <c r="BE86" s="20">
        <f>Ren_Table_2a!E67</f>
        <v>0</v>
      </c>
      <c r="BF86" s="20"/>
      <c r="BG86" s="20">
        <f>Ren_Table_2a!F67</f>
        <v>0</v>
      </c>
      <c r="BH86" s="20"/>
      <c r="BI86" s="20"/>
      <c r="BJ86" s="20"/>
      <c r="BK86" s="20"/>
      <c r="BL86" s="20"/>
      <c r="BM86" s="20"/>
      <c r="BN86" s="20">
        <f>Ele_Table_3!F31</f>
        <v>0</v>
      </c>
      <c r="BO86" s="20">
        <f>Ele_Table_3!G31</f>
        <v>0</v>
      </c>
      <c r="BP86" s="590"/>
    </row>
    <row r="87" spans="1:68" x14ac:dyDescent="0.2">
      <c r="A87" s="589" t="s">
        <v>1381</v>
      </c>
      <c r="B87" s="20" t="s">
        <v>643</v>
      </c>
      <c r="C87" s="20">
        <f>Coal_Table_1!E90</f>
        <v>0</v>
      </c>
      <c r="D87" s="20">
        <f>Coal_Table_1!F90</f>
        <v>0</v>
      </c>
      <c r="E87" s="20">
        <f>Coal_Table_1!G90</f>
        <v>0</v>
      </c>
      <c r="F87" s="20">
        <f>Coal_Table_1!H90</f>
        <v>0</v>
      </c>
      <c r="G87" s="20">
        <f>Coal_Table_1!I90</f>
        <v>0</v>
      </c>
      <c r="H87" s="20">
        <f>Coal_Table_1!J90</f>
        <v>0</v>
      </c>
      <c r="I87" s="20">
        <f>Coal_Table_1!K90</f>
        <v>0</v>
      </c>
      <c r="J87" s="20">
        <f>Coal_Table_1!L90</f>
        <v>0</v>
      </c>
      <c r="K87" s="20">
        <f>Coal_Table_1!M90</f>
        <v>0</v>
      </c>
      <c r="L87" s="20">
        <f>Coal_Table_1!N90</f>
        <v>0</v>
      </c>
      <c r="M87" s="20">
        <f>Coal_Table_1!O90</f>
        <v>0</v>
      </c>
      <c r="N87" s="20">
        <f>Coal_Table_1!P90</f>
        <v>0</v>
      </c>
      <c r="O87" s="20">
        <f>Coal_Table_1!Q90</f>
        <v>0</v>
      </c>
      <c r="P87" s="20">
        <f>Coal_Table_1!R90</f>
        <v>0</v>
      </c>
      <c r="Q87" s="20"/>
      <c r="R87" s="20">
        <f>Coal_Table_1!S90</f>
        <v>0</v>
      </c>
      <c r="S87" s="20">
        <f>Coal_Table_1!T90</f>
        <v>0</v>
      </c>
      <c r="T87" s="20">
        <f>Coal_Table_1!U90</f>
        <v>0</v>
      </c>
      <c r="U87" s="20">
        <f>Oil_Table_3a!E63</f>
        <v>0</v>
      </c>
      <c r="V87" s="20">
        <f>Oil_Table_3a!F63</f>
        <v>0</v>
      </c>
      <c r="W87" s="20"/>
      <c r="X87" s="20"/>
      <c r="Y87" s="20"/>
      <c r="Z87" s="20">
        <f>Oil_Table_3a!G63</f>
        <v>0</v>
      </c>
      <c r="AA87" s="20">
        <f>Oil_Table_3a!H63</f>
        <v>0</v>
      </c>
      <c r="AB87" s="20">
        <f>Oil_Table_3a!I63</f>
        <v>0</v>
      </c>
      <c r="AC87" s="20">
        <f>(Oil_Table_3a!M63)</f>
        <v>0</v>
      </c>
      <c r="AD87" s="20">
        <f>Oil_Table_3a!N63</f>
        <v>0</v>
      </c>
      <c r="AE87" s="20">
        <f>Oil_Table_3a!O63</f>
        <v>0</v>
      </c>
      <c r="AF87" s="20">
        <f>Oil_Table_3a!R63</f>
        <v>0</v>
      </c>
      <c r="AG87" s="20">
        <f>Oil_Table_3a!S63</f>
        <v>0</v>
      </c>
      <c r="AH87" s="20">
        <f>Oil_Table_3a!X63</f>
        <v>0</v>
      </c>
      <c r="AI87" s="20">
        <f>Oil_Table_3a!Y63</f>
        <v>0</v>
      </c>
      <c r="AJ87" s="20">
        <f>Oil_Table_3a!J63</f>
        <v>0</v>
      </c>
      <c r="AK87" s="20">
        <f>Oil_Table_3a!AB63</f>
        <v>0</v>
      </c>
      <c r="AL87" s="20">
        <f>Oil_Table_3a!AC63</f>
        <v>0</v>
      </c>
      <c r="AM87" s="20">
        <f>Oil_Table_3a!AD63</f>
        <v>0</v>
      </c>
      <c r="AN87" s="20">
        <f>Oil_Table_3a!AE63</f>
        <v>0</v>
      </c>
      <c r="AO87" s="20">
        <f>Oil_Table_3a!AF63-Oil_Table_3a!AJ63</f>
        <v>0</v>
      </c>
      <c r="AP87" s="20">
        <f>Oil_Table_3a!AG63-Oil_Table_3a!AK63</f>
        <v>0</v>
      </c>
      <c r="AQ87" s="20">
        <f>Gas_Table_2b!E31</f>
        <v>0</v>
      </c>
      <c r="AR87" s="20">
        <f>Ren_Table_2a!G68</f>
        <v>0</v>
      </c>
      <c r="AS87" s="20">
        <f>Ren_Table_2a!H68</f>
        <v>0</v>
      </c>
      <c r="AT87" s="20">
        <f>Ren_Table_2a!I68</f>
        <v>0</v>
      </c>
      <c r="AU87" s="20">
        <f>Ren_Table_2a!J68</f>
        <v>0</v>
      </c>
      <c r="AV87" s="20">
        <f>Ren_Table_2a!L68</f>
        <v>0</v>
      </c>
      <c r="AW87" s="20">
        <f>ROUND(Oil_Table_3a!L63+Ren_Table_2a!M68,3)</f>
        <v>0</v>
      </c>
      <c r="AX87" s="20">
        <f>ROUND(Oil_Table_3a!Q63+Ren_Table_2a!O68,3)</f>
        <v>0</v>
      </c>
      <c r="AY87" s="20">
        <f>ROUND(Oil_Table_3a!W63+Ren_Table_2a!P68,3)</f>
        <v>0</v>
      </c>
      <c r="AZ87" s="20">
        <f>ROUND(Ren_Table_2a!Q68,3)</f>
        <v>0</v>
      </c>
      <c r="BA87" s="20"/>
      <c r="BB87" s="20">
        <f>Ren_Table_2a!K68</f>
        <v>0</v>
      </c>
      <c r="BC87" s="20"/>
      <c r="BD87" s="20"/>
      <c r="BE87" s="20">
        <f>Ren_Table_2a!E68</f>
        <v>0</v>
      </c>
      <c r="BF87" s="20"/>
      <c r="BG87" s="20">
        <f>Ren_Table_2a!F68</f>
        <v>0</v>
      </c>
      <c r="BH87" s="20"/>
      <c r="BI87" s="20"/>
      <c r="BJ87" s="20"/>
      <c r="BK87" s="20"/>
      <c r="BL87" s="20"/>
      <c r="BM87" s="20"/>
      <c r="BN87" s="20">
        <f>Ele_Table_3!F32</f>
        <v>0</v>
      </c>
      <c r="BO87" s="20">
        <f>Ele_Table_3!G32</f>
        <v>0</v>
      </c>
      <c r="BP87" s="590"/>
    </row>
    <row r="88" spans="1:68" x14ac:dyDescent="0.2">
      <c r="A88" s="893" t="s">
        <v>1388</v>
      </c>
      <c r="B88" s="256" t="s">
        <v>1387</v>
      </c>
      <c r="C88" s="256">
        <f>SUM(C89:C91)</f>
        <v>0</v>
      </c>
      <c r="D88" s="256">
        <f>SUM(D89:D91)</f>
        <v>0</v>
      </c>
      <c r="E88" s="256">
        <f>SUM(E89:E91)</f>
        <v>0</v>
      </c>
      <c r="F88" s="256">
        <f>SUM(F89:F91)</f>
        <v>0</v>
      </c>
      <c r="G88" s="256">
        <f>SUM(G89:G91)</f>
        <v>0</v>
      </c>
      <c r="H88" s="256">
        <f t="shared" ref="H88:P88" si="26">SUM(H89:H91)</f>
        <v>0</v>
      </c>
      <c r="I88" s="256">
        <f t="shared" si="26"/>
        <v>0</v>
      </c>
      <c r="J88" s="256">
        <f t="shared" si="26"/>
        <v>0</v>
      </c>
      <c r="K88" s="256">
        <f t="shared" si="26"/>
        <v>0</v>
      </c>
      <c r="L88" s="256">
        <f t="shared" si="26"/>
        <v>0</v>
      </c>
      <c r="M88" s="256">
        <f t="shared" si="26"/>
        <v>0</v>
      </c>
      <c r="N88" s="256">
        <f t="shared" si="26"/>
        <v>0</v>
      </c>
      <c r="O88" s="256">
        <f t="shared" si="26"/>
        <v>0</v>
      </c>
      <c r="P88" s="256">
        <f t="shared" si="26"/>
        <v>0</v>
      </c>
      <c r="Q88" s="256">
        <f t="shared" ref="Q88:V88" si="27">SUM(Q89:Q91)</f>
        <v>0</v>
      </c>
      <c r="R88" s="256">
        <f t="shared" si="27"/>
        <v>0</v>
      </c>
      <c r="S88" s="256">
        <f t="shared" si="27"/>
        <v>0</v>
      </c>
      <c r="T88" s="256">
        <f t="shared" si="27"/>
        <v>0</v>
      </c>
      <c r="U88" s="256">
        <f t="shared" si="27"/>
        <v>0</v>
      </c>
      <c r="V88" s="256">
        <f t="shared" si="27"/>
        <v>0</v>
      </c>
      <c r="W88" s="256"/>
      <c r="X88" s="256"/>
      <c r="Y88" s="256"/>
      <c r="Z88" s="256">
        <f t="shared" ref="Z88:AP88" si="28">SUM(Z89:Z91)</f>
        <v>0</v>
      </c>
      <c r="AA88" s="256">
        <f t="shared" si="28"/>
        <v>0</v>
      </c>
      <c r="AB88" s="256">
        <f t="shared" si="28"/>
        <v>0</v>
      </c>
      <c r="AC88" s="256">
        <f t="shared" si="28"/>
        <v>0</v>
      </c>
      <c r="AD88" s="256">
        <f t="shared" si="28"/>
        <v>0</v>
      </c>
      <c r="AE88" s="256">
        <f t="shared" si="28"/>
        <v>0</v>
      </c>
      <c r="AF88" s="256">
        <f t="shared" si="28"/>
        <v>0</v>
      </c>
      <c r="AG88" s="256">
        <f t="shared" si="28"/>
        <v>0</v>
      </c>
      <c r="AH88" s="256">
        <f t="shared" si="28"/>
        <v>0</v>
      </c>
      <c r="AI88" s="256">
        <f t="shared" si="28"/>
        <v>0</v>
      </c>
      <c r="AJ88" s="256">
        <f t="shared" si="28"/>
        <v>0</v>
      </c>
      <c r="AK88" s="256">
        <f t="shared" si="28"/>
        <v>0</v>
      </c>
      <c r="AL88" s="256">
        <f t="shared" si="28"/>
        <v>0</v>
      </c>
      <c r="AM88" s="256">
        <f t="shared" si="28"/>
        <v>0</v>
      </c>
      <c r="AN88" s="256">
        <f t="shared" si="28"/>
        <v>0</v>
      </c>
      <c r="AO88" s="256">
        <f t="shared" si="28"/>
        <v>0</v>
      </c>
      <c r="AP88" s="256">
        <f t="shared" si="28"/>
        <v>0</v>
      </c>
      <c r="AQ88" s="256">
        <f>SUM(AQ89:AQ91)</f>
        <v>0</v>
      </c>
      <c r="AR88" s="256"/>
      <c r="AS88" s="256"/>
      <c r="AT88" s="256"/>
      <c r="AU88" s="256"/>
      <c r="AV88" s="256"/>
      <c r="AW88" s="256">
        <f>SUM(AW89:AW91)</f>
        <v>0</v>
      </c>
      <c r="AX88" s="256">
        <f>SUM(AX89:AX91)</f>
        <v>0</v>
      </c>
      <c r="AY88" s="256">
        <f>SUM(AY89:AY91)</f>
        <v>0</v>
      </c>
      <c r="AZ88" s="256">
        <f>SUM(AZ89:AZ91)</f>
        <v>0</v>
      </c>
      <c r="BA88" s="256"/>
      <c r="BB88" s="256"/>
      <c r="BC88" s="256"/>
      <c r="BD88" s="256"/>
      <c r="BE88" s="256"/>
      <c r="BF88" s="256"/>
      <c r="BG88" s="256"/>
      <c r="BH88" s="256"/>
      <c r="BI88" s="256"/>
      <c r="BJ88" s="256"/>
      <c r="BK88" s="256"/>
      <c r="BL88" s="256"/>
      <c r="BM88" s="256"/>
      <c r="BN88" s="256"/>
      <c r="BO88" s="256"/>
      <c r="BP88" s="265"/>
    </row>
    <row r="89" spans="1:68" x14ac:dyDescent="0.2">
      <c r="A89" s="589" t="s">
        <v>1395</v>
      </c>
      <c r="B89" s="20" t="s">
        <v>1394</v>
      </c>
      <c r="C89" s="20">
        <f>Coal_Table_1!E57</f>
        <v>0</v>
      </c>
      <c r="D89" s="20">
        <f>Coal_Table_1!F57</f>
        <v>0</v>
      </c>
      <c r="E89" s="20">
        <f>Coal_Table_1!G57</f>
        <v>0</v>
      </c>
      <c r="F89" s="20">
        <f>Coal_Table_1!H57</f>
        <v>0</v>
      </c>
      <c r="G89" s="20">
        <f>Coal_Table_1!I57</f>
        <v>0</v>
      </c>
      <c r="H89" s="20">
        <f>Coal_Table_1!J57</f>
        <v>0</v>
      </c>
      <c r="I89" s="20">
        <f>Coal_Table_1!K57</f>
        <v>0</v>
      </c>
      <c r="J89" s="20">
        <f>Coal_Table_1!L57</f>
        <v>0</v>
      </c>
      <c r="K89" s="20">
        <f>Coal_Table_1!M57</f>
        <v>0</v>
      </c>
      <c r="L89" s="20">
        <f>Coal_Table_1!N57</f>
        <v>0</v>
      </c>
      <c r="M89" s="20">
        <f>Coal_Table_1!O57</f>
        <v>0</v>
      </c>
      <c r="N89" s="20">
        <f>Coal_Table_1!P57</f>
        <v>0</v>
      </c>
      <c r="O89" s="20">
        <f>Coal_Table_1!Q57</f>
        <v>0</v>
      </c>
      <c r="P89" s="20">
        <f>Coal_Table_1!R57</f>
        <v>0</v>
      </c>
      <c r="Q89" s="20"/>
      <c r="R89" s="20">
        <f>Coal_Table_1!S57</f>
        <v>0</v>
      </c>
      <c r="S89" s="20">
        <f>Coal_Table_1!T57</f>
        <v>0</v>
      </c>
      <c r="T89" s="20">
        <f>Coal_Table_1!U57</f>
        <v>0</v>
      </c>
      <c r="U89" s="20">
        <f>SUM(Oil_Table_3b!E13:E25,Oil_Table_3b!E27:E33,Oil_Table_3b!E45:E57)</f>
        <v>0</v>
      </c>
      <c r="V89" s="20">
        <f>SUM(Oil_Table_3b!F13:F25,Oil_Table_3b!F27:F33,Oil_Table_3b!F45:F57)</f>
        <v>0</v>
      </c>
      <c r="W89" s="20"/>
      <c r="X89" s="20"/>
      <c r="Y89" s="20"/>
      <c r="Z89" s="20">
        <f>SUM(Oil_Table_3b!G13:G25,Oil_Table_3b!G27:G33,Oil_Table_3b!G45:G57)</f>
        <v>0</v>
      </c>
      <c r="AA89" s="20">
        <f>SUM(Oil_Table_3b!H13:H25,Oil_Table_3b!H27:H33,Oil_Table_3b!H45:H57)</f>
        <v>0</v>
      </c>
      <c r="AB89" s="20">
        <f>SUM(Oil_Table_3b!I13:I25,Oil_Table_3b!I27:I33,Oil_Table_3b!I45:I57)</f>
        <v>0</v>
      </c>
      <c r="AC89" s="20">
        <f>SUM(Oil_Table_3b!M13:M25,Oil_Table_3b!M27:M33,Oil_Table_3b!M45:M57)</f>
        <v>0</v>
      </c>
      <c r="AD89" s="20">
        <f>SUM(Oil_Table_3b!N13:N25,Oil_Table_3b!N27:N33,Oil_Table_3b!N45:N57)</f>
        <v>0</v>
      </c>
      <c r="AE89" s="20">
        <f>SUM(Oil_Table_3b!O13:O25,Oil_Table_3b!O27:O33,Oil_Table_3b!O45:O57)</f>
        <v>0</v>
      </c>
      <c r="AF89" s="20">
        <f>SUM(Oil_Table_3b!R13:R25,Oil_Table_3b!R27:R33,Oil_Table_3b!R45:R57)</f>
        <v>0</v>
      </c>
      <c r="AG89" s="20">
        <f>SUM(Oil_Table_3b!S13:S25,Oil_Table_3b!S27:S33,Oil_Table_3b!S45:S57)</f>
        <v>0</v>
      </c>
      <c r="AH89" s="20">
        <f>SUM(Oil_Table_3b!X13:X25,Oil_Table_3b!X27:X33,Oil_Table_3b!X45:X57)</f>
        <v>0</v>
      </c>
      <c r="AI89" s="20">
        <f>SUM(Oil_Table_3b!Y13:Y25,Oil_Table_3b!Y27:Y33,Oil_Table_3b!Y45:Y57)</f>
        <v>0</v>
      </c>
      <c r="AJ89" s="20">
        <f>SUM(Oil_Table_3b!J13:J25,Oil_Table_3b!J27:J33,Oil_Table_3b!J45:J57)</f>
        <v>0</v>
      </c>
      <c r="AK89" s="20">
        <f>SUM(Oil_Table_3b!AB13:AB25,Oil_Table_3b!AB27:AB33,Oil_Table_3b!AB45:AB57)</f>
        <v>0</v>
      </c>
      <c r="AL89" s="20">
        <f>SUM(Oil_Table_3b!AC13:AC25,Oil_Table_3b!AC27:AC33,Oil_Table_3b!AC45:AC57)</f>
        <v>0</v>
      </c>
      <c r="AM89" s="20">
        <f>SUM(Oil_Table_3b!AD13:AD25,Oil_Table_3b!AD27:AD33,Oil_Table_3b!AD45:AD57)</f>
        <v>0</v>
      </c>
      <c r="AN89" s="20">
        <f>SUM(Oil_Table_3b!AE13:AE25,Oil_Table_3b!AE27:AE33,Oil_Table_3b!AE45:AE57)</f>
        <v>0</v>
      </c>
      <c r="AO89" s="20">
        <f>SUM(Oil_Table_3b!AF13:AF25,Oil_Table_3b!AF27:AF33,Oil_Table_3b!AF45:AF57)</f>
        <v>0</v>
      </c>
      <c r="AP89" s="20">
        <f>SUM(Oil_Table_3b!AG13:AG25,Oil_Table_3b!AG27:AG33,Oil_Table_3b!AG45:AG57)</f>
        <v>0</v>
      </c>
      <c r="AQ89" s="20">
        <f>SUM(Gas_Table_2b!F13:F25)</f>
        <v>0</v>
      </c>
      <c r="AR89" s="20"/>
      <c r="AS89" s="20"/>
      <c r="AT89" s="20"/>
      <c r="AU89" s="20"/>
      <c r="AV89" s="20"/>
      <c r="AW89" s="20">
        <f>SUM(Oil_Table_3b!L13:L25,Oil_Table_3b!L27:L33,Oil_Table_3b!L45:L57)</f>
        <v>0</v>
      </c>
      <c r="AX89" s="20">
        <f>SUM(Oil_Table_3b!Q13:Q25,Oil_Table_3b!Q27:Q33,Oil_Table_3b!Q45:Q57)</f>
        <v>0</v>
      </c>
      <c r="AY89" s="20">
        <f>SUM(Oil_Table_3b!W13:W25,Oil_Table_3b!W27:W33,Oil_Table_3b!W45:W57)</f>
        <v>0</v>
      </c>
      <c r="AZ89" s="20"/>
      <c r="BA89" s="20"/>
      <c r="BB89" s="20"/>
      <c r="BC89" s="20"/>
      <c r="BD89" s="20"/>
      <c r="BE89" s="20"/>
      <c r="BF89" s="20"/>
      <c r="BG89" s="20"/>
      <c r="BH89" s="20"/>
      <c r="BI89" s="20"/>
      <c r="BJ89" s="20"/>
      <c r="BK89" s="20"/>
      <c r="BL89" s="20"/>
      <c r="BM89" s="20"/>
      <c r="BN89" s="20"/>
      <c r="BO89" s="20"/>
      <c r="BP89" s="590"/>
    </row>
    <row r="90" spans="1:68" x14ac:dyDescent="0.2">
      <c r="A90" s="589" t="s">
        <v>1402</v>
      </c>
      <c r="B90" s="20" t="s">
        <v>1401</v>
      </c>
      <c r="C90" s="20">
        <f>Coal_Table_1!E59</f>
        <v>0</v>
      </c>
      <c r="D90" s="20">
        <f>Coal_Table_1!F59</f>
        <v>0</v>
      </c>
      <c r="E90" s="20">
        <f>Coal_Table_1!G59</f>
        <v>0</v>
      </c>
      <c r="F90" s="20">
        <f>Coal_Table_1!H59</f>
        <v>0</v>
      </c>
      <c r="G90" s="20">
        <f>Coal_Table_1!I59</f>
        <v>0</v>
      </c>
      <c r="H90" s="20">
        <f>Coal_Table_1!J59</f>
        <v>0</v>
      </c>
      <c r="I90" s="20">
        <f>Coal_Table_1!K59</f>
        <v>0</v>
      </c>
      <c r="J90" s="20">
        <f>Coal_Table_1!L59</f>
        <v>0</v>
      </c>
      <c r="K90" s="20">
        <f>Coal_Table_1!M59</f>
        <v>0</v>
      </c>
      <c r="L90" s="20">
        <f>Coal_Table_1!N59</f>
        <v>0</v>
      </c>
      <c r="M90" s="20">
        <f>Coal_Table_1!O59</f>
        <v>0</v>
      </c>
      <c r="N90" s="20">
        <f>Coal_Table_1!P59</f>
        <v>0</v>
      </c>
      <c r="O90" s="20">
        <f>Coal_Table_1!Q59</f>
        <v>0</v>
      </c>
      <c r="P90" s="20">
        <f>Coal_Table_1!R59</f>
        <v>0</v>
      </c>
      <c r="Q90" s="20"/>
      <c r="R90" s="20">
        <f>Coal_Table_1!S59</f>
        <v>0</v>
      </c>
      <c r="S90" s="20">
        <f>Coal_Table_1!T59</f>
        <v>0</v>
      </c>
      <c r="T90" s="20">
        <f>Coal_Table_1!U59</f>
        <v>0</v>
      </c>
      <c r="U90" s="20">
        <f>SUM(Oil_Table_3b!E37:E43)</f>
        <v>0</v>
      </c>
      <c r="V90" s="20">
        <f>SUM(Oil_Table_3b!F37:F43)</f>
        <v>0</v>
      </c>
      <c r="W90" s="20"/>
      <c r="X90" s="20"/>
      <c r="Y90" s="20"/>
      <c r="Z90" s="20">
        <f>SUM(Oil_Table_3b!G37:G43)</f>
        <v>0</v>
      </c>
      <c r="AA90" s="20">
        <f>SUM(Oil_Table_3b!H37:H43)</f>
        <v>0</v>
      </c>
      <c r="AB90" s="20">
        <f>SUM(Oil_Table_3b!I37:I43)</f>
        <v>0</v>
      </c>
      <c r="AC90" s="20">
        <f>SUM(Oil_Table_3b!M37:M43)</f>
        <v>0</v>
      </c>
      <c r="AD90" s="20">
        <f>SUM(Oil_Table_3b!N37:N43)</f>
        <v>0</v>
      </c>
      <c r="AE90" s="20">
        <f>SUM(Oil_Table_3b!O37:O43)</f>
        <v>0</v>
      </c>
      <c r="AF90" s="20">
        <f>SUM(Oil_Table_3b!R37:R43)</f>
        <v>0</v>
      </c>
      <c r="AG90" s="20">
        <f>SUM(Oil_Table_3b!S37:S43)</f>
        <v>0</v>
      </c>
      <c r="AH90" s="20">
        <f>SUM(Oil_Table_3b!X37:X43)</f>
        <v>0</v>
      </c>
      <c r="AI90" s="20">
        <f>SUM(Oil_Table_3b!Y37:Y43)</f>
        <v>0</v>
      </c>
      <c r="AJ90" s="20">
        <f>SUM(Oil_Table_3b!J37:J43)</f>
        <v>0</v>
      </c>
      <c r="AK90" s="20">
        <f>SUM(Oil_Table_3b!AB37:AB43)</f>
        <v>0</v>
      </c>
      <c r="AL90" s="20">
        <f>SUM(Oil_Table_3b!AC37:AC43)</f>
        <v>0</v>
      </c>
      <c r="AM90" s="20">
        <f>SUM(Oil_Table_3b!AD37:AD43)</f>
        <v>0</v>
      </c>
      <c r="AN90" s="20">
        <f>SUM(Oil_Table_3b!AE37:AE43)</f>
        <v>0</v>
      </c>
      <c r="AO90" s="20">
        <f>SUM(Oil_Table_3b!AF37:AF43)</f>
        <v>0</v>
      </c>
      <c r="AP90" s="20">
        <f>SUM(Oil_Table_3b!AG37:AG43)</f>
        <v>0</v>
      </c>
      <c r="AQ90" s="20">
        <f>SUM(Gas_Table_2b!F8:F11)</f>
        <v>0</v>
      </c>
      <c r="AR90" s="20"/>
      <c r="AS90" s="20"/>
      <c r="AT90" s="20"/>
      <c r="AU90" s="20"/>
      <c r="AV90" s="20"/>
      <c r="AW90" s="20">
        <f>SUM(Oil_Table_3b!L37:L43)</f>
        <v>0</v>
      </c>
      <c r="AX90" s="20">
        <f>SUM(Oil_Table_3b!Q37:Q43)</f>
        <v>0</v>
      </c>
      <c r="AY90" s="20">
        <f>SUM(Oil_Table_3b!W37:W43)</f>
        <v>0</v>
      </c>
      <c r="AZ90" s="20"/>
      <c r="BA90" s="20"/>
      <c r="BB90" s="20"/>
      <c r="BC90" s="20"/>
      <c r="BD90" s="20"/>
      <c r="BE90" s="20"/>
      <c r="BF90" s="20"/>
      <c r="BG90" s="20"/>
      <c r="BH90" s="20"/>
      <c r="BI90" s="20"/>
      <c r="BJ90" s="20"/>
      <c r="BK90" s="20"/>
      <c r="BL90" s="20"/>
      <c r="BM90" s="20"/>
      <c r="BN90" s="20"/>
      <c r="BO90" s="20"/>
      <c r="BP90" s="590"/>
    </row>
    <row r="91" spans="1:68" x14ac:dyDescent="0.2">
      <c r="A91" s="589" t="s">
        <v>1409</v>
      </c>
      <c r="B91" s="20" t="s">
        <v>1408</v>
      </c>
      <c r="C91" s="20">
        <f>Coal_Table_1!E60</f>
        <v>0</v>
      </c>
      <c r="D91" s="20">
        <f>Coal_Table_1!F60</f>
        <v>0</v>
      </c>
      <c r="E91" s="20">
        <f>Coal_Table_1!G60</f>
        <v>0</v>
      </c>
      <c r="F91" s="20">
        <f>Coal_Table_1!H60</f>
        <v>0</v>
      </c>
      <c r="G91" s="20">
        <f>Coal_Table_1!I60</f>
        <v>0</v>
      </c>
      <c r="H91" s="20">
        <f>Coal_Table_1!J60</f>
        <v>0</v>
      </c>
      <c r="I91" s="20">
        <f>Coal_Table_1!K60</f>
        <v>0</v>
      </c>
      <c r="J91" s="20">
        <f>Coal_Table_1!L60</f>
        <v>0</v>
      </c>
      <c r="K91" s="20">
        <f>Coal_Table_1!M60</f>
        <v>0</v>
      </c>
      <c r="L91" s="20">
        <f>Coal_Table_1!N60</f>
        <v>0</v>
      </c>
      <c r="M91" s="20">
        <f>Coal_Table_1!O60</f>
        <v>0</v>
      </c>
      <c r="N91" s="20">
        <f>Coal_Table_1!P60</f>
        <v>0</v>
      </c>
      <c r="O91" s="20">
        <f>Coal_Table_1!Q60</f>
        <v>0</v>
      </c>
      <c r="P91" s="20">
        <f>Coal_Table_1!R60</f>
        <v>0</v>
      </c>
      <c r="Q91" s="20"/>
      <c r="R91" s="20">
        <f>Coal_Table_1!S60</f>
        <v>0</v>
      </c>
      <c r="S91" s="20">
        <f>Coal_Table_1!T60</f>
        <v>0</v>
      </c>
      <c r="T91" s="20">
        <f>Coal_Table_1!U60</f>
        <v>0</v>
      </c>
      <c r="U91" s="20">
        <f>SUM(Oil_Table_3b!E34,Oil_Table_3b!E59:E63)</f>
        <v>0</v>
      </c>
      <c r="V91" s="20">
        <f>SUM(Oil_Table_3b!F34,Oil_Table_3b!F59:F63)</f>
        <v>0</v>
      </c>
      <c r="W91" s="20"/>
      <c r="X91" s="20"/>
      <c r="Y91" s="20"/>
      <c r="Z91" s="20">
        <f>SUM(Oil_Table_3b!G34,Oil_Table_3b!G59:G63)</f>
        <v>0</v>
      </c>
      <c r="AA91" s="20">
        <f>SUM(Oil_Table_3b!H34,Oil_Table_3b!H59:H63)</f>
        <v>0</v>
      </c>
      <c r="AB91" s="20">
        <f>SUM(Oil_Table_3b!I34,Oil_Table_3b!I59:I63)</f>
        <v>0</v>
      </c>
      <c r="AC91" s="20">
        <f>SUM(Oil_Table_3b!M34,Oil_Table_3b!M59:M63)</f>
        <v>0</v>
      </c>
      <c r="AD91" s="20">
        <f>SUM(Oil_Table_3b!N34,Oil_Table_3b!N59:N63)</f>
        <v>0</v>
      </c>
      <c r="AE91" s="20">
        <f>SUM(Oil_Table_3b!O34,Oil_Table_3b!O59:O63)</f>
        <v>0</v>
      </c>
      <c r="AF91" s="20">
        <f>SUM(Oil_Table_3b!R34,Oil_Table_3b!R59:R63)</f>
        <v>0</v>
      </c>
      <c r="AG91" s="20">
        <f>SUM(Oil_Table_3b!S34,Oil_Table_3b!S59:S63)</f>
        <v>0</v>
      </c>
      <c r="AH91" s="20">
        <f>SUM(Oil_Table_3b!X34,Oil_Table_3b!X59:X63)</f>
        <v>0</v>
      </c>
      <c r="AI91" s="20">
        <f>SUM(Oil_Table_3b!Y34,Oil_Table_3b!Y59:Y63)</f>
        <v>0</v>
      </c>
      <c r="AJ91" s="20">
        <f>SUM(Oil_Table_3b!J34,Oil_Table_3b!J59:J63)</f>
        <v>0</v>
      </c>
      <c r="AK91" s="20">
        <f>SUM(Oil_Table_3b!AB34,Oil_Table_3b!AB59:AB63)</f>
        <v>0</v>
      </c>
      <c r="AL91" s="20">
        <f>SUM(Oil_Table_3b!AC34,Oil_Table_3b!AC59:AC63)</f>
        <v>0</v>
      </c>
      <c r="AM91" s="20">
        <f>SUM(Oil_Table_3b!AD34,Oil_Table_3b!AD59:AD63)</f>
        <v>0</v>
      </c>
      <c r="AN91" s="20">
        <f>SUM(Oil_Table_3b!AE34,Oil_Table_3b!AE59:AE63)</f>
        <v>0</v>
      </c>
      <c r="AO91" s="20">
        <f>SUM(Oil_Table_3b!AF34,Oil_Table_3b!AF59:AF63)</f>
        <v>0</v>
      </c>
      <c r="AP91" s="20">
        <f>SUM(Oil_Table_3b!AG34,Oil_Table_3b!AG59:AG63)</f>
        <v>0</v>
      </c>
      <c r="AQ91" s="20">
        <f>SUM(Gas_Table_2b!F27:F31)</f>
        <v>0</v>
      </c>
      <c r="AR91" s="20"/>
      <c r="AS91" s="20"/>
      <c r="AT91" s="20"/>
      <c r="AU91" s="20"/>
      <c r="AV91" s="20"/>
      <c r="AW91" s="20">
        <f>SUM(Oil_Table_3b!L34,Oil_Table_3b!L59:L63)</f>
        <v>0</v>
      </c>
      <c r="AX91" s="20">
        <f>SUM(Oil_Table_3b!Q34,Oil_Table_3b!Q59:Q63)</f>
        <v>0</v>
      </c>
      <c r="AY91" s="20">
        <f>SUM(Oil_Table_3b!W34,Oil_Table_3b!W59:W63)</f>
        <v>0</v>
      </c>
      <c r="AZ91" s="20"/>
      <c r="BA91" s="20"/>
      <c r="BB91" s="20"/>
      <c r="BC91" s="20"/>
      <c r="BD91" s="20"/>
      <c r="BE91" s="20"/>
      <c r="BF91" s="20"/>
      <c r="BG91" s="20"/>
      <c r="BH91" s="20"/>
      <c r="BI91" s="20"/>
      <c r="BJ91" s="20"/>
      <c r="BK91" s="20"/>
      <c r="BL91" s="20"/>
      <c r="BM91" s="20"/>
      <c r="BN91" s="20"/>
      <c r="BO91" s="20"/>
      <c r="BP91" s="590"/>
    </row>
    <row r="92" spans="1:68" x14ac:dyDescent="0.2">
      <c r="A92" s="589" t="s">
        <v>1416</v>
      </c>
      <c r="B92" s="20" t="s">
        <v>1415</v>
      </c>
      <c r="C92" s="20">
        <f>Coal_Table_1!E58</f>
        <v>0</v>
      </c>
      <c r="D92" s="20">
        <f>Coal_Table_1!F58</f>
        <v>0</v>
      </c>
      <c r="E92" s="20">
        <f>Coal_Table_1!G58</f>
        <v>0</v>
      </c>
      <c r="F92" s="20">
        <f>Coal_Table_1!H58</f>
        <v>0</v>
      </c>
      <c r="G92" s="20">
        <f>Coal_Table_1!I58</f>
        <v>0</v>
      </c>
      <c r="H92" s="20">
        <f>Coal_Table_1!J58</f>
        <v>0</v>
      </c>
      <c r="I92" s="20">
        <f>Coal_Table_1!K58</f>
        <v>0</v>
      </c>
      <c r="J92" s="20">
        <f>Coal_Table_1!L58</f>
        <v>0</v>
      </c>
      <c r="K92" s="20">
        <f>Coal_Table_1!M58</f>
        <v>0</v>
      </c>
      <c r="L92" s="20">
        <f>Coal_Table_1!N58</f>
        <v>0</v>
      </c>
      <c r="M92" s="20">
        <f>Coal_Table_1!O58</f>
        <v>0</v>
      </c>
      <c r="N92" s="20">
        <f>Coal_Table_1!P58</f>
        <v>0</v>
      </c>
      <c r="O92" s="20">
        <f>Coal_Table_1!Q58</f>
        <v>0</v>
      </c>
      <c r="P92" s="20">
        <f>Coal_Table_1!R58</f>
        <v>0</v>
      </c>
      <c r="Q92" s="20"/>
      <c r="R92" s="20">
        <f>Coal_Table_1!S58</f>
        <v>0</v>
      </c>
      <c r="S92" s="20">
        <f>Coal_Table_1!T58</f>
        <v>0</v>
      </c>
      <c r="T92" s="20">
        <f>Coal_Table_1!U58</f>
        <v>0</v>
      </c>
      <c r="U92" s="20">
        <f>Oil_Table_3b!E46</f>
        <v>0</v>
      </c>
      <c r="V92" s="20">
        <f>Oil_Table_3b!F46</f>
        <v>0</v>
      </c>
      <c r="W92" s="20"/>
      <c r="X92" s="20"/>
      <c r="Y92" s="20"/>
      <c r="Z92" s="20">
        <f>Oil_Table_3b!G46</f>
        <v>0</v>
      </c>
      <c r="AA92" s="20">
        <f>Oil_Table_3b!H46</f>
        <v>0</v>
      </c>
      <c r="AB92" s="20">
        <f>Oil_Table_3b!I46</f>
        <v>0</v>
      </c>
      <c r="AC92" s="20">
        <f>Oil_Table_3b!M46</f>
        <v>0</v>
      </c>
      <c r="AD92" s="20">
        <f>Oil_Table_3b!N46</f>
        <v>0</v>
      </c>
      <c r="AE92" s="20">
        <f>Oil_Table_3b!O46</f>
        <v>0</v>
      </c>
      <c r="AF92" s="20">
        <f>Oil_Table_3b!R46</f>
        <v>0</v>
      </c>
      <c r="AG92" s="20">
        <f>Oil_Table_3b!S46</f>
        <v>0</v>
      </c>
      <c r="AH92" s="20">
        <f>Oil_Table_3b!X46</f>
        <v>0</v>
      </c>
      <c r="AI92" s="20">
        <f>Oil_Table_3b!Y46</f>
        <v>0</v>
      </c>
      <c r="AJ92" s="20">
        <f>Oil_Table_3b!J46</f>
        <v>0</v>
      </c>
      <c r="AK92" s="20">
        <f>Oil_Table_3b!AB46</f>
        <v>0</v>
      </c>
      <c r="AL92" s="20">
        <f>Oil_Table_3b!AC46</f>
        <v>0</v>
      </c>
      <c r="AM92" s="20">
        <f>Oil_Table_3b!AD46</f>
        <v>0</v>
      </c>
      <c r="AN92" s="20">
        <f>Oil_Table_3b!AE46</f>
        <v>0</v>
      </c>
      <c r="AO92" s="20">
        <f>Oil_Table_3b!AF46</f>
        <v>0</v>
      </c>
      <c r="AP92" s="20">
        <f>Oil_Table_3b!AG46</f>
        <v>0</v>
      </c>
      <c r="AQ92" s="20">
        <f>Gas_Table_2b!F14</f>
        <v>0</v>
      </c>
      <c r="AR92" s="20"/>
      <c r="AS92" s="20"/>
      <c r="AT92" s="20"/>
      <c r="AU92" s="20"/>
      <c r="AV92" s="20"/>
      <c r="AW92" s="20">
        <f>Oil_Table_3b!L46</f>
        <v>0</v>
      </c>
      <c r="AX92" s="20">
        <f>Oil_Table_3b!Q46</f>
        <v>0</v>
      </c>
      <c r="AY92" s="20">
        <f>Oil_Table_3b!W46</f>
        <v>0</v>
      </c>
      <c r="AZ92" s="20"/>
      <c r="BA92" s="20"/>
      <c r="BB92" s="20"/>
      <c r="BC92" s="20"/>
      <c r="BD92" s="20"/>
      <c r="BE92" s="20"/>
      <c r="BF92" s="20"/>
      <c r="BG92" s="20"/>
      <c r="BH92" s="20"/>
      <c r="BI92" s="20"/>
      <c r="BJ92" s="20"/>
      <c r="BK92" s="20"/>
      <c r="BL92" s="20"/>
      <c r="BM92" s="20"/>
      <c r="BN92" s="20"/>
      <c r="BO92" s="20"/>
      <c r="BP92" s="590"/>
    </row>
    <row r="93" spans="1:68" x14ac:dyDescent="0.2">
      <c r="A93" s="893" t="s">
        <v>7013</v>
      </c>
      <c r="B93" s="256" t="s">
        <v>1425</v>
      </c>
      <c r="C93" s="256">
        <f>SUM(C94:C97)</f>
        <v>0</v>
      </c>
      <c r="D93" s="256">
        <f>SUM(D94:D97)</f>
        <v>0</v>
      </c>
      <c r="E93" s="256">
        <f>SUM(E94:E97)</f>
        <v>0</v>
      </c>
      <c r="F93" s="256">
        <f>SUM(F94:F97)</f>
        <v>0</v>
      </c>
      <c r="G93" s="256">
        <f>SUM(G94:G97)</f>
        <v>0</v>
      </c>
      <c r="H93" s="256">
        <f t="shared" ref="H93:P93" si="29">SUM(H94:H97)</f>
        <v>0</v>
      </c>
      <c r="I93" s="256">
        <f t="shared" si="29"/>
        <v>0</v>
      </c>
      <c r="J93" s="256">
        <f t="shared" si="29"/>
        <v>0</v>
      </c>
      <c r="K93" s="256">
        <f t="shared" si="29"/>
        <v>0</v>
      </c>
      <c r="L93" s="256">
        <f t="shared" si="29"/>
        <v>0</v>
      </c>
      <c r="M93" s="256">
        <f t="shared" si="29"/>
        <v>0</v>
      </c>
      <c r="N93" s="256">
        <f t="shared" si="29"/>
        <v>0</v>
      </c>
      <c r="O93" s="256">
        <f t="shared" si="29"/>
        <v>0</v>
      </c>
      <c r="P93" s="256">
        <f t="shared" si="29"/>
        <v>0</v>
      </c>
      <c r="Q93" s="256">
        <f t="shared" ref="Q93:V93" si="30">SUM(Q94:Q97)</f>
        <v>0</v>
      </c>
      <c r="R93" s="256">
        <f t="shared" si="30"/>
        <v>0</v>
      </c>
      <c r="S93" s="256">
        <f t="shared" si="30"/>
        <v>0</v>
      </c>
      <c r="T93" s="256">
        <f t="shared" si="30"/>
        <v>0</v>
      </c>
      <c r="U93" s="256">
        <f t="shared" si="30"/>
        <v>0</v>
      </c>
      <c r="V93" s="256">
        <f t="shared" si="30"/>
        <v>0</v>
      </c>
      <c r="W93" s="256"/>
      <c r="X93" s="256"/>
      <c r="Y93" s="256"/>
      <c r="Z93" s="256">
        <f>SUM(Z94:Z97)</f>
        <v>0</v>
      </c>
      <c r="AA93" s="256"/>
      <c r="AB93" s="256">
        <f>SUM(AB94:AB97)</f>
        <v>0</v>
      </c>
      <c r="AC93" s="256"/>
      <c r="AD93" s="256"/>
      <c r="AE93" s="256"/>
      <c r="AF93" s="256">
        <f>SUM(AF94:AF97)</f>
        <v>0</v>
      </c>
      <c r="AG93" s="256">
        <f>SUM(AG94:AG97)</f>
        <v>0</v>
      </c>
      <c r="AH93" s="256">
        <f>SUM(AH94:AH97)</f>
        <v>0</v>
      </c>
      <c r="AI93" s="256">
        <f>SUM(AI94:AI97)</f>
        <v>0</v>
      </c>
      <c r="AJ93" s="256">
        <f>SUM(AJ94:AJ97)</f>
        <v>0</v>
      </c>
      <c r="AK93" s="256"/>
      <c r="AL93" s="256"/>
      <c r="AM93" s="256">
        <f>SUM(AM94:AM97)</f>
        <v>0</v>
      </c>
      <c r="AN93" s="256"/>
      <c r="AO93" s="256">
        <f t="shared" ref="AO93:AW93" si="31">SUM(AO94:AO97)</f>
        <v>0</v>
      </c>
      <c r="AP93" s="256">
        <f t="shared" si="31"/>
        <v>0</v>
      </c>
      <c r="AQ93" s="256">
        <f>SUM(AQ94:AQ97)</f>
        <v>0</v>
      </c>
      <c r="AR93" s="256">
        <f t="shared" si="31"/>
        <v>0</v>
      </c>
      <c r="AS93" s="256">
        <f t="shared" si="31"/>
        <v>0</v>
      </c>
      <c r="AT93" s="256">
        <f t="shared" si="31"/>
        <v>0</v>
      </c>
      <c r="AU93" s="256">
        <f t="shared" si="31"/>
        <v>0</v>
      </c>
      <c r="AV93" s="256">
        <f t="shared" si="31"/>
        <v>0</v>
      </c>
      <c r="AW93" s="256">
        <f t="shared" si="31"/>
        <v>0</v>
      </c>
      <c r="AX93" s="256"/>
      <c r="AY93" s="256"/>
      <c r="AZ93" s="256">
        <f>SUM(AZ94:AZ97)</f>
        <v>0</v>
      </c>
      <c r="BA93" s="256"/>
      <c r="BB93" s="256"/>
      <c r="BC93" s="256">
        <f t="shared" ref="BC93:BI93" si="32">SUM(BC94:BC97)</f>
        <v>0</v>
      </c>
      <c r="BD93" s="256">
        <f t="shared" si="32"/>
        <v>0</v>
      </c>
      <c r="BE93" s="256">
        <f t="shared" si="32"/>
        <v>0</v>
      </c>
      <c r="BF93" s="256">
        <f t="shared" si="32"/>
        <v>0</v>
      </c>
      <c r="BG93" s="256">
        <f t="shared" si="32"/>
        <v>0</v>
      </c>
      <c r="BH93" s="256">
        <f t="shared" si="32"/>
        <v>0</v>
      </c>
      <c r="BI93" s="256">
        <f t="shared" si="32"/>
        <v>0</v>
      </c>
      <c r="BJ93" s="256"/>
      <c r="BK93" s="256"/>
      <c r="BL93" s="256">
        <f>SUM(BL94:BL97)</f>
        <v>0</v>
      </c>
      <c r="BM93" s="256">
        <f>SUM(BM94:BM97)</f>
        <v>0</v>
      </c>
      <c r="BN93" s="256">
        <f>SUM(BN94:BN97)</f>
        <v>0</v>
      </c>
      <c r="BO93" s="256"/>
      <c r="BP93" s="265"/>
    </row>
    <row r="94" spans="1:68" x14ac:dyDescent="0.2">
      <c r="A94" s="589" t="s">
        <v>1433</v>
      </c>
      <c r="B94" s="20" t="s">
        <v>1432</v>
      </c>
      <c r="C94" s="20">
        <f>Ele_Table_6a!$G9</f>
        <v>0</v>
      </c>
      <c r="D94" s="20">
        <f>Ele_Table_6a!$G13</f>
        <v>0</v>
      </c>
      <c r="E94" s="20">
        <f>Ele_Table_6a!$G17</f>
        <v>0</v>
      </c>
      <c r="F94" s="20">
        <f>Ele_Table_6a!$G21</f>
        <v>0</v>
      </c>
      <c r="G94" s="20">
        <f>Ele_Table_6a!$G25</f>
        <v>0</v>
      </c>
      <c r="H94" s="20">
        <f>Ele_Table_6a!$G29</f>
        <v>0</v>
      </c>
      <c r="I94" s="20">
        <f>Ele_Table_6a!$G33</f>
        <v>0</v>
      </c>
      <c r="J94" s="20">
        <f>Ele_Table_6a!$G37</f>
        <v>0</v>
      </c>
      <c r="K94" s="20">
        <f>Ele_Table_6a!$G41</f>
        <v>0</v>
      </c>
      <c r="L94" s="20">
        <f>Ele_Table_6a!$G45</f>
        <v>0</v>
      </c>
      <c r="M94" s="20">
        <f>Ele_Table_6a!$G48</f>
        <v>0</v>
      </c>
      <c r="N94" s="20">
        <f>Ele_Table_6a!$G51</f>
        <v>0</v>
      </c>
      <c r="O94" s="20">
        <f>Ele_Table_6a!$G54</f>
        <v>0</v>
      </c>
      <c r="P94" s="20">
        <f>Ele_Table_6a!$G57</f>
        <v>0</v>
      </c>
      <c r="Q94" s="20"/>
      <c r="R94" s="20">
        <f>Ele_Table_6a!$G61</f>
        <v>0</v>
      </c>
      <c r="S94" s="20">
        <f>Ele_Table_6a!$G65</f>
        <v>0</v>
      </c>
      <c r="T94" s="20">
        <f>Ele_Table_6a!$G69</f>
        <v>0</v>
      </c>
      <c r="U94" s="20">
        <f>Ele_Table_6b!$G9</f>
        <v>0</v>
      </c>
      <c r="V94" s="20">
        <f>Ele_Table_6b!$G13</f>
        <v>0</v>
      </c>
      <c r="W94" s="20"/>
      <c r="X94" s="20"/>
      <c r="Y94" s="20"/>
      <c r="Z94" s="20">
        <f>Ele_Table_6b!$G17</f>
        <v>0</v>
      </c>
      <c r="AA94" s="20"/>
      <c r="AB94" s="20">
        <f>Ele_Table_6b!$G21</f>
        <v>0</v>
      </c>
      <c r="AC94" s="20"/>
      <c r="AD94" s="20"/>
      <c r="AE94" s="20"/>
      <c r="AF94" s="20">
        <f>Ele_Table_6b!$G29</f>
        <v>0</v>
      </c>
      <c r="AG94" s="20">
        <f>Ele_Table_6b!$G33</f>
        <v>0</v>
      </c>
      <c r="AH94" s="20">
        <f>Ele_Table_6b!$G37</f>
        <v>0</v>
      </c>
      <c r="AI94" s="20">
        <f>Ele_Table_6b!$G41</f>
        <v>0</v>
      </c>
      <c r="AJ94" s="20">
        <f>Ele_Table_6b!$G25</f>
        <v>0</v>
      </c>
      <c r="AK94" s="20"/>
      <c r="AL94" s="20"/>
      <c r="AM94" s="20">
        <f>Ele_Table_6b!$G45</f>
        <v>0</v>
      </c>
      <c r="AN94" s="20"/>
      <c r="AO94" s="20">
        <f>Ele_Table_6b!$G49</f>
        <v>0</v>
      </c>
      <c r="AP94" s="20">
        <f>Ele_Table_6b!$G53</f>
        <v>0</v>
      </c>
      <c r="AQ94" s="20">
        <f>Ele_Table_6c!$G8</f>
        <v>0</v>
      </c>
      <c r="AR94" s="20">
        <f>Ele_Table_6d!$G8</f>
        <v>0</v>
      </c>
      <c r="AS94" s="20">
        <f>Ele_Table_6d!$G11</f>
        <v>0</v>
      </c>
      <c r="AT94" s="20">
        <f>Ele_Table_6d!$G14</f>
        <v>0</v>
      </c>
      <c r="AU94" s="20">
        <f>Ele_Table_6d!$G17</f>
        <v>0</v>
      </c>
      <c r="AV94" s="20">
        <f>Ele_Table_6d!$G20</f>
        <v>0</v>
      </c>
      <c r="AW94" s="20">
        <f>Ele_Table_6d!$G28</f>
        <v>0</v>
      </c>
      <c r="AX94" s="20"/>
      <c r="AY94" s="20">
        <f>Ele_Table_6d!$G24</f>
        <v>0</v>
      </c>
      <c r="AZ94" s="20">
        <f>Ele_Table_6d!$G32</f>
        <v>0</v>
      </c>
      <c r="BA94" s="20"/>
      <c r="BB94" s="20"/>
      <c r="BC94" s="20">
        <f>Ele_Table_1!$E7</f>
        <v>0</v>
      </c>
      <c r="BD94" s="20">
        <f>Ele_Table_1!$E8</f>
        <v>0</v>
      </c>
      <c r="BE94" s="20">
        <f>Ele_Table_1!$E10</f>
        <v>0</v>
      </c>
      <c r="BF94" s="20">
        <f>ROUND(Ren_Table_1!E16,3)</f>
        <v>0</v>
      </c>
      <c r="BG94" s="20">
        <f>ROUND(Ren_Table_1!E21, 3)</f>
        <v>0</v>
      </c>
      <c r="BH94" s="20">
        <f>Ele_Table_1!E12</f>
        <v>0</v>
      </c>
      <c r="BI94" s="20">
        <f>Ele_Table_1!E13</f>
        <v>0</v>
      </c>
      <c r="BJ94" s="20"/>
      <c r="BK94" s="20"/>
      <c r="BL94" s="20"/>
      <c r="BM94" s="20">
        <f>Ele_Table_1!$E16</f>
        <v>0</v>
      </c>
      <c r="BN94" s="20">
        <f>Ele_Table_1!E6</f>
        <v>0</v>
      </c>
      <c r="BO94" s="20"/>
      <c r="BP94" s="590"/>
    </row>
    <row r="95" spans="1:68" x14ac:dyDescent="0.2">
      <c r="A95" s="589" t="s">
        <v>1436</v>
      </c>
      <c r="B95" s="20" t="s">
        <v>1435</v>
      </c>
      <c r="C95" s="20">
        <f>Ele_Table_6a!$J9</f>
        <v>0</v>
      </c>
      <c r="D95" s="20">
        <f>Ele_Table_6a!$J13</f>
        <v>0</v>
      </c>
      <c r="E95" s="20">
        <f>Ele_Table_6a!$J17</f>
        <v>0</v>
      </c>
      <c r="F95" s="20">
        <f>Ele_Table_6a!$J21</f>
        <v>0</v>
      </c>
      <c r="G95" s="20">
        <f>Ele_Table_6a!$J25</f>
        <v>0</v>
      </c>
      <c r="H95" s="20">
        <f>Ele_Table_6a!$J29</f>
        <v>0</v>
      </c>
      <c r="I95" s="20">
        <f>Ele_Table_6a!$J33</f>
        <v>0</v>
      </c>
      <c r="J95" s="20">
        <f>Ele_Table_6a!$J37</f>
        <v>0</v>
      </c>
      <c r="K95" s="20">
        <f>Ele_Table_6a!$J41</f>
        <v>0</v>
      </c>
      <c r="L95" s="20">
        <f>Ele_Table_6a!$J45</f>
        <v>0</v>
      </c>
      <c r="M95" s="20">
        <f>Ele_Table_6a!$J48</f>
        <v>0</v>
      </c>
      <c r="N95" s="20">
        <f>Ele_Table_6a!$J51</f>
        <v>0</v>
      </c>
      <c r="O95" s="20">
        <f>Ele_Table_6a!$J54</f>
        <v>0</v>
      </c>
      <c r="P95" s="20">
        <f>Ele_Table_6a!$J57</f>
        <v>0</v>
      </c>
      <c r="Q95" s="20"/>
      <c r="R95" s="20">
        <f>Ele_Table_6a!$J61</f>
        <v>0</v>
      </c>
      <c r="S95" s="20">
        <f>Ele_Table_6a!$J65</f>
        <v>0</v>
      </c>
      <c r="T95" s="20">
        <f>Ele_Table_6a!$J69</f>
        <v>0</v>
      </c>
      <c r="U95" s="20">
        <f>Ele_Table_6b!$J9</f>
        <v>0</v>
      </c>
      <c r="V95" s="20">
        <f>Ele_Table_6b!$J13</f>
        <v>0</v>
      </c>
      <c r="W95" s="20"/>
      <c r="X95" s="20"/>
      <c r="Y95" s="20"/>
      <c r="Z95" s="20">
        <f>Ele_Table_6b!$J17</f>
        <v>0</v>
      </c>
      <c r="AA95" s="20"/>
      <c r="AB95" s="20">
        <f>Ele_Table_6b!$J21</f>
        <v>0</v>
      </c>
      <c r="AC95" s="20"/>
      <c r="AD95" s="20"/>
      <c r="AE95" s="20"/>
      <c r="AF95" s="20">
        <f>Ele_Table_6b!$J29</f>
        <v>0</v>
      </c>
      <c r="AG95" s="20">
        <f>Ele_Table_6b!$J33</f>
        <v>0</v>
      </c>
      <c r="AH95" s="20">
        <f>Ele_Table_6b!$J37</f>
        <v>0</v>
      </c>
      <c r="AI95" s="20">
        <f>Ele_Table_6b!$J41</f>
        <v>0</v>
      </c>
      <c r="AJ95" s="20">
        <f>Ele_Table_6b!$J25</f>
        <v>0</v>
      </c>
      <c r="AK95" s="20"/>
      <c r="AL95" s="20"/>
      <c r="AM95" s="20">
        <f>Ele_Table_6b!$J45</f>
        <v>0</v>
      </c>
      <c r="AN95" s="20"/>
      <c r="AO95" s="20">
        <f>Ele_Table_6b!$J49</f>
        <v>0</v>
      </c>
      <c r="AP95" s="20">
        <f>Ele_Table_6b!$J53</f>
        <v>0</v>
      </c>
      <c r="AQ95" s="20">
        <f>Ele_Table_6c!$J8</f>
        <v>0</v>
      </c>
      <c r="AR95" s="20">
        <f>Ele_Table_6d!$J8</f>
        <v>0</v>
      </c>
      <c r="AS95" s="20">
        <f>Ele_Table_6d!$J11</f>
        <v>0</v>
      </c>
      <c r="AT95" s="20">
        <f>Ele_Table_6d!$J14</f>
        <v>0</v>
      </c>
      <c r="AU95" s="20">
        <f>Ele_Table_6d!$J17</f>
        <v>0</v>
      </c>
      <c r="AV95" s="20">
        <f>Ele_Table_6d!$J20</f>
        <v>0</v>
      </c>
      <c r="AW95" s="20">
        <f>Ele_Table_6d!$J28</f>
        <v>0</v>
      </c>
      <c r="AX95" s="20"/>
      <c r="AY95" s="20">
        <f>Ele_Table_6d!$J24</f>
        <v>0</v>
      </c>
      <c r="AZ95" s="20">
        <f>Ele_Table_6d!$J32</f>
        <v>0</v>
      </c>
      <c r="BA95" s="20"/>
      <c r="BB95" s="20"/>
      <c r="BC95" s="20">
        <f>Ele_Table_1!$H7</f>
        <v>0</v>
      </c>
      <c r="BD95" s="20">
        <f>Ele_Table_1!$H8</f>
        <v>0</v>
      </c>
      <c r="BE95" s="20">
        <f>Ele_Table_1!$H10</f>
        <v>0</v>
      </c>
      <c r="BF95" s="20">
        <f>ROUND(Ren_Table_1!H16,3)</f>
        <v>0</v>
      </c>
      <c r="BG95" s="20">
        <f>ROUND(Ren_Table_1!H21,3)</f>
        <v>0</v>
      </c>
      <c r="BH95" s="20">
        <f>Ele_Table_1!H12</f>
        <v>0</v>
      </c>
      <c r="BI95" s="20">
        <f>Ele_Table_1!H13</f>
        <v>0</v>
      </c>
      <c r="BJ95" s="20"/>
      <c r="BK95" s="20"/>
      <c r="BL95" s="20">
        <f>Ele_Table_1!$H15</f>
        <v>0</v>
      </c>
      <c r="BM95" s="20">
        <f>Ele_Table_1!$H16</f>
        <v>0</v>
      </c>
      <c r="BN95" s="20">
        <f>Ele_Table_1!H6</f>
        <v>0</v>
      </c>
      <c r="BO95" s="20"/>
      <c r="BP95" s="590"/>
    </row>
    <row r="96" spans="1:68" x14ac:dyDescent="0.2">
      <c r="A96" s="589" t="s">
        <v>1439</v>
      </c>
      <c r="B96" s="20" t="s">
        <v>1438</v>
      </c>
      <c r="C96" s="20">
        <f>Ele_Table_6a!$H9</f>
        <v>0</v>
      </c>
      <c r="D96" s="20">
        <f>Ele_Table_6a!$H13</f>
        <v>0</v>
      </c>
      <c r="E96" s="20">
        <f>Ele_Table_6a!$H17</f>
        <v>0</v>
      </c>
      <c r="F96" s="20">
        <f>Ele_Table_6a!$H21</f>
        <v>0</v>
      </c>
      <c r="G96" s="20">
        <f>Ele_Table_6a!$H25</f>
        <v>0</v>
      </c>
      <c r="H96" s="20">
        <f>Ele_Table_6a!$H29</f>
        <v>0</v>
      </c>
      <c r="I96" s="20">
        <f>Ele_Table_6a!$H33</f>
        <v>0</v>
      </c>
      <c r="J96" s="20">
        <f>Ele_Table_6a!$H37</f>
        <v>0</v>
      </c>
      <c r="K96" s="20">
        <f>Ele_Table_6a!$H41</f>
        <v>0</v>
      </c>
      <c r="L96" s="20">
        <f>Ele_Table_6a!$H45</f>
        <v>0</v>
      </c>
      <c r="M96" s="20">
        <f>Ele_Table_6a!$H48</f>
        <v>0</v>
      </c>
      <c r="N96" s="20">
        <f>Ele_Table_6a!$H51</f>
        <v>0</v>
      </c>
      <c r="O96" s="20">
        <f>Ele_Table_6a!$H54</f>
        <v>0</v>
      </c>
      <c r="P96" s="20">
        <f>Ele_Table_6a!$H57</f>
        <v>0</v>
      </c>
      <c r="Q96" s="20"/>
      <c r="R96" s="20">
        <f>Ele_Table_6a!$H61</f>
        <v>0</v>
      </c>
      <c r="S96" s="20">
        <f>Ele_Table_6a!$H65</f>
        <v>0</v>
      </c>
      <c r="T96" s="20">
        <f>Ele_Table_6a!$H69</f>
        <v>0</v>
      </c>
      <c r="U96" s="20">
        <f>Ele_Table_6b!$H9</f>
        <v>0</v>
      </c>
      <c r="V96" s="20">
        <f>Ele_Table_6b!$H13</f>
        <v>0</v>
      </c>
      <c r="W96" s="20"/>
      <c r="X96" s="20"/>
      <c r="Y96" s="20"/>
      <c r="Z96" s="20">
        <f>Ele_Table_6b!$H17</f>
        <v>0</v>
      </c>
      <c r="AA96" s="20"/>
      <c r="AB96" s="20">
        <f>Ele_Table_6b!$H21</f>
        <v>0</v>
      </c>
      <c r="AC96" s="20"/>
      <c r="AD96" s="20"/>
      <c r="AE96" s="20"/>
      <c r="AF96" s="20">
        <f>Ele_Table_6b!$H29</f>
        <v>0</v>
      </c>
      <c r="AG96" s="20">
        <f>Ele_Table_6b!$H33</f>
        <v>0</v>
      </c>
      <c r="AH96" s="20">
        <f>Ele_Table_6b!$H37</f>
        <v>0</v>
      </c>
      <c r="AI96" s="20">
        <f>Ele_Table_6b!$H41</f>
        <v>0</v>
      </c>
      <c r="AJ96" s="20">
        <f>Ele_Table_6b!$H25</f>
        <v>0</v>
      </c>
      <c r="AK96" s="20"/>
      <c r="AL96" s="20"/>
      <c r="AM96" s="20">
        <f>Ele_Table_6b!$H45</f>
        <v>0</v>
      </c>
      <c r="AN96" s="20"/>
      <c r="AO96" s="20">
        <f>Ele_Table_6b!$H49</f>
        <v>0</v>
      </c>
      <c r="AP96" s="20">
        <f>Ele_Table_6b!$H53</f>
        <v>0</v>
      </c>
      <c r="AQ96" s="20">
        <f>Ele_Table_6c!$H8</f>
        <v>0</v>
      </c>
      <c r="AR96" s="20">
        <f>Ele_Table_6d!$H8</f>
        <v>0</v>
      </c>
      <c r="AS96" s="20">
        <f>Ele_Table_6d!$H11</f>
        <v>0</v>
      </c>
      <c r="AT96" s="20">
        <f>Ele_Table_6d!$H14</f>
        <v>0</v>
      </c>
      <c r="AU96" s="20">
        <f>Ele_Table_6d!$H17</f>
        <v>0</v>
      </c>
      <c r="AV96" s="20">
        <f>Ele_Table_6d!$H20</f>
        <v>0</v>
      </c>
      <c r="AW96" s="20">
        <f>Ele_Table_6d!$H28</f>
        <v>0</v>
      </c>
      <c r="AX96" s="20"/>
      <c r="AY96" s="20">
        <f>Ele_Table_6d!$H24</f>
        <v>0</v>
      </c>
      <c r="AZ96" s="20">
        <f>Ele_Table_6d!$H32</f>
        <v>0</v>
      </c>
      <c r="BA96" s="20"/>
      <c r="BB96" s="20"/>
      <c r="BC96" s="20">
        <f>Ele_Table_1!$F7</f>
        <v>0</v>
      </c>
      <c r="BD96" s="20"/>
      <c r="BE96" s="20">
        <f>Ele_Table_1!$F10</f>
        <v>0</v>
      </c>
      <c r="BF96" s="20"/>
      <c r="BG96" s="20">
        <f>ROUND(Ren_Table_1!F21,3)</f>
        <v>0</v>
      </c>
      <c r="BH96" s="20"/>
      <c r="BI96" s="20"/>
      <c r="BJ96" s="20"/>
      <c r="BK96" s="20"/>
      <c r="BL96" s="20"/>
      <c r="BM96" s="20">
        <f>Ele_Table_1!$F16</f>
        <v>0</v>
      </c>
      <c r="BN96" s="20">
        <f>Ele_Table_1!F6</f>
        <v>0</v>
      </c>
      <c r="BO96" s="20"/>
      <c r="BP96" s="590"/>
    </row>
    <row r="97" spans="1:68" x14ac:dyDescent="0.2">
      <c r="A97" s="589" t="s">
        <v>1442</v>
      </c>
      <c r="B97" s="20" t="s">
        <v>1441</v>
      </c>
      <c r="C97" s="20">
        <f>Ele_Table_6a!$K9</f>
        <v>0</v>
      </c>
      <c r="D97" s="20">
        <f>Ele_Table_6a!$K13</f>
        <v>0</v>
      </c>
      <c r="E97" s="20">
        <f>Ele_Table_6a!$K17</f>
        <v>0</v>
      </c>
      <c r="F97" s="20">
        <f>Ele_Table_6a!$K21</f>
        <v>0</v>
      </c>
      <c r="G97" s="20">
        <f>Ele_Table_6a!$K25</f>
        <v>0</v>
      </c>
      <c r="H97" s="20">
        <f>Ele_Table_6a!$K29</f>
        <v>0</v>
      </c>
      <c r="I97" s="20">
        <f>Ele_Table_6a!$K33</f>
        <v>0</v>
      </c>
      <c r="J97" s="20">
        <f>Ele_Table_6a!$K37</f>
        <v>0</v>
      </c>
      <c r="K97" s="20">
        <f>Ele_Table_6a!$K41</f>
        <v>0</v>
      </c>
      <c r="L97" s="20">
        <f>Ele_Table_6a!$K45</f>
        <v>0</v>
      </c>
      <c r="M97" s="20">
        <f>Ele_Table_6a!$K48</f>
        <v>0</v>
      </c>
      <c r="N97" s="20">
        <f>Ele_Table_6a!$K51</f>
        <v>0</v>
      </c>
      <c r="O97" s="20">
        <f>Ele_Table_6a!$K54</f>
        <v>0</v>
      </c>
      <c r="P97" s="20">
        <f>Ele_Table_6a!$K57</f>
        <v>0</v>
      </c>
      <c r="Q97" s="20"/>
      <c r="R97" s="20">
        <f>Ele_Table_6a!$K61</f>
        <v>0</v>
      </c>
      <c r="S97" s="20">
        <f>Ele_Table_6a!$K65</f>
        <v>0</v>
      </c>
      <c r="T97" s="20">
        <f>Ele_Table_6a!$K69</f>
        <v>0</v>
      </c>
      <c r="U97" s="20">
        <f>Ele_Table_6b!$K9</f>
        <v>0</v>
      </c>
      <c r="V97" s="20">
        <f>Ele_Table_6b!$K13</f>
        <v>0</v>
      </c>
      <c r="W97" s="20"/>
      <c r="X97" s="20"/>
      <c r="Y97" s="20"/>
      <c r="Z97" s="20">
        <f>Ele_Table_6b!$K17</f>
        <v>0</v>
      </c>
      <c r="AA97" s="20"/>
      <c r="AB97" s="20">
        <f>Ele_Table_6b!$K21</f>
        <v>0</v>
      </c>
      <c r="AC97" s="20"/>
      <c r="AD97" s="20"/>
      <c r="AE97" s="20"/>
      <c r="AF97" s="20">
        <f>Ele_Table_6b!$K29</f>
        <v>0</v>
      </c>
      <c r="AG97" s="20">
        <f>Ele_Table_6b!$K33</f>
        <v>0</v>
      </c>
      <c r="AH97" s="20">
        <f>Ele_Table_6b!$K37</f>
        <v>0</v>
      </c>
      <c r="AI97" s="20">
        <f>Ele_Table_6b!$K41</f>
        <v>0</v>
      </c>
      <c r="AJ97" s="20">
        <f>Ele_Table_6b!$K25</f>
        <v>0</v>
      </c>
      <c r="AK97" s="20"/>
      <c r="AL97" s="20"/>
      <c r="AM97" s="20">
        <f>Ele_Table_6b!$K45</f>
        <v>0</v>
      </c>
      <c r="AN97" s="20"/>
      <c r="AO97" s="20">
        <f>Ele_Table_6b!$K49</f>
        <v>0</v>
      </c>
      <c r="AP97" s="20">
        <f>Ele_Table_6b!$K53</f>
        <v>0</v>
      </c>
      <c r="AQ97" s="20">
        <f>Ele_Table_6c!$K8</f>
        <v>0</v>
      </c>
      <c r="AR97" s="20">
        <f>Ele_Table_6d!$K8</f>
        <v>0</v>
      </c>
      <c r="AS97" s="20">
        <f>Ele_Table_6d!$K11</f>
        <v>0</v>
      </c>
      <c r="AT97" s="20">
        <f>Ele_Table_6d!$K14</f>
        <v>0</v>
      </c>
      <c r="AU97" s="20">
        <f>Ele_Table_6d!$K17</f>
        <v>0</v>
      </c>
      <c r="AV97" s="20">
        <f>Ele_Table_6d!$K20</f>
        <v>0</v>
      </c>
      <c r="AW97" s="20">
        <f>Ele_Table_6d!$K28</f>
        <v>0</v>
      </c>
      <c r="AX97" s="20"/>
      <c r="AY97" s="20">
        <f>Ele_Table_6d!$K24</f>
        <v>0</v>
      </c>
      <c r="AZ97" s="20">
        <f>Ele_Table_6d!$K32</f>
        <v>0</v>
      </c>
      <c r="BA97" s="20"/>
      <c r="BB97" s="20"/>
      <c r="BC97" s="20">
        <f>Ele_Table_1!$I7</f>
        <v>0</v>
      </c>
      <c r="BD97" s="20"/>
      <c r="BE97" s="20">
        <f>Ele_Table_1!$I10</f>
        <v>0</v>
      </c>
      <c r="BF97" s="20"/>
      <c r="BG97" s="20">
        <f>ROUND(Ren_Table_1!I21,3)</f>
        <v>0</v>
      </c>
      <c r="BH97" s="20"/>
      <c r="BI97" s="20"/>
      <c r="BJ97" s="20"/>
      <c r="BK97" s="20"/>
      <c r="BL97" s="20">
        <f>Ele_Table_1!$I15</f>
        <v>0</v>
      </c>
      <c r="BM97" s="20">
        <f>Ele_Table_1!$I16</f>
        <v>0</v>
      </c>
      <c r="BN97" s="20">
        <f>Ele_Table_1!I6</f>
        <v>0</v>
      </c>
      <c r="BO97" s="20"/>
      <c r="BP97" s="590"/>
    </row>
    <row r="98" spans="1:68" x14ac:dyDescent="0.2">
      <c r="A98" s="589" t="s">
        <v>1445</v>
      </c>
      <c r="B98" s="20" t="s">
        <v>1444</v>
      </c>
      <c r="C98" s="20">
        <f>Ele_Table_6a!$H10</f>
        <v>0</v>
      </c>
      <c r="D98" s="20">
        <f>Ele_Table_6a!$H14</f>
        <v>0</v>
      </c>
      <c r="E98" s="20">
        <f>Ele_Table_6a!$H18</f>
        <v>0</v>
      </c>
      <c r="F98" s="20">
        <f>Ele_Table_6a!$H22</f>
        <v>0</v>
      </c>
      <c r="G98" s="20">
        <f>Ele_Table_6a!$H26</f>
        <v>0</v>
      </c>
      <c r="H98" s="20">
        <f>Ele_Table_6a!$H30</f>
        <v>0</v>
      </c>
      <c r="I98" s="20">
        <f>Ele_Table_6a!$H34</f>
        <v>0</v>
      </c>
      <c r="J98" s="20">
        <f>Ele_Table_6a!$H38</f>
        <v>0</v>
      </c>
      <c r="K98" s="20">
        <f>Ele_Table_6a!$H42</f>
        <v>0</v>
      </c>
      <c r="L98" s="20">
        <f>Ele_Table_6a!$H46</f>
        <v>0</v>
      </c>
      <c r="M98" s="20">
        <f>Ele_Table_6a!$H49</f>
        <v>0</v>
      </c>
      <c r="N98" s="20">
        <f>Ele_Table_6a!$H52</f>
        <v>0</v>
      </c>
      <c r="O98" s="20">
        <f>Ele_Table_6a!$H55</f>
        <v>0</v>
      </c>
      <c r="P98" s="20">
        <f>Ele_Table_6a!$H58</f>
        <v>0</v>
      </c>
      <c r="Q98" s="20"/>
      <c r="R98" s="20">
        <f>Ele_Table_6a!$H62</f>
        <v>0</v>
      </c>
      <c r="S98" s="20">
        <f>Ele_Table_6a!$H66</f>
        <v>0</v>
      </c>
      <c r="T98" s="20">
        <f>Ele_Table_6a!$H70</f>
        <v>0</v>
      </c>
      <c r="U98" s="20">
        <f>Ele_Table_6b!$H10</f>
        <v>0</v>
      </c>
      <c r="V98" s="20">
        <f>Ele_Table_6b!$H14</f>
        <v>0</v>
      </c>
      <c r="W98" s="20"/>
      <c r="X98" s="20"/>
      <c r="Y98" s="20"/>
      <c r="Z98" s="20">
        <f>Ele_Table_6b!$H18</f>
        <v>0</v>
      </c>
      <c r="AA98" s="20"/>
      <c r="AB98" s="20">
        <f>Ele_Table_6b!$H22</f>
        <v>0</v>
      </c>
      <c r="AC98" s="20"/>
      <c r="AD98" s="20"/>
      <c r="AE98" s="20"/>
      <c r="AF98" s="20">
        <f>Ele_Table_6b!$H30</f>
        <v>0</v>
      </c>
      <c r="AG98" s="20">
        <f>Ele_Table_6b!$H34</f>
        <v>0</v>
      </c>
      <c r="AH98" s="20">
        <f>Ele_Table_6b!$H38</f>
        <v>0</v>
      </c>
      <c r="AI98" s="20">
        <f>Ele_Table_6b!$H42</f>
        <v>0</v>
      </c>
      <c r="AJ98" s="20">
        <f>Ele_Table_6b!$H26</f>
        <v>0</v>
      </c>
      <c r="AK98" s="20"/>
      <c r="AL98" s="20"/>
      <c r="AM98" s="20">
        <f>Ele_Table_6b!$H46</f>
        <v>0</v>
      </c>
      <c r="AN98" s="20"/>
      <c r="AO98" s="20">
        <f>Ele_Table_6b!$H50</f>
        <v>0</v>
      </c>
      <c r="AP98" s="20">
        <f>Ele_Table_6b!$H54</f>
        <v>0</v>
      </c>
      <c r="AQ98" s="20">
        <f>Ele_Table_6c!$H9</f>
        <v>0</v>
      </c>
      <c r="AR98" s="20">
        <f>Ele_Table_6d!$H9</f>
        <v>0</v>
      </c>
      <c r="AS98" s="20">
        <f>Ele_Table_6d!$H12</f>
        <v>0</v>
      </c>
      <c r="AT98" s="20">
        <f>Ele_Table_6d!$H15</f>
        <v>0</v>
      </c>
      <c r="AU98" s="20">
        <f>Ele_Table_6d!$H18</f>
        <v>0</v>
      </c>
      <c r="AV98" s="20">
        <f>Ele_Table_6d!$H21</f>
        <v>0</v>
      </c>
      <c r="AW98" s="20">
        <f>Ele_Table_6d!$H29</f>
        <v>0</v>
      </c>
      <c r="AX98" s="20"/>
      <c r="AY98" s="20">
        <f>Ele_Table_6d!$H25</f>
        <v>0</v>
      </c>
      <c r="AZ98" s="20">
        <f>Ele_Table_6d!$H33</f>
        <v>0</v>
      </c>
      <c r="BA98" s="20"/>
      <c r="BB98" s="20"/>
      <c r="BC98" s="20">
        <f>Ele_Table_1!$F19</f>
        <v>0</v>
      </c>
      <c r="BD98" s="20"/>
      <c r="BE98" s="20">
        <f>Ele_Table_1!$F20</f>
        <v>0</v>
      </c>
      <c r="BF98" s="20"/>
      <c r="BG98" s="20">
        <f>Ren_Table_1!F43</f>
        <v>0</v>
      </c>
      <c r="BH98" s="20"/>
      <c r="BI98" s="20"/>
      <c r="BJ98" s="20">
        <f>Ele_Table_1!$F23</f>
        <v>0</v>
      </c>
      <c r="BK98" s="20">
        <f>Ele_Table_1!$F24</f>
        <v>0</v>
      </c>
      <c r="BL98" s="20"/>
      <c r="BM98" s="20">
        <f>Ele_Table_1!$F26</f>
        <v>0</v>
      </c>
      <c r="BN98" s="20"/>
      <c r="BO98" s="20">
        <f>Ele_Table_1!F18</f>
        <v>0</v>
      </c>
      <c r="BP98" s="590"/>
    </row>
    <row r="99" spans="1:68" x14ac:dyDescent="0.2">
      <c r="A99" s="589" t="s">
        <v>1448</v>
      </c>
      <c r="B99" s="20" t="s">
        <v>1447</v>
      </c>
      <c r="C99" s="20">
        <f>Ele_Table_6a!$K10</f>
        <v>0</v>
      </c>
      <c r="D99" s="20">
        <f>Ele_Table_6a!$K14</f>
        <v>0</v>
      </c>
      <c r="E99" s="20">
        <f>Ele_Table_6a!$K18</f>
        <v>0</v>
      </c>
      <c r="F99" s="20">
        <f>Ele_Table_6a!$K22</f>
        <v>0</v>
      </c>
      <c r="G99" s="20">
        <f>Ele_Table_6a!$K26</f>
        <v>0</v>
      </c>
      <c r="H99" s="20">
        <f>Ele_Table_6a!$K30</f>
        <v>0</v>
      </c>
      <c r="I99" s="20">
        <f>Ele_Table_6a!$K34</f>
        <v>0</v>
      </c>
      <c r="J99" s="20">
        <f>Ele_Table_6a!$K38</f>
        <v>0</v>
      </c>
      <c r="K99" s="20">
        <f>Ele_Table_6a!$K42</f>
        <v>0</v>
      </c>
      <c r="L99" s="20">
        <f>Ele_Table_6a!$K46</f>
        <v>0</v>
      </c>
      <c r="M99" s="20">
        <f>Ele_Table_6a!$K49</f>
        <v>0</v>
      </c>
      <c r="N99" s="20">
        <f>Ele_Table_6a!$K52</f>
        <v>0</v>
      </c>
      <c r="O99" s="20">
        <f>Ele_Table_6a!$K55</f>
        <v>0</v>
      </c>
      <c r="P99" s="20">
        <f>Ele_Table_6a!$K58</f>
        <v>0</v>
      </c>
      <c r="Q99" s="20"/>
      <c r="R99" s="20">
        <f>Ele_Table_6a!$K62</f>
        <v>0</v>
      </c>
      <c r="S99" s="20">
        <f>Ele_Table_6a!$K66</f>
        <v>0</v>
      </c>
      <c r="T99" s="20">
        <f>Ele_Table_6a!$K70</f>
        <v>0</v>
      </c>
      <c r="U99" s="20">
        <f>Ele_Table_6b!$K10</f>
        <v>0</v>
      </c>
      <c r="V99" s="20">
        <f>Ele_Table_6b!$K14</f>
        <v>0</v>
      </c>
      <c r="W99" s="20"/>
      <c r="X99" s="20"/>
      <c r="Y99" s="20"/>
      <c r="Z99" s="20">
        <f>Ele_Table_6b!$K18</f>
        <v>0</v>
      </c>
      <c r="AA99" s="20"/>
      <c r="AB99" s="20">
        <f>Ele_Table_6b!$K22</f>
        <v>0</v>
      </c>
      <c r="AC99" s="20"/>
      <c r="AD99" s="20"/>
      <c r="AE99" s="20"/>
      <c r="AF99" s="20">
        <f>Ele_Table_6b!$K30</f>
        <v>0</v>
      </c>
      <c r="AG99" s="20">
        <f>Ele_Table_6b!$K34</f>
        <v>0</v>
      </c>
      <c r="AH99" s="20">
        <f>Ele_Table_6b!$K38</f>
        <v>0</v>
      </c>
      <c r="AI99" s="20">
        <f>Ele_Table_6b!$K42</f>
        <v>0</v>
      </c>
      <c r="AJ99" s="20">
        <f>Ele_Table_6b!$K26</f>
        <v>0</v>
      </c>
      <c r="AK99" s="20"/>
      <c r="AL99" s="20"/>
      <c r="AM99" s="20">
        <f>Ele_Table_6b!$K46</f>
        <v>0</v>
      </c>
      <c r="AN99" s="20"/>
      <c r="AO99" s="20">
        <f>Ele_Table_6b!$K50</f>
        <v>0</v>
      </c>
      <c r="AP99" s="20">
        <f>Ele_Table_6b!$K54</f>
        <v>0</v>
      </c>
      <c r="AQ99" s="20">
        <f>Ele_Table_6c!$K9</f>
        <v>0</v>
      </c>
      <c r="AR99" s="20">
        <f>Ele_Table_6d!$K9</f>
        <v>0</v>
      </c>
      <c r="AS99" s="20">
        <f>Ele_Table_6d!$K12</f>
        <v>0</v>
      </c>
      <c r="AT99" s="20">
        <f>Ele_Table_6d!$K15</f>
        <v>0</v>
      </c>
      <c r="AU99" s="20">
        <f>Ele_Table_6d!$K18</f>
        <v>0</v>
      </c>
      <c r="AV99" s="20">
        <f>Ele_Table_6d!$K21</f>
        <v>0</v>
      </c>
      <c r="AW99" s="20">
        <f>Ele_Table_6d!$K29</f>
        <v>0</v>
      </c>
      <c r="AX99" s="20"/>
      <c r="AY99" s="20">
        <f>Ele_Table_6d!$K25</f>
        <v>0</v>
      </c>
      <c r="AZ99" s="20">
        <f>Ele_Table_6d!$K33</f>
        <v>0</v>
      </c>
      <c r="BA99" s="20"/>
      <c r="BB99" s="20"/>
      <c r="BC99" s="20">
        <f>Ele_Table_1!$I19</f>
        <v>0</v>
      </c>
      <c r="BD99" s="20"/>
      <c r="BE99" s="20">
        <f>Ele_Table_1!$I20</f>
        <v>0</v>
      </c>
      <c r="BF99" s="20"/>
      <c r="BG99" s="20">
        <f>Ren_Table_1!I43</f>
        <v>0</v>
      </c>
      <c r="BH99" s="20"/>
      <c r="BI99" s="20"/>
      <c r="BJ99" s="20">
        <f>Ele_Table_1!$I23</f>
        <v>0</v>
      </c>
      <c r="BK99" s="20">
        <f>Ele_Table_1!$I24</f>
        <v>0</v>
      </c>
      <c r="BL99" s="20">
        <f>Ele_Table_1!$I25</f>
        <v>0</v>
      </c>
      <c r="BM99" s="20">
        <f>Ele_Table_1!$I26</f>
        <v>0</v>
      </c>
      <c r="BN99" s="20"/>
      <c r="BO99" s="20">
        <f>Ele_Table_1!I18</f>
        <v>0</v>
      </c>
      <c r="BP99" s="590"/>
    </row>
    <row r="100" spans="1:68" x14ac:dyDescent="0.2">
      <c r="A100" s="589" t="s">
        <v>1451</v>
      </c>
      <c r="B100" s="20" t="s">
        <v>1450</v>
      </c>
      <c r="C100" s="20">
        <f>Ele_Table_6a!$I10</f>
        <v>0</v>
      </c>
      <c r="D100" s="20">
        <f>Ele_Table_6a!$I14</f>
        <v>0</v>
      </c>
      <c r="E100" s="20">
        <f>Ele_Table_6a!$I18</f>
        <v>0</v>
      </c>
      <c r="F100" s="20">
        <f>Ele_Table_6a!$I22</f>
        <v>0</v>
      </c>
      <c r="G100" s="20">
        <f>Ele_Table_6a!$I26</f>
        <v>0</v>
      </c>
      <c r="H100" s="20">
        <f>Ele_Table_6a!$I30</f>
        <v>0</v>
      </c>
      <c r="I100" s="20">
        <f>Ele_Table_6a!$I34</f>
        <v>0</v>
      </c>
      <c r="J100" s="20">
        <f>Ele_Table_6a!$I38</f>
        <v>0</v>
      </c>
      <c r="K100" s="20">
        <f>Ele_Table_6a!$I42</f>
        <v>0</v>
      </c>
      <c r="L100" s="20">
        <f>Ele_Table_6a!$I46</f>
        <v>0</v>
      </c>
      <c r="M100" s="20">
        <f>Ele_Table_6a!$I49</f>
        <v>0</v>
      </c>
      <c r="N100" s="20">
        <f>Ele_Table_6a!$I52</f>
        <v>0</v>
      </c>
      <c r="O100" s="20">
        <f>Ele_Table_6a!$I55</f>
        <v>0</v>
      </c>
      <c r="P100" s="20">
        <f>Ele_Table_6a!$I58</f>
        <v>0</v>
      </c>
      <c r="Q100" s="20"/>
      <c r="R100" s="20">
        <f>Ele_Table_6a!$I62</f>
        <v>0</v>
      </c>
      <c r="S100" s="20">
        <f>Ele_Table_6a!$I66</f>
        <v>0</v>
      </c>
      <c r="T100" s="20">
        <f>Ele_Table_6a!$I70</f>
        <v>0</v>
      </c>
      <c r="U100" s="20">
        <f>Ele_Table_6b!$I10</f>
        <v>0</v>
      </c>
      <c r="V100" s="20">
        <f>Ele_Table_6b!$I14</f>
        <v>0</v>
      </c>
      <c r="W100" s="20"/>
      <c r="X100" s="20"/>
      <c r="Y100" s="20"/>
      <c r="Z100" s="20">
        <f>Ele_Table_6b!$I18</f>
        <v>0</v>
      </c>
      <c r="AA100" s="20"/>
      <c r="AB100" s="20">
        <f>Ele_Table_6b!$I22</f>
        <v>0</v>
      </c>
      <c r="AC100" s="20"/>
      <c r="AD100" s="20"/>
      <c r="AE100" s="20"/>
      <c r="AF100" s="20">
        <f>Ele_Table_6b!$I30</f>
        <v>0</v>
      </c>
      <c r="AG100" s="20">
        <f>Ele_Table_6b!$I34</f>
        <v>0</v>
      </c>
      <c r="AH100" s="20">
        <f>Ele_Table_6b!$I38</f>
        <v>0</v>
      </c>
      <c r="AI100" s="20">
        <f>Ele_Table_6b!$I42</f>
        <v>0</v>
      </c>
      <c r="AJ100" s="20">
        <f>Ele_Table_6b!$I26</f>
        <v>0</v>
      </c>
      <c r="AK100" s="20"/>
      <c r="AL100" s="20"/>
      <c r="AM100" s="20">
        <f>Ele_Table_6b!$I46</f>
        <v>0</v>
      </c>
      <c r="AN100" s="20"/>
      <c r="AO100" s="20">
        <f>Ele_Table_6b!$I50</f>
        <v>0</v>
      </c>
      <c r="AP100" s="20">
        <f>Ele_Table_6b!$I54</f>
        <v>0</v>
      </c>
      <c r="AQ100" s="20">
        <f>Ele_Table_6c!$I9</f>
        <v>0</v>
      </c>
      <c r="AR100" s="20">
        <f>Ele_Table_6d!$I9</f>
        <v>0</v>
      </c>
      <c r="AS100" s="20">
        <f>Ele_Table_6d!$I12</f>
        <v>0</v>
      </c>
      <c r="AT100" s="20">
        <f>Ele_Table_6d!$I15</f>
        <v>0</v>
      </c>
      <c r="AU100" s="20">
        <f>Ele_Table_6d!$I18</f>
        <v>0</v>
      </c>
      <c r="AV100" s="20">
        <f>Ele_Table_6d!$I21</f>
        <v>0</v>
      </c>
      <c r="AW100" s="20">
        <f>Ele_Table_6d!$I29</f>
        <v>0</v>
      </c>
      <c r="AX100" s="20"/>
      <c r="AY100" s="20">
        <f>Ele_Table_6d!$I25</f>
        <v>0</v>
      </c>
      <c r="AZ100" s="20">
        <f>Ele_Table_6d!$I33</f>
        <v>0</v>
      </c>
      <c r="BA100" s="20"/>
      <c r="BB100" s="20"/>
      <c r="BC100" s="20">
        <f>Ele_Table_1!$G19</f>
        <v>0</v>
      </c>
      <c r="BD100" s="20"/>
      <c r="BE100" s="20">
        <f>Ele_Table_1!$G20</f>
        <v>0</v>
      </c>
      <c r="BF100" s="20"/>
      <c r="BG100" s="20">
        <f>Ren_Table_1!G43</f>
        <v>0</v>
      </c>
      <c r="BH100" s="20"/>
      <c r="BI100" s="20"/>
      <c r="BJ100" s="20">
        <f>Ele_Table_1!$G23</f>
        <v>0</v>
      </c>
      <c r="BK100" s="20">
        <f>Ele_Table_1!$G24</f>
        <v>0</v>
      </c>
      <c r="BL100" s="20"/>
      <c r="BM100" s="20">
        <f>Ele_Table_1!$G26</f>
        <v>0</v>
      </c>
      <c r="BN100" s="20"/>
      <c r="BO100" s="20">
        <f>Ele_Table_1!G18</f>
        <v>0</v>
      </c>
      <c r="BP100" s="590"/>
    </row>
    <row r="101" spans="1:68" x14ac:dyDescent="0.2">
      <c r="A101" s="589" t="s">
        <v>1454</v>
      </c>
      <c r="B101" s="20" t="s">
        <v>1453</v>
      </c>
      <c r="C101" s="20">
        <f>Ele_Table_6a!$L10</f>
        <v>0</v>
      </c>
      <c r="D101" s="20">
        <f>Ele_Table_6a!$L14</f>
        <v>0</v>
      </c>
      <c r="E101" s="20">
        <f>Ele_Table_6a!$L18</f>
        <v>0</v>
      </c>
      <c r="F101" s="20">
        <f>Ele_Table_6a!$L22</f>
        <v>0</v>
      </c>
      <c r="G101" s="20">
        <f>Ele_Table_6a!$L26</f>
        <v>0</v>
      </c>
      <c r="H101" s="20">
        <f>Ele_Table_6a!$L30</f>
        <v>0</v>
      </c>
      <c r="I101" s="20">
        <f>Ele_Table_6a!$L34</f>
        <v>0</v>
      </c>
      <c r="J101" s="20">
        <f>Ele_Table_6a!$L38</f>
        <v>0</v>
      </c>
      <c r="K101" s="20">
        <f>Ele_Table_6a!$L42</f>
        <v>0</v>
      </c>
      <c r="L101" s="20">
        <f>Ele_Table_6a!$L46</f>
        <v>0</v>
      </c>
      <c r="M101" s="20">
        <f>Ele_Table_6a!$L49</f>
        <v>0</v>
      </c>
      <c r="N101" s="20">
        <f>Ele_Table_6a!$L52</f>
        <v>0</v>
      </c>
      <c r="O101" s="20">
        <f>Ele_Table_6a!$L55</f>
        <v>0</v>
      </c>
      <c r="P101" s="20">
        <f>Ele_Table_6a!$L58</f>
        <v>0</v>
      </c>
      <c r="Q101" s="20"/>
      <c r="R101" s="20">
        <f>Ele_Table_6a!$L62</f>
        <v>0</v>
      </c>
      <c r="S101" s="20">
        <f>Ele_Table_6a!$L66</f>
        <v>0</v>
      </c>
      <c r="T101" s="20">
        <f>Ele_Table_6a!$L70</f>
        <v>0</v>
      </c>
      <c r="U101" s="20">
        <f>Ele_Table_6b!$L10</f>
        <v>0</v>
      </c>
      <c r="V101" s="20">
        <f>Ele_Table_6b!$L14</f>
        <v>0</v>
      </c>
      <c r="W101" s="20"/>
      <c r="X101" s="20"/>
      <c r="Y101" s="20"/>
      <c r="Z101" s="20">
        <f>Ele_Table_6b!$L18</f>
        <v>0</v>
      </c>
      <c r="AA101" s="20"/>
      <c r="AB101" s="20">
        <f>Ele_Table_6b!$L22</f>
        <v>0</v>
      </c>
      <c r="AC101" s="20"/>
      <c r="AD101" s="20"/>
      <c r="AE101" s="20"/>
      <c r="AF101" s="20">
        <f>Ele_Table_6b!$L30</f>
        <v>0</v>
      </c>
      <c r="AG101" s="20">
        <f>Ele_Table_6b!$L34</f>
        <v>0</v>
      </c>
      <c r="AH101" s="20">
        <f>Ele_Table_6b!$L38</f>
        <v>0</v>
      </c>
      <c r="AI101" s="20">
        <f>Ele_Table_6b!$L42</f>
        <v>0</v>
      </c>
      <c r="AJ101" s="20">
        <f>Ele_Table_6b!$L26</f>
        <v>0</v>
      </c>
      <c r="AK101" s="20"/>
      <c r="AL101" s="20"/>
      <c r="AM101" s="20">
        <f>Ele_Table_6b!$L46</f>
        <v>0</v>
      </c>
      <c r="AN101" s="20"/>
      <c r="AO101" s="20">
        <f>Ele_Table_6b!$L50</f>
        <v>0</v>
      </c>
      <c r="AP101" s="20">
        <f>Ele_Table_6b!$L54</f>
        <v>0</v>
      </c>
      <c r="AQ101" s="20">
        <f>Ele_Table_6c!$L9</f>
        <v>0</v>
      </c>
      <c r="AR101" s="20">
        <f>Ele_Table_6d!$L9</f>
        <v>0</v>
      </c>
      <c r="AS101" s="20">
        <f>Ele_Table_6d!$L12</f>
        <v>0</v>
      </c>
      <c r="AT101" s="20">
        <f>Ele_Table_6d!$L15</f>
        <v>0</v>
      </c>
      <c r="AU101" s="20">
        <f>Ele_Table_6d!$L18</f>
        <v>0</v>
      </c>
      <c r="AV101" s="20">
        <f>Ele_Table_6d!$L21</f>
        <v>0</v>
      </c>
      <c r="AW101" s="20">
        <f>Ele_Table_6d!$L29</f>
        <v>0</v>
      </c>
      <c r="AX101" s="20"/>
      <c r="AY101" s="20">
        <f>Ele_Table_6d!$L25</f>
        <v>0</v>
      </c>
      <c r="AZ101" s="20">
        <f>Ele_Table_6d!$L33</f>
        <v>0</v>
      </c>
      <c r="BA101" s="20"/>
      <c r="BB101" s="20"/>
      <c r="BC101" s="20">
        <f>Ele_Table_1!$J19</f>
        <v>0</v>
      </c>
      <c r="BD101" s="20"/>
      <c r="BE101" s="20">
        <f>Ele_Table_1!$J20</f>
        <v>0</v>
      </c>
      <c r="BF101" s="20"/>
      <c r="BG101" s="20">
        <f>Ren_Table_1!J43</f>
        <v>0</v>
      </c>
      <c r="BH101" s="20"/>
      <c r="BI101" s="20"/>
      <c r="BJ101" s="20">
        <f>Ele_Table_1!$J23</f>
        <v>0</v>
      </c>
      <c r="BK101" s="20">
        <f>Ele_Table_1!$J24</f>
        <v>0</v>
      </c>
      <c r="BL101" s="20">
        <f>Ele_Table_1!$J25</f>
        <v>0</v>
      </c>
      <c r="BM101" s="20">
        <f>Ele_Table_1!$J26</f>
        <v>0</v>
      </c>
      <c r="BN101" s="20"/>
      <c r="BO101" s="20">
        <f>Ele_Table_1!J18</f>
        <v>0</v>
      </c>
      <c r="BP101" s="590"/>
    </row>
    <row r="102" spans="1:68" x14ac:dyDescent="0.2">
      <c r="A102" s="893" t="s">
        <v>1457</v>
      </c>
      <c r="B102" s="256" t="s">
        <v>1456</v>
      </c>
      <c r="C102" s="256">
        <f>SUM(C98:C101)</f>
        <v>0</v>
      </c>
      <c r="D102" s="256">
        <f>SUM(D98:D101)</f>
        <v>0</v>
      </c>
      <c r="E102" s="256">
        <f>SUM(E98:E101)</f>
        <v>0</v>
      </c>
      <c r="F102" s="256">
        <f>SUM(F98:F101)</f>
        <v>0</v>
      </c>
      <c r="G102" s="256">
        <f>SUM(G98:G101)</f>
        <v>0</v>
      </c>
      <c r="H102" s="256">
        <f t="shared" ref="H102:P102" si="33">SUM(H98:H101)</f>
        <v>0</v>
      </c>
      <c r="I102" s="256">
        <f t="shared" si="33"/>
        <v>0</v>
      </c>
      <c r="J102" s="256">
        <f t="shared" si="33"/>
        <v>0</v>
      </c>
      <c r="K102" s="256">
        <f t="shared" si="33"/>
        <v>0</v>
      </c>
      <c r="L102" s="256">
        <f t="shared" si="33"/>
        <v>0</v>
      </c>
      <c r="M102" s="256">
        <f t="shared" si="33"/>
        <v>0</v>
      </c>
      <c r="N102" s="256">
        <f t="shared" si="33"/>
        <v>0</v>
      </c>
      <c r="O102" s="256">
        <f t="shared" si="33"/>
        <v>0</v>
      </c>
      <c r="P102" s="256">
        <f t="shared" si="33"/>
        <v>0</v>
      </c>
      <c r="Q102" s="256">
        <f t="shared" ref="Q102:V102" si="34">SUM(Q98:Q101)</f>
        <v>0</v>
      </c>
      <c r="R102" s="256">
        <f t="shared" si="34"/>
        <v>0</v>
      </c>
      <c r="S102" s="256">
        <f t="shared" si="34"/>
        <v>0</v>
      </c>
      <c r="T102" s="256">
        <f t="shared" si="34"/>
        <v>0</v>
      </c>
      <c r="U102" s="256">
        <f t="shared" si="34"/>
        <v>0</v>
      </c>
      <c r="V102" s="256">
        <f t="shared" si="34"/>
        <v>0</v>
      </c>
      <c r="W102" s="256"/>
      <c r="X102" s="256"/>
      <c r="Y102" s="256"/>
      <c r="Z102" s="256">
        <f>SUM(Z98:Z101)</f>
        <v>0</v>
      </c>
      <c r="AA102" s="256"/>
      <c r="AB102" s="256">
        <f>SUM(AB98:AB101)</f>
        <v>0</v>
      </c>
      <c r="AC102" s="256"/>
      <c r="AD102" s="256"/>
      <c r="AE102" s="256"/>
      <c r="AF102" s="256">
        <f>SUM(AF98:AF101)</f>
        <v>0</v>
      </c>
      <c r="AG102" s="256">
        <f>SUM(AG98:AG101)</f>
        <v>0</v>
      </c>
      <c r="AH102" s="256">
        <f>SUM(AH98:AH101)</f>
        <v>0</v>
      </c>
      <c r="AI102" s="256">
        <f>SUM(AI98:AI101)</f>
        <v>0</v>
      </c>
      <c r="AJ102" s="256">
        <f>SUM(AJ98:AJ101)</f>
        <v>0</v>
      </c>
      <c r="AK102" s="256"/>
      <c r="AL102" s="256"/>
      <c r="AM102" s="256">
        <f>SUM(AM98:AM101)</f>
        <v>0</v>
      </c>
      <c r="AN102" s="256"/>
      <c r="AO102" s="256">
        <f t="shared" ref="AO102:AW102" si="35">SUM(AO98:AO101)</f>
        <v>0</v>
      </c>
      <c r="AP102" s="256">
        <f t="shared" si="35"/>
        <v>0</v>
      </c>
      <c r="AQ102" s="256">
        <f>SUM(AQ98:AQ101)</f>
        <v>0</v>
      </c>
      <c r="AR102" s="256">
        <f t="shared" si="35"/>
        <v>0</v>
      </c>
      <c r="AS102" s="256">
        <f t="shared" si="35"/>
        <v>0</v>
      </c>
      <c r="AT102" s="256">
        <f t="shared" si="35"/>
        <v>0</v>
      </c>
      <c r="AU102" s="256">
        <f t="shared" si="35"/>
        <v>0</v>
      </c>
      <c r="AV102" s="256">
        <f t="shared" si="35"/>
        <v>0</v>
      </c>
      <c r="AW102" s="256">
        <f t="shared" si="35"/>
        <v>0</v>
      </c>
      <c r="AX102" s="256"/>
      <c r="AY102" s="256">
        <f>SUM(AY98:AY101)</f>
        <v>0</v>
      </c>
      <c r="AZ102" s="256">
        <f>SUM(AZ98:AZ101)</f>
        <v>0</v>
      </c>
      <c r="BA102" s="256"/>
      <c r="BB102" s="256"/>
      <c r="BC102" s="256">
        <f>SUM(BC98:BC101)</f>
        <v>0</v>
      </c>
      <c r="BD102" s="256"/>
      <c r="BE102" s="256">
        <f>SUM(BE98:BE101)</f>
        <v>0</v>
      </c>
      <c r="BF102" s="256"/>
      <c r="BG102" s="256">
        <f>SUM(BG98:BG101)</f>
        <v>0</v>
      </c>
      <c r="BH102" s="256"/>
      <c r="BI102" s="256"/>
      <c r="BJ102" s="256">
        <f>SUM(BJ98:BJ101)</f>
        <v>0</v>
      </c>
      <c r="BK102" s="256">
        <f>SUM(BK98:BK101)</f>
        <v>0</v>
      </c>
      <c r="BL102" s="256">
        <f>SUM(BL98:BL101)</f>
        <v>0</v>
      </c>
      <c r="BM102" s="256">
        <f>SUM(BM98:BM101)</f>
        <v>0</v>
      </c>
      <c r="BN102" s="256"/>
      <c r="BO102" s="256">
        <f>SUM(BO98:BO101)</f>
        <v>0</v>
      </c>
      <c r="BP102" s="265"/>
    </row>
    <row r="103" spans="1:68" x14ac:dyDescent="0.2">
      <c r="A103" s="589" t="s">
        <v>7014</v>
      </c>
      <c r="B103" s="20" t="s">
        <v>1463</v>
      </c>
      <c r="C103" s="20"/>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f>Ele_Table_1!E9</f>
        <v>0</v>
      </c>
      <c r="BE103" s="20"/>
      <c r="BF103" s="20"/>
      <c r="BG103" s="20"/>
      <c r="BH103" s="20"/>
      <c r="BI103" s="20"/>
      <c r="BJ103" s="20"/>
      <c r="BK103" s="20"/>
      <c r="BL103" s="20"/>
      <c r="BM103" s="20"/>
      <c r="BN103" s="20"/>
      <c r="BO103" s="20"/>
      <c r="BP103" s="590"/>
    </row>
    <row r="104" spans="1:68" x14ac:dyDescent="0.2">
      <c r="A104" s="589" t="s">
        <v>7015</v>
      </c>
      <c r="B104" s="20" t="s">
        <v>1467</v>
      </c>
      <c r="C104" s="20"/>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f>Ele_Table_1!H9</f>
        <v>0</v>
      </c>
      <c r="BE104" s="20"/>
      <c r="BF104" s="20"/>
      <c r="BG104" s="20"/>
      <c r="BH104" s="20"/>
      <c r="BI104" s="20"/>
      <c r="BJ104" s="20"/>
      <c r="BK104" s="20"/>
      <c r="BL104" s="20"/>
      <c r="BM104" s="20"/>
      <c r="BN104" s="20"/>
      <c r="BO104" s="20"/>
      <c r="BP104" s="590"/>
    </row>
    <row r="105" spans="1:68" x14ac:dyDescent="0.2">
      <c r="A105" s="589" t="s">
        <v>1472</v>
      </c>
      <c r="B105" s="20" t="s">
        <v>1471</v>
      </c>
      <c r="C105" s="20"/>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f>Gas_Table_1!F26</f>
        <v>0</v>
      </c>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c r="BN105" s="20"/>
      <c r="BO105" s="20"/>
      <c r="BP105" s="590"/>
    </row>
    <row r="106" spans="1:68" x14ac:dyDescent="0.2">
      <c r="A106" s="703" t="s">
        <v>1476</v>
      </c>
      <c r="B106" s="32" t="s">
        <v>1475</v>
      </c>
      <c r="C106" s="32"/>
      <c r="D106" s="32"/>
      <c r="E106" s="32"/>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f>Gas_Table_1!F27</f>
        <v>0</v>
      </c>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628"/>
    </row>
  </sheetData>
  <printOptions horizontalCentered="1" verticalCentered="1"/>
  <pageMargins left="0" right="0" top="0" bottom="0" header="0" footer="0"/>
  <pageSetup paperSize="9" scale="32" fitToWidth="10" orientation="landscape"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07">
    <tabColor theme="8" tint="0.59999389629810485"/>
  </sheetPr>
  <dimension ref="A1:P77"/>
  <sheetViews>
    <sheetView showGridLines="0" zoomScaleNormal="100" workbookViewId="0">
      <selection activeCell="B73" sqref="B73"/>
    </sheetView>
  </sheetViews>
  <sheetFormatPr defaultColWidth="9.140625" defaultRowHeight="11.25" x14ac:dyDescent="0.2"/>
  <cols>
    <col min="1" max="1" width="57.7109375" style="20" customWidth="1"/>
    <col min="2" max="14" width="10.7109375" style="20" customWidth="1"/>
    <col min="15" max="15" width="11.7109375" style="20" hidden="1" customWidth="1"/>
    <col min="16" max="16" width="10.7109375" style="20" customWidth="1"/>
    <col min="17" max="16384" width="9.140625" style="20"/>
  </cols>
  <sheetData>
    <row r="1" spans="1:16" ht="30" customHeight="1" x14ac:dyDescent="0.2">
      <c r="A1" s="2113" t="str">
        <f>HLOOKUP(LangChoice,Definitions_ProdLang!$M$2:$P$30,7)</f>
        <v>Aggregated balance</v>
      </c>
      <c r="B1" s="2124"/>
      <c r="C1" s="2124"/>
      <c r="D1" s="2124"/>
      <c r="E1" s="2124"/>
      <c r="F1" s="2124"/>
      <c r="G1" s="2124"/>
      <c r="H1" s="2124"/>
      <c r="I1" s="2124"/>
      <c r="J1" s="2124"/>
      <c r="K1" s="2124"/>
      <c r="L1" s="2124"/>
      <c r="M1" s="2124"/>
      <c r="N1" s="2124"/>
      <c r="O1" s="2124"/>
      <c r="P1" s="2125"/>
    </row>
    <row r="2" spans="1:16" ht="65.099999999999994" customHeight="1" x14ac:dyDescent="0.2">
      <c r="A2" s="2123" t="str">
        <f>CountryName &amp;", "&amp;DataYear &amp;" (TJ)"</f>
        <v>South Africa, 2019 (TJ)</v>
      </c>
      <c r="B2" s="2126" t="str">
        <f>'Published Balance'!B6</f>
        <v>Coal</v>
      </c>
      <c r="C2" s="2126" t="str">
        <f>PEAT</f>
        <v>Peat</v>
      </c>
      <c r="D2" s="2126" t="str">
        <f>OILSHALE</f>
        <v>Oil shale and oil sands</v>
      </c>
      <c r="E2" s="2126" t="str">
        <f>CRUDEOIL</f>
        <v>Crude oil</v>
      </c>
      <c r="F2" s="2126" t="str">
        <f>HLOOKUP(LangChoice,Definitions_ProdLang!$C$2:$E$75,Definitions_ProdLang!$A29+1,FALSE)</f>
        <v>Oil products</v>
      </c>
      <c r="G2" s="2126" t="str">
        <f>NATGAS</f>
        <v>Natural gas</v>
      </c>
      <c r="H2" s="2126" t="str">
        <f>NUCLEAR</f>
        <v>Nuclear</v>
      </c>
      <c r="I2" s="2126" t="str">
        <f>HYDRO</f>
        <v>Hydro</v>
      </c>
      <c r="J2" s="2126" t="str">
        <f>GEOTHERM</f>
        <v>Geothermal</v>
      </c>
      <c r="K2" s="2126" t="str">
        <f>HLOOKUP(LangChoice,Definitions_ProdLang!$M$2:$P$30,9)</f>
        <v>Solar, Wind, Others</v>
      </c>
      <c r="L2" s="2126" t="str">
        <f>'For printing'!AR2</f>
        <v>Biofuels and waste</v>
      </c>
      <c r="M2" s="2126" t="str">
        <f>ELECTR</f>
        <v>Electricity</v>
      </c>
      <c r="N2" s="2126" t="str">
        <f>HEAT</f>
        <v>Heat</v>
      </c>
      <c r="O2" s="2126" t="str">
        <f>HEATNS</f>
        <v>Heat output from non-specified combustible fuels</v>
      </c>
      <c r="P2" s="2127" t="str">
        <f>HLOOKUP(LangChoice,Definitions_ProdLang!$M$2:$P$30,8)</f>
        <v>Total</v>
      </c>
    </row>
    <row r="3" spans="1:16" x14ac:dyDescent="0.2">
      <c r="A3" s="1044" t="str">
        <f>INDPROD</f>
        <v>Production</v>
      </c>
      <c r="B3" s="2217">
        <f ca="1">SUM('Disaggregated Balance'!E5:R5)</f>
        <v>6020866.3651390001</v>
      </c>
      <c r="C3" s="2217">
        <f ca="1">SUM('Disaggregated Balance'!T5:U5)</f>
        <v>0</v>
      </c>
      <c r="D3" s="2217">
        <f ca="1">'Disaggregated Balance'!V5</f>
        <v>0</v>
      </c>
      <c r="E3" s="2217">
        <f ca="1">SUM('Disaggregated Balance'!W5:Z5)</f>
        <v>16799.774730999998</v>
      </c>
      <c r="F3" s="2217">
        <f ca="1">SUM('Disaggregated Balance'!AB5:AR5)</f>
        <v>570343.99130105122</v>
      </c>
      <c r="G3" s="2217">
        <f>'Disaggregated Balance'!AS5</f>
        <v>655</v>
      </c>
      <c r="H3" s="2217">
        <f>'Disaggregated Balance'!BE5</f>
        <v>198135.20818181819</v>
      </c>
      <c r="I3" s="2217">
        <f>'Disaggregated Balance'!BF5</f>
        <v>-56949.423599999995</v>
      </c>
      <c r="J3" s="2217">
        <f>'Disaggregated Balance'!BG5</f>
        <v>0</v>
      </c>
      <c r="K3" s="2217">
        <f>SUM('Disaggregated Balance'!BH5:BL5)</f>
        <v>44033.19</v>
      </c>
      <c r="L3" s="2217">
        <f ca="1">SUM('Disaggregated Balance'!AT5:BD5)</f>
        <v>0</v>
      </c>
      <c r="M3" s="2217">
        <f>'Disaggregated Balance'!BM5</f>
        <v>0</v>
      </c>
      <c r="N3" s="2217">
        <f>'Disaggregated Balance'!BN5</f>
        <v>0</v>
      </c>
      <c r="O3" s="2217">
        <f>'Disaggregated Balance'!BO5</f>
        <v>0</v>
      </c>
      <c r="P3" s="2218">
        <f t="shared" ref="P3:P8" ca="1" si="0">SUM(B3:O3)</f>
        <v>6793884.1057528695</v>
      </c>
    </row>
    <row r="4" spans="1:16" x14ac:dyDescent="0.2">
      <c r="A4" s="1044" t="str">
        <f>IMPORTS</f>
        <v>Imports</v>
      </c>
      <c r="B4" s="2219">
        <f ca="1">SUM('Disaggregated Balance'!E6:R6)</f>
        <v>35825.338756000005</v>
      </c>
      <c r="C4" s="2219">
        <f ca="1">SUM('Disaggregated Balance'!T6:U6)</f>
        <v>0</v>
      </c>
      <c r="D4" s="2219">
        <f ca="1">'Disaggregated Balance'!V6</f>
        <v>0</v>
      </c>
      <c r="E4" s="2219">
        <f ca="1">SUM('Disaggregated Balance'!W6:AA6)</f>
        <v>1026041.067</v>
      </c>
      <c r="F4" s="2219">
        <f ca="1">SUM('Disaggregated Balance'!AB6:AR6)</f>
        <v>267211.1809905867</v>
      </c>
      <c r="G4" s="2219">
        <f ca="1">'Disaggregated Balance'!AS6</f>
        <v>117397.35703125001</v>
      </c>
      <c r="H4" s="2219">
        <f>'Disaggregated Balance'!BE6</f>
        <v>0</v>
      </c>
      <c r="I4" s="2219">
        <f>'Disaggregated Balance'!BF6</f>
        <v>0</v>
      </c>
      <c r="J4" s="2219">
        <f>'Disaggregated Balance'!BG6</f>
        <v>0</v>
      </c>
      <c r="K4" s="2219">
        <f>SUM('Disaggregated Balance'!BH6:BL6)</f>
        <v>0</v>
      </c>
      <c r="L4" s="2219">
        <f ca="1">SUM('Disaggregated Balance'!AT6:BD6)</f>
        <v>0</v>
      </c>
      <c r="M4" s="2219">
        <f>'Disaggregated Balance'!BM6</f>
        <v>26967.729600000002</v>
      </c>
      <c r="N4" s="2219">
        <f>'Disaggregated Balance'!BN6</f>
        <v>0</v>
      </c>
      <c r="O4" s="2219">
        <f>'Disaggregated Balance'!BO6</f>
        <v>0</v>
      </c>
      <c r="P4" s="2220">
        <f t="shared" ca="1" si="0"/>
        <v>1473442.6733778366</v>
      </c>
    </row>
    <row r="5" spans="1:16" x14ac:dyDescent="0.2">
      <c r="A5" s="1044" t="str">
        <f>EXPORTS</f>
        <v>Exports</v>
      </c>
      <c r="B5" s="2219">
        <f ca="1">SUM('Disaggregated Balance'!E7:R7)</f>
        <v>-1968696.2623530002</v>
      </c>
      <c r="C5" s="2219">
        <f ca="1">SUM('Disaggregated Balance'!T7:U7)</f>
        <v>0</v>
      </c>
      <c r="D5" s="2219">
        <f ca="1">'Disaggregated Balance'!V7</f>
        <v>0</v>
      </c>
      <c r="E5" s="2219">
        <f ca="1">SUM('Disaggregated Balance'!W7:AA7)</f>
        <v>-2.1150000315159558</v>
      </c>
      <c r="F5" s="2219">
        <f ca="1">SUM('Disaggregated Balance'!AB7:AR7)</f>
        <v>-124974.68523917053</v>
      </c>
      <c r="G5" s="2219">
        <f ca="1">'Disaggregated Balance'!AS7</f>
        <v>-380.17801208496093</v>
      </c>
      <c r="H5" s="2219">
        <f>'Disaggregated Balance'!BE7</f>
        <v>0</v>
      </c>
      <c r="I5" s="2219">
        <f>'Disaggregated Balance'!BF7</f>
        <v>0</v>
      </c>
      <c r="J5" s="2219">
        <f>'Disaggregated Balance'!BG7</f>
        <v>0</v>
      </c>
      <c r="K5" s="2219">
        <f>SUM('Disaggregated Balance'!BH7:BL7)</f>
        <v>0</v>
      </c>
      <c r="L5" s="2219">
        <f ca="1">SUM('Disaggregated Balance'!AT7:BD7)</f>
        <v>0</v>
      </c>
      <c r="M5" s="2219">
        <f>'Disaggregated Balance'!BM7</f>
        <v>-50466.747599999995</v>
      </c>
      <c r="N5" s="2219">
        <f>'Disaggregated Balance'!BN7</f>
        <v>0</v>
      </c>
      <c r="O5" s="2219">
        <f>'Disaggregated Balance'!BO7</f>
        <v>0</v>
      </c>
      <c r="P5" s="2220">
        <f t="shared" ca="1" si="0"/>
        <v>-2144519.9882042869</v>
      </c>
    </row>
    <row r="6" spans="1:16" x14ac:dyDescent="0.2">
      <c r="A6" s="1044" t="str">
        <f>MARBUNK</f>
        <v>International marine bunkers</v>
      </c>
      <c r="B6" s="2219">
        <f ca="1">SUM('Disaggregated Balance'!E8:R8)</f>
        <v>0</v>
      </c>
      <c r="C6" s="2219">
        <f ca="1">SUM('Disaggregated Balance'!T8:U8)</f>
        <v>0</v>
      </c>
      <c r="D6" s="2219">
        <f ca="1">'Disaggregated Balance'!V8</f>
        <v>0</v>
      </c>
      <c r="E6" s="2219">
        <f ca="1">SUM('Disaggregated Balance'!W8:AA8)</f>
        <v>0</v>
      </c>
      <c r="F6" s="2219">
        <f ca="1">SUM('Disaggregated Balance'!AB8:AR8)</f>
        <v>-17668.285618252601</v>
      </c>
      <c r="G6" s="2219">
        <f ca="1">'Disaggregated Balance'!AS8</f>
        <v>0</v>
      </c>
      <c r="H6" s="2219">
        <f>'Disaggregated Balance'!BE8</f>
        <v>0</v>
      </c>
      <c r="I6" s="2219">
        <f>'Disaggregated Balance'!BF8</f>
        <v>0</v>
      </c>
      <c r="J6" s="2219">
        <f>'Disaggregated Balance'!BG8</f>
        <v>0</v>
      </c>
      <c r="K6" s="2219">
        <f>SUM('Disaggregated Balance'!BH8:BL8)</f>
        <v>0</v>
      </c>
      <c r="L6" s="2219">
        <f ca="1">SUM('Disaggregated Balance'!AT8:BD8)</f>
        <v>0</v>
      </c>
      <c r="M6" s="2219">
        <f>'Disaggregated Balance'!BM8</f>
        <v>0</v>
      </c>
      <c r="N6" s="2219">
        <f>'Disaggregated Balance'!BN8</f>
        <v>0</v>
      </c>
      <c r="O6" s="2219">
        <f>'Disaggregated Balance'!BO8</f>
        <v>0</v>
      </c>
      <c r="P6" s="2220">
        <f t="shared" ca="1" si="0"/>
        <v>-17668.285618252601</v>
      </c>
    </row>
    <row r="7" spans="1:16" x14ac:dyDescent="0.2">
      <c r="A7" s="1044" t="str">
        <f>AVBUNK</f>
        <v>International aviation bunkers</v>
      </c>
      <c r="B7" s="2219">
        <f ca="1">SUM('Disaggregated Balance'!E9:R9)</f>
        <v>0</v>
      </c>
      <c r="C7" s="2219">
        <f ca="1">SUM('Disaggregated Balance'!T9:U9)</f>
        <v>0</v>
      </c>
      <c r="D7" s="2219">
        <f ca="1">'Disaggregated Balance'!V9</f>
        <v>0</v>
      </c>
      <c r="E7" s="2219">
        <f ca="1">SUM('Disaggregated Balance'!W9:AA9)</f>
        <v>0</v>
      </c>
      <c r="F7" s="2219">
        <f ca="1">SUM('Disaggregated Balance'!AB9:AR9)</f>
        <v>-51.780688566000002</v>
      </c>
      <c r="G7" s="2219">
        <f ca="1">'Disaggregated Balance'!AS9</f>
        <v>0</v>
      </c>
      <c r="H7" s="2219">
        <f>'Disaggregated Balance'!BE9</f>
        <v>0</v>
      </c>
      <c r="I7" s="2219">
        <f>'Disaggregated Balance'!BF9</f>
        <v>0</v>
      </c>
      <c r="J7" s="2219">
        <f>'Disaggregated Balance'!BG9</f>
        <v>0</v>
      </c>
      <c r="K7" s="2219">
        <f>SUM('Disaggregated Balance'!BH9:BL9)</f>
        <v>0</v>
      </c>
      <c r="L7" s="2219">
        <f ca="1">SUM('Disaggregated Balance'!AT9:BD9)</f>
        <v>0</v>
      </c>
      <c r="M7" s="2219">
        <f>'Disaggregated Balance'!BM9</f>
        <v>0</v>
      </c>
      <c r="N7" s="2219">
        <f>'Disaggregated Balance'!BN9</f>
        <v>0</v>
      </c>
      <c r="O7" s="2219">
        <f>'Disaggregated Balance'!BO9</f>
        <v>0</v>
      </c>
      <c r="P7" s="2220">
        <f t="shared" ca="1" si="0"/>
        <v>-51.780688566000002</v>
      </c>
    </row>
    <row r="8" spans="1:16" x14ac:dyDescent="0.2">
      <c r="A8" s="1044" t="str">
        <f>STOCKCHA</f>
        <v>Stock changes</v>
      </c>
      <c r="B8" s="2219">
        <f ca="1">SUM('Disaggregated Balance'!E10:R10)</f>
        <v>0</v>
      </c>
      <c r="C8" s="2219">
        <f ca="1">SUM('Disaggregated Balance'!T10:U10)</f>
        <v>0</v>
      </c>
      <c r="D8" s="2219">
        <f ca="1">'Disaggregated Balance'!V10</f>
        <v>0</v>
      </c>
      <c r="E8" s="2219">
        <f ca="1">SUM('Disaggregated Balance'!W10:AA10)</f>
        <v>-17439.866999999998</v>
      </c>
      <c r="F8" s="2219">
        <f ca="1">SUM('Disaggregated Balance'!AB10:AR10)</f>
        <v>2309.4816738819077</v>
      </c>
      <c r="G8" s="2219">
        <f ca="1">'Disaggregated Balance'!AS10</f>
        <v>0</v>
      </c>
      <c r="H8" s="2219">
        <f>'Disaggregated Balance'!BE10</f>
        <v>0</v>
      </c>
      <c r="I8" s="2219">
        <f>'Disaggregated Balance'!BF10</f>
        <v>0</v>
      </c>
      <c r="J8" s="2219">
        <f>'Disaggregated Balance'!BG10</f>
        <v>0</v>
      </c>
      <c r="K8" s="2219">
        <f>SUM('Disaggregated Balance'!BH10:BL10)</f>
        <v>0</v>
      </c>
      <c r="L8" s="2219">
        <f ca="1">SUM('Disaggregated Balance'!AT10:BD10)</f>
        <v>0</v>
      </c>
      <c r="M8" s="2219">
        <f>'Disaggregated Balance'!BM10</f>
        <v>0</v>
      </c>
      <c r="N8" s="2219">
        <f>'Disaggregated Balance'!BN10</f>
        <v>0</v>
      </c>
      <c r="O8" s="2219">
        <f>'Disaggregated Balance'!BO10</f>
        <v>0</v>
      </c>
      <c r="P8" s="2220">
        <f t="shared" ca="1" si="0"/>
        <v>-15130.38532611809</v>
      </c>
    </row>
    <row r="9" spans="1:16" x14ac:dyDescent="0.2">
      <c r="A9" s="888" t="str">
        <f>TPES</f>
        <v>Total primary energy supply (TPES)</v>
      </c>
      <c r="B9" s="2221">
        <f ca="1">SUM(B3:B8)</f>
        <v>4087995.4415419996</v>
      </c>
      <c r="C9" s="2221">
        <f t="shared" ref="C9:K9" ca="1" si="1">SUM(C3:C8)</f>
        <v>0</v>
      </c>
      <c r="D9" s="2221">
        <f t="shared" ca="1" si="1"/>
        <v>0</v>
      </c>
      <c r="E9" s="2221">
        <f t="shared" ca="1" si="1"/>
        <v>1025398.8597309685</v>
      </c>
      <c r="F9" s="2221">
        <f t="shared" ca="1" si="1"/>
        <v>697169.90241953055</v>
      </c>
      <c r="G9" s="2221">
        <f ca="1">SUM(G3:G8)</f>
        <v>117672.17901916505</v>
      </c>
      <c r="H9" s="2221">
        <f t="shared" si="1"/>
        <v>198135.20818181819</v>
      </c>
      <c r="I9" s="2221">
        <f>SUM(I3:I8)</f>
        <v>-56949.423599999995</v>
      </c>
      <c r="J9" s="2221">
        <f>SUM(J3:J8)</f>
        <v>0</v>
      </c>
      <c r="K9" s="2221">
        <f t="shared" si="1"/>
        <v>44033.19</v>
      </c>
      <c r="L9" s="2221">
        <f ca="1">SUM(L3:L8)</f>
        <v>0</v>
      </c>
      <c r="M9" s="2221">
        <f>SUM(M3:M8)</f>
        <v>-23499.017999999993</v>
      </c>
      <c r="N9" s="2221">
        <f>SUM(N3:N8)</f>
        <v>0</v>
      </c>
      <c r="O9" s="2221">
        <f>SUM(O3:O8)</f>
        <v>0</v>
      </c>
      <c r="P9" s="2222">
        <f ca="1">SUM(P3:P8)</f>
        <v>6089956.3392934818</v>
      </c>
    </row>
    <row r="10" spans="1:16" x14ac:dyDescent="0.2">
      <c r="A10" s="1044" t="str">
        <f>TRANSFER</f>
        <v>Transfers</v>
      </c>
      <c r="B10" s="2219">
        <f ca="1">SUM('Disaggregated Balance'!E12:R12)</f>
        <v>0</v>
      </c>
      <c r="C10" s="2219">
        <f ca="1">SUM('Disaggregated Balance'!T12:U12)</f>
        <v>0</v>
      </c>
      <c r="D10" s="2219">
        <f ca="1">'Disaggregated Balance'!V12</f>
        <v>0</v>
      </c>
      <c r="E10" s="2219">
        <f ca="1">SUM('Disaggregated Balance'!W12:AA12)</f>
        <v>-203607.73240000001</v>
      </c>
      <c r="F10" s="2219">
        <f ca="1">SUM('Disaggregated Balance'!AB12:AR12)</f>
        <v>0</v>
      </c>
      <c r="G10" s="2219">
        <f ca="1">'Disaggregated Balance'!AS12</f>
        <v>0</v>
      </c>
      <c r="H10" s="2219">
        <f>'Disaggregated Balance'!BE12</f>
        <v>0</v>
      </c>
      <c r="I10" s="2219">
        <f>'Disaggregated Balance'!BF12</f>
        <v>0</v>
      </c>
      <c r="J10" s="2219">
        <f>'Disaggregated Balance'!BG12</f>
        <v>0</v>
      </c>
      <c r="K10" s="2219">
        <f>SUM('Disaggregated Balance'!BH12:BL12)</f>
        <v>0</v>
      </c>
      <c r="L10" s="2219">
        <f ca="1">SUM('Disaggregated Balance'!AT12:BD12)</f>
        <v>0</v>
      </c>
      <c r="M10" s="2219">
        <f>'Disaggregated Balance'!BM12</f>
        <v>0</v>
      </c>
      <c r="N10" s="2219">
        <f>'Disaggregated Balance'!BN12</f>
        <v>0</v>
      </c>
      <c r="O10" s="2219">
        <f>'Disaggregated Balance'!BO12</f>
        <v>0</v>
      </c>
      <c r="P10" s="2220">
        <f t="shared" ref="P10:P27" ca="1" si="2">SUM(B10:O10)</f>
        <v>-203607.73240000001</v>
      </c>
    </row>
    <row r="11" spans="1:16" x14ac:dyDescent="0.2">
      <c r="A11" s="1044" t="str">
        <f>STATDIFF</f>
        <v>Statistical differences</v>
      </c>
      <c r="B11" s="2219">
        <f ca="1">B28-SUM(B9:B10,B12:B27)</f>
        <v>-1141566.6196259996</v>
      </c>
      <c r="C11" s="2219">
        <f ca="1">C28-SUM(C9:C10,C12:C27)</f>
        <v>0</v>
      </c>
      <c r="D11" s="2219">
        <f t="shared" ref="D11:O11" ca="1" si="3">D28-SUM(D9:D10,D12:D27)</f>
        <v>0</v>
      </c>
      <c r="E11" s="2219">
        <f t="shared" ca="1" si="3"/>
        <v>-195181.67987096848</v>
      </c>
      <c r="F11" s="2219">
        <f t="shared" ca="1" si="3"/>
        <v>-445638.05971996346</v>
      </c>
      <c r="G11" s="2219">
        <f t="shared" ca="1" si="3"/>
        <v>19331.847036743158</v>
      </c>
      <c r="H11" s="2219">
        <f t="shared" si="3"/>
        <v>-43073.390000000014</v>
      </c>
      <c r="I11" s="2219">
        <f t="shared" si="3"/>
        <v>-781.80000000000609</v>
      </c>
      <c r="J11" s="2219">
        <f t="shared" si="3"/>
        <v>0</v>
      </c>
      <c r="K11" s="2219">
        <f t="shared" si="3"/>
        <v>-9805.4700000000012</v>
      </c>
      <c r="L11" s="2219">
        <f t="shared" ca="1" si="3"/>
        <v>651219.17000000004</v>
      </c>
      <c r="M11" s="2219">
        <f t="shared" si="3"/>
        <v>13360.503600000171</v>
      </c>
      <c r="N11" s="2219">
        <f t="shared" si="3"/>
        <v>0</v>
      </c>
      <c r="O11" s="2219">
        <f t="shared" si="3"/>
        <v>0</v>
      </c>
      <c r="P11" s="2220">
        <f t="shared" ca="1" si="2"/>
        <v>-1152135.4985801883</v>
      </c>
    </row>
    <row r="12" spans="1:16" x14ac:dyDescent="0.2">
      <c r="A12" s="1045" t="str">
        <f>MAINELEC</f>
        <v>Main activity electricity plants</v>
      </c>
      <c r="B12" s="2219">
        <f ca="1">SUM('Disaggregated Balance'!E15:R15)</f>
        <v>-2352560.7486149999</v>
      </c>
      <c r="C12" s="2219">
        <f ca="1">SUM('Disaggregated Balance'!T15:U15)</f>
        <v>0</v>
      </c>
      <c r="D12" s="2219">
        <f ca="1">'Disaggregated Balance'!V15</f>
        <v>0</v>
      </c>
      <c r="E12" s="2219">
        <f ca="1">SUM('Disaggregated Balance'!W15:AA15)</f>
        <v>0</v>
      </c>
      <c r="F12" s="2219">
        <f ca="1">SUM('Disaggregated Balance'!AB15:AR15)</f>
        <v>0</v>
      </c>
      <c r="G12" s="2219">
        <f ca="1">'Disaggregated Balance'!AS15</f>
        <v>0</v>
      </c>
      <c r="H12" s="2219">
        <f>'Disaggregated Balance'!BE15</f>
        <v>-155061.81818181818</v>
      </c>
      <c r="I12" s="2219">
        <f>'Disaggregated Balance'!BF15</f>
        <v>58106.667600000001</v>
      </c>
      <c r="J12" s="2219">
        <f>'Disaggregated Balance'!BG15</f>
        <v>0</v>
      </c>
      <c r="K12" s="2219">
        <f>SUM('Disaggregated Balance'!BH15:BL15)</f>
        <v>-1018.8000000000001</v>
      </c>
      <c r="L12" s="2219">
        <f ca="1">SUM('Disaggregated Balance'!AT15:BD15)</f>
        <v>0</v>
      </c>
      <c r="M12" s="2219">
        <f>'Disaggregated Balance'!BM15</f>
        <v>696926.80440000002</v>
      </c>
      <c r="N12" s="2219">
        <f>'Disaggregated Balance'!BN15</f>
        <v>0</v>
      </c>
      <c r="O12" s="2219">
        <f>'Disaggregated Balance'!BO15</f>
        <v>0</v>
      </c>
      <c r="P12" s="2220">
        <f t="shared" ca="1" si="2"/>
        <v>-1753607.8947968183</v>
      </c>
    </row>
    <row r="13" spans="1:16" x14ac:dyDescent="0.2">
      <c r="A13" s="1045" t="str">
        <f>AUTOELEC</f>
        <v>Autoproducer electricity plants</v>
      </c>
      <c r="B13" s="2219">
        <f ca="1">SUM('Disaggregated Balance'!E16:R16)</f>
        <v>-6191.2896359999995</v>
      </c>
      <c r="C13" s="2219">
        <f ca="1">SUM('Disaggregated Balance'!T16:U16)</f>
        <v>0</v>
      </c>
      <c r="D13" s="2219">
        <f ca="1">'Disaggregated Balance'!V16</f>
        <v>0</v>
      </c>
      <c r="E13" s="2219">
        <f ca="1">SUM('Disaggregated Balance'!W16:AA16)</f>
        <v>0</v>
      </c>
      <c r="F13" s="2219">
        <f ca="1">SUM('Disaggregated Balance'!AB16:AR16)</f>
        <v>0</v>
      </c>
      <c r="G13" s="2219">
        <f ca="1">'Disaggregated Balance'!AS16</f>
        <v>0</v>
      </c>
      <c r="H13" s="2219">
        <f>'Disaggregated Balance'!BE16</f>
        <v>0</v>
      </c>
      <c r="I13" s="2219">
        <f>'Disaggregated Balance'!BF16</f>
        <v>-375.44400000000002</v>
      </c>
      <c r="J13" s="2219">
        <f>'Disaggregated Balance'!BG16</f>
        <v>0</v>
      </c>
      <c r="K13" s="2219">
        <f>SUM('Disaggregated Balance'!BH16:BL16)</f>
        <v>-33208.92</v>
      </c>
      <c r="L13" s="2219">
        <f ca="1">SUM('Disaggregated Balance'!AT16:BD16)</f>
        <v>-4295.21</v>
      </c>
      <c r="M13" s="2219">
        <f>'Disaggregated Balance'!BM16</f>
        <v>56242.764000000003</v>
      </c>
      <c r="N13" s="2219">
        <f>'Disaggregated Balance'!BN16</f>
        <v>0</v>
      </c>
      <c r="O13" s="2219">
        <f>'Disaggregated Balance'!BO16</f>
        <v>0</v>
      </c>
      <c r="P13" s="2220">
        <f t="shared" ca="1" si="2"/>
        <v>12171.900364000008</v>
      </c>
    </row>
    <row r="14" spans="1:16" x14ac:dyDescent="0.2">
      <c r="A14" s="1045" t="str">
        <f>MAINCHP</f>
        <v>Main activity producer CHP plants</v>
      </c>
      <c r="B14" s="2219">
        <f ca="1">SUM('Disaggregated Balance'!E17:R17)</f>
        <v>0</v>
      </c>
      <c r="C14" s="2219">
        <f ca="1">SUM('Disaggregated Balance'!T17:U17)</f>
        <v>0</v>
      </c>
      <c r="D14" s="2219">
        <f ca="1">'Disaggregated Balance'!V17</f>
        <v>0</v>
      </c>
      <c r="E14" s="2219">
        <f ca="1">SUM('Disaggregated Balance'!W17:AA17)</f>
        <v>0</v>
      </c>
      <c r="F14" s="2219">
        <f ca="1">SUM('Disaggregated Balance'!AB17:AR17)</f>
        <v>0</v>
      </c>
      <c r="G14" s="2219">
        <f ca="1">'Disaggregated Balance'!AS17</f>
        <v>0</v>
      </c>
      <c r="H14" s="2219">
        <f>'Disaggregated Balance'!BE17</f>
        <v>0</v>
      </c>
      <c r="I14" s="2219">
        <f>'Disaggregated Balance'!BF17</f>
        <v>0</v>
      </c>
      <c r="J14" s="2219">
        <f>'Disaggregated Balance'!BG17</f>
        <v>0</v>
      </c>
      <c r="K14" s="2219">
        <f>SUM('Disaggregated Balance'!BH17:BL17)</f>
        <v>0</v>
      </c>
      <c r="L14" s="2219">
        <f ca="1">SUM('Disaggregated Balance'!AT17:BD17)</f>
        <v>0</v>
      </c>
      <c r="M14" s="2219">
        <f>'Disaggregated Balance'!BM17</f>
        <v>0</v>
      </c>
      <c r="N14" s="2219">
        <f>'Disaggregated Balance'!BN17</f>
        <v>0</v>
      </c>
      <c r="O14" s="2219">
        <f>'Disaggregated Balance'!BO17</f>
        <v>0</v>
      </c>
      <c r="P14" s="2220">
        <f t="shared" ca="1" si="2"/>
        <v>0</v>
      </c>
    </row>
    <row r="15" spans="1:16" x14ac:dyDescent="0.2">
      <c r="A15" s="1045" t="str">
        <f>AUTOCHP</f>
        <v>Autoproducer CHP plants</v>
      </c>
      <c r="B15" s="2219">
        <f ca="1">SUM('Disaggregated Balance'!E18:R18)</f>
        <v>0</v>
      </c>
      <c r="C15" s="2219">
        <f ca="1">SUM('Disaggregated Balance'!T18:U18)</f>
        <v>0</v>
      </c>
      <c r="D15" s="2219">
        <f ca="1">'Disaggregated Balance'!V18</f>
        <v>0</v>
      </c>
      <c r="E15" s="2219">
        <f ca="1">SUM('Disaggregated Balance'!W18:AA18)</f>
        <v>0</v>
      </c>
      <c r="F15" s="2219">
        <f ca="1">SUM('Disaggregated Balance'!AB18:AR18)</f>
        <v>0</v>
      </c>
      <c r="G15" s="2219">
        <f ca="1">'Disaggregated Balance'!AS18</f>
        <v>0</v>
      </c>
      <c r="H15" s="2219">
        <f>'Disaggregated Balance'!BE18</f>
        <v>0</v>
      </c>
      <c r="I15" s="2219">
        <f>'Disaggregated Balance'!BF18</f>
        <v>0</v>
      </c>
      <c r="J15" s="2219">
        <f>'Disaggregated Balance'!BG18</f>
        <v>0</v>
      </c>
      <c r="K15" s="2219">
        <f>SUM('Disaggregated Balance'!BH18:BL18)</f>
        <v>0</v>
      </c>
      <c r="L15" s="2219">
        <f ca="1">SUM('Disaggregated Balance'!AT18:BD18)</f>
        <v>0</v>
      </c>
      <c r="M15" s="2219">
        <f>'Disaggregated Balance'!BM18</f>
        <v>0</v>
      </c>
      <c r="N15" s="2219">
        <f>'Disaggregated Balance'!BN18</f>
        <v>0</v>
      </c>
      <c r="O15" s="2219">
        <f>'Disaggregated Balance'!BO18</f>
        <v>0</v>
      </c>
      <c r="P15" s="2220">
        <f t="shared" ca="1" si="2"/>
        <v>0</v>
      </c>
    </row>
    <row r="16" spans="1:16" x14ac:dyDescent="0.2">
      <c r="A16" s="1045" t="str">
        <f>MAINHEAT</f>
        <v>Main activity producer heat plants</v>
      </c>
      <c r="B16" s="2219">
        <f ca="1">SUM('Disaggregated Balance'!E19:R19)</f>
        <v>0</v>
      </c>
      <c r="C16" s="2219">
        <f ca="1">SUM('Disaggregated Balance'!T19:U19)</f>
        <v>0</v>
      </c>
      <c r="D16" s="2219">
        <f ca="1">'Disaggregated Balance'!V19</f>
        <v>0</v>
      </c>
      <c r="E16" s="2219">
        <f ca="1">SUM('Disaggregated Balance'!W19:AA19)</f>
        <v>0</v>
      </c>
      <c r="F16" s="2219">
        <f ca="1">SUM('Disaggregated Balance'!AB19:AR19)</f>
        <v>0</v>
      </c>
      <c r="G16" s="2219">
        <f ca="1">'Disaggregated Balance'!AS19</f>
        <v>0</v>
      </c>
      <c r="H16" s="2219">
        <f>'Disaggregated Balance'!BE19</f>
        <v>0</v>
      </c>
      <c r="I16" s="2219">
        <f>'Disaggregated Balance'!BF19</f>
        <v>0</v>
      </c>
      <c r="J16" s="2219">
        <f>'Disaggregated Balance'!BG19</f>
        <v>0</v>
      </c>
      <c r="K16" s="2219">
        <f>SUM('Disaggregated Balance'!BH19:BL19)</f>
        <v>0</v>
      </c>
      <c r="L16" s="2219">
        <f ca="1">SUM('Disaggregated Balance'!AT19:BD19)</f>
        <v>0</v>
      </c>
      <c r="M16" s="2219">
        <f>'Disaggregated Balance'!BM19</f>
        <v>0</v>
      </c>
      <c r="N16" s="2219">
        <f>'Disaggregated Balance'!BN19</f>
        <v>0</v>
      </c>
      <c r="O16" s="2219">
        <f>'Disaggregated Balance'!BO19</f>
        <v>0</v>
      </c>
      <c r="P16" s="2220">
        <f t="shared" ca="1" si="2"/>
        <v>0</v>
      </c>
    </row>
    <row r="17" spans="1:16" x14ac:dyDescent="0.2">
      <c r="A17" s="1045" t="str">
        <f>AUTOHEAT</f>
        <v>Autoproducer heat plants</v>
      </c>
      <c r="B17" s="2219">
        <f ca="1">SUM('Disaggregated Balance'!E20:R20)</f>
        <v>0</v>
      </c>
      <c r="C17" s="2219">
        <f ca="1">SUM('Disaggregated Balance'!T20:U20)</f>
        <v>0</v>
      </c>
      <c r="D17" s="2219">
        <f ca="1">'Disaggregated Balance'!V20</f>
        <v>0</v>
      </c>
      <c r="E17" s="2219">
        <f ca="1">SUM('Disaggregated Balance'!W20:AA20)</f>
        <v>0</v>
      </c>
      <c r="F17" s="2219">
        <f ca="1">SUM('Disaggregated Balance'!AB20:AR20)</f>
        <v>0</v>
      </c>
      <c r="G17" s="2219">
        <f ca="1">'Disaggregated Balance'!AS20</f>
        <v>0</v>
      </c>
      <c r="H17" s="2219">
        <f>'Disaggregated Balance'!BE20</f>
        <v>0</v>
      </c>
      <c r="I17" s="2219">
        <f>'Disaggregated Balance'!BF20</f>
        <v>0</v>
      </c>
      <c r="J17" s="2219">
        <f>'Disaggregated Balance'!BG20</f>
        <v>0</v>
      </c>
      <c r="K17" s="2219">
        <f>SUM('Disaggregated Balance'!BH20:BL20)</f>
        <v>0</v>
      </c>
      <c r="L17" s="2219">
        <f ca="1">SUM('Disaggregated Balance'!AT20:BD20)</f>
        <v>0</v>
      </c>
      <c r="M17" s="2219">
        <f>'Disaggregated Balance'!BM20</f>
        <v>0</v>
      </c>
      <c r="N17" s="2219">
        <f>'Disaggregated Balance'!BN20</f>
        <v>0</v>
      </c>
      <c r="O17" s="2219">
        <f>'Disaggregated Balance'!BO20</f>
        <v>0</v>
      </c>
      <c r="P17" s="2220">
        <f t="shared" ca="1" si="2"/>
        <v>0</v>
      </c>
    </row>
    <row r="18" spans="1:16" x14ac:dyDescent="0.2">
      <c r="A18" s="1045" t="str">
        <f>HEATPUMP</f>
        <v>Heat pumps</v>
      </c>
      <c r="B18" s="2219">
        <f ca="1">SUM('Disaggregated Balance'!E21:R21)</f>
        <v>0</v>
      </c>
      <c r="C18" s="2219">
        <f ca="1">SUM('Disaggregated Balance'!T21:U21)</f>
        <v>0</v>
      </c>
      <c r="D18" s="2219">
        <f ca="1">'Disaggregated Balance'!V21</f>
        <v>0</v>
      </c>
      <c r="E18" s="2219">
        <f ca="1">SUM('Disaggregated Balance'!W21:AA21)</f>
        <v>0</v>
      </c>
      <c r="F18" s="2219">
        <f ca="1">SUM('Disaggregated Balance'!AB21:AR21)</f>
        <v>0</v>
      </c>
      <c r="G18" s="2219">
        <f ca="1">'Disaggregated Balance'!AS21</f>
        <v>0</v>
      </c>
      <c r="H18" s="2219">
        <f>'Disaggregated Balance'!BE21</f>
        <v>0</v>
      </c>
      <c r="I18" s="2219">
        <f>'Disaggregated Balance'!BF21</f>
        <v>0</v>
      </c>
      <c r="J18" s="2219">
        <f>'Disaggregated Balance'!BG21</f>
        <v>0</v>
      </c>
      <c r="K18" s="2219">
        <f>SUM('Disaggregated Balance'!BH21:BL21)</f>
        <v>0</v>
      </c>
      <c r="L18" s="2219">
        <f ca="1">SUM('Disaggregated Balance'!AT21:BD21)</f>
        <v>0</v>
      </c>
      <c r="M18" s="2219">
        <f>'Disaggregated Balance'!BM21</f>
        <v>0</v>
      </c>
      <c r="N18" s="2219">
        <f>'Disaggregated Balance'!BN21</f>
        <v>0</v>
      </c>
      <c r="O18" s="2219">
        <f>'Disaggregated Balance'!BO21</f>
        <v>0</v>
      </c>
      <c r="P18" s="2220">
        <f t="shared" ca="1" si="2"/>
        <v>0</v>
      </c>
    </row>
    <row r="19" spans="1:16" x14ac:dyDescent="0.2">
      <c r="A19" s="1045" t="str">
        <f>TBOILER</f>
        <v>Electric boilers</v>
      </c>
      <c r="B19" s="2219">
        <f ca="1">SUM('Disaggregated Balance'!E22:R22)</f>
        <v>0</v>
      </c>
      <c r="C19" s="2219">
        <f ca="1">SUM('Disaggregated Balance'!T22:U22)</f>
        <v>0</v>
      </c>
      <c r="D19" s="2219">
        <f ca="1">'Disaggregated Balance'!V22</f>
        <v>0</v>
      </c>
      <c r="E19" s="2219">
        <f ca="1">SUM('Disaggregated Balance'!W22:AA22)</f>
        <v>0</v>
      </c>
      <c r="F19" s="2219">
        <f ca="1">SUM('Disaggregated Balance'!AB22:AR22)</f>
        <v>0</v>
      </c>
      <c r="G19" s="2219">
        <f ca="1">'Disaggregated Balance'!AS22</f>
        <v>0</v>
      </c>
      <c r="H19" s="2219">
        <f>'Disaggregated Balance'!BE22</f>
        <v>0</v>
      </c>
      <c r="I19" s="2219">
        <f>'Disaggregated Balance'!BF22</f>
        <v>0</v>
      </c>
      <c r="J19" s="2219">
        <f>'Disaggregated Balance'!BG22</f>
        <v>0</v>
      </c>
      <c r="K19" s="2219">
        <f>SUM('Disaggregated Balance'!BH22:BL22)</f>
        <v>0</v>
      </c>
      <c r="L19" s="2219">
        <f ca="1">SUM('Disaggregated Balance'!AT22:BD22)</f>
        <v>0</v>
      </c>
      <c r="M19" s="2219">
        <f>'Disaggregated Balance'!BM22</f>
        <v>0</v>
      </c>
      <c r="N19" s="2219">
        <f>'Disaggregated Balance'!BN22</f>
        <v>0</v>
      </c>
      <c r="O19" s="2219">
        <f>'Disaggregated Balance'!BO22</f>
        <v>0</v>
      </c>
      <c r="P19" s="2220">
        <f t="shared" ca="1" si="2"/>
        <v>0</v>
      </c>
    </row>
    <row r="20" spans="1:16" x14ac:dyDescent="0.2">
      <c r="A20" s="1045" t="str">
        <f>TELE</f>
        <v>Chemical heat for electricity production</v>
      </c>
      <c r="B20" s="2219">
        <f ca="1">SUM('Disaggregated Balance'!E23:R23)</f>
        <v>0</v>
      </c>
      <c r="C20" s="2219">
        <f ca="1">SUM('Disaggregated Balance'!T23:U23)</f>
        <v>0</v>
      </c>
      <c r="D20" s="2219">
        <f ca="1">'Disaggregated Balance'!V23</f>
        <v>0</v>
      </c>
      <c r="E20" s="2219">
        <f ca="1">SUM('Disaggregated Balance'!W23:AA23)</f>
        <v>0</v>
      </c>
      <c r="F20" s="2219">
        <f ca="1">SUM('Disaggregated Balance'!AB23:AR23)</f>
        <v>0</v>
      </c>
      <c r="G20" s="2219">
        <f ca="1">'Disaggregated Balance'!AS23</f>
        <v>0</v>
      </c>
      <c r="H20" s="2219">
        <f>'Disaggregated Balance'!BE23</f>
        <v>0</v>
      </c>
      <c r="I20" s="2219">
        <f>'Disaggregated Balance'!BF23</f>
        <v>0</v>
      </c>
      <c r="J20" s="2219">
        <f>'Disaggregated Balance'!BG23</f>
        <v>0</v>
      </c>
      <c r="K20" s="2219">
        <f>SUM('Disaggregated Balance'!BH23:BL23)</f>
        <v>0</v>
      </c>
      <c r="L20" s="2219">
        <f ca="1">SUM('Disaggregated Balance'!AT23:BD23)</f>
        <v>0</v>
      </c>
      <c r="M20" s="2219">
        <f>'Disaggregated Balance'!BM23</f>
        <v>0</v>
      </c>
      <c r="N20" s="2219">
        <f>'Disaggregated Balance'!BN23</f>
        <v>0</v>
      </c>
      <c r="O20" s="2219">
        <f>'Disaggregated Balance'!BO23</f>
        <v>0</v>
      </c>
      <c r="P20" s="2220">
        <f t="shared" ca="1" si="2"/>
        <v>0</v>
      </c>
    </row>
    <row r="21" spans="1:16" x14ac:dyDescent="0.2">
      <c r="A21" s="1045" t="str">
        <f>TGASWKS</f>
        <v>Gas works</v>
      </c>
      <c r="B21" s="2219">
        <f ca="1">SUM('Disaggregated Balance'!E26:R26,'Disaggregated Balance'!E33:R33,)</f>
        <v>19611.900000000001</v>
      </c>
      <c r="C21" s="2219">
        <f ca="1">SUM('Disaggregated Balance'!T26:U26,'Disaggregated Balance'!T33:U33)</f>
        <v>0</v>
      </c>
      <c r="D21" s="2219">
        <f ca="1">SUM('Disaggregated Balance'!V26,'Disaggregated Balance'!V33)</f>
        <v>0</v>
      </c>
      <c r="E21" s="2219">
        <f ca="1">SUM('Disaggregated Balance'!W26:AA26,'Disaggregated Balance'!W33:AA33)</f>
        <v>0</v>
      </c>
      <c r="F21" s="2219">
        <f ca="1">SUM('Disaggregated Balance'!AB26:AR26,'Disaggregated Balance'!AB33:AR33)</f>
        <v>0</v>
      </c>
      <c r="G21" s="2219">
        <f ca="1">SUM('Disaggregated Balance'!AS26,'Disaggregated Balance'!AS33)</f>
        <v>0</v>
      </c>
      <c r="H21" s="2219">
        <f>SUM('Disaggregated Balance'!BE26,'Disaggregated Balance'!BE33)</f>
        <v>0</v>
      </c>
      <c r="I21" s="2219">
        <f>SUM('Disaggregated Balance'!BF26,'Disaggregated Balance'!BF33)</f>
        <v>0</v>
      </c>
      <c r="J21" s="2219">
        <f>SUM('Disaggregated Balance'!BG26,'Disaggregated Balance'!BG33)</f>
        <v>0</v>
      </c>
      <c r="K21" s="2219">
        <f>SUM('Disaggregated Balance'!BH26:BL26,'Disaggregated Balance'!BH33:BL33)</f>
        <v>0</v>
      </c>
      <c r="L21" s="2219">
        <f ca="1">SUM('Disaggregated Balance'!AT26:BD26,'Disaggregated Balance'!AT33:BD33)</f>
        <v>0</v>
      </c>
      <c r="M21" s="2219">
        <f>SUM('Disaggregated Balance'!BM26,'Disaggregated Balance'!BM33)</f>
        <v>0</v>
      </c>
      <c r="N21" s="2219">
        <f>SUM('Disaggregated Balance'!BN26,'Disaggregated Balance'!BN33)</f>
        <v>0</v>
      </c>
      <c r="O21" s="2219">
        <f>SUM('Disaggregated Balance'!BO26,'Disaggregated Balance'!BO33)</f>
        <v>0</v>
      </c>
      <c r="P21" s="2220">
        <f t="shared" ca="1" si="2"/>
        <v>19611.900000000001</v>
      </c>
    </row>
    <row r="22" spans="1:16" x14ac:dyDescent="0.2">
      <c r="A22" s="1045" t="str">
        <f>TREFINER</f>
        <v>Oil refineries</v>
      </c>
      <c r="B22" s="2219">
        <f ca="1">SUM('Disaggregated Balance'!E30:R30)</f>
        <v>0</v>
      </c>
      <c r="C22" s="2219">
        <f ca="1">SUM('Disaggregated Balance'!T30:U30)</f>
        <v>0</v>
      </c>
      <c r="D22" s="2219">
        <f ca="1">'Disaggregated Balance'!V30</f>
        <v>0</v>
      </c>
      <c r="E22" s="2219">
        <f ca="1">SUM('Disaggregated Balance'!W30:AA30)</f>
        <v>-830217.17986000003</v>
      </c>
      <c r="F22" s="2219">
        <f ca="1">SUM('Disaggregated Balance'!AB30:AR30)</f>
        <v>644759.02067515277</v>
      </c>
      <c r="G22" s="2219">
        <f ca="1">'Disaggregated Balance'!AS30</f>
        <v>0</v>
      </c>
      <c r="H22" s="2219">
        <f>'Disaggregated Balance'!BE30</f>
        <v>0</v>
      </c>
      <c r="I22" s="2219">
        <f>'Disaggregated Balance'!BF30</f>
        <v>0</v>
      </c>
      <c r="J22" s="2219">
        <f>'Disaggregated Balance'!BG30</f>
        <v>0</v>
      </c>
      <c r="K22" s="2219">
        <f>SUM('Disaggregated Balance'!BH30:BL30)</f>
        <v>0</v>
      </c>
      <c r="L22" s="2219">
        <f ca="1">SUM('Disaggregated Balance'!AT30:BD30)</f>
        <v>0</v>
      </c>
      <c r="M22" s="2219">
        <f>'Disaggregated Balance'!BM30</f>
        <v>0</v>
      </c>
      <c r="N22" s="2219">
        <f>'Disaggregated Balance'!BN30</f>
        <v>0</v>
      </c>
      <c r="O22" s="2219">
        <f>'Disaggregated Balance'!BO30</f>
        <v>0</v>
      </c>
      <c r="P22" s="2220">
        <f t="shared" ca="1" si="2"/>
        <v>-185458.15918484726</v>
      </c>
    </row>
    <row r="23" spans="1:16" x14ac:dyDescent="0.2">
      <c r="A23" s="1046" t="str">
        <f>HLOOKUP(LangChoice,Definitions_ProdLang!$M$2:$P$30,10)</f>
        <v>Coal transformation</v>
      </c>
      <c r="B23" s="2219">
        <f ca="1">SUM('Disaggregated Balance'!E24:R25,'Disaggregated Balance'!E27:R27,'Disaggregated Balance'!E29:R29,)</f>
        <v>-26651.933306999996</v>
      </c>
      <c r="C23" s="2219">
        <f ca="1">SUM('Disaggregated Balance'!T24:U25,'Disaggregated Balance'!T27:U27,'Disaggregated Balance'!T29:U29)</f>
        <v>0</v>
      </c>
      <c r="D23" s="2219">
        <f ca="1">SUM('Disaggregated Balance'!V24:V25,'Disaggregated Balance'!V27,'Disaggregated Balance'!V29)</f>
        <v>0</v>
      </c>
      <c r="E23" s="2219">
        <f ca="1">SUM('Disaggregated Balance'!W24:AA25,'Disaggregated Balance'!W27:AA27,'Disaggregated Balance'!W29:AA29)</f>
        <v>0</v>
      </c>
      <c r="F23" s="2219">
        <f ca="1">SUM('Disaggregated Balance'!AB24:AR25,'Disaggregated Balance'!AB27:AR27,'Disaggregated Balance'!AB29:AR29)</f>
        <v>0</v>
      </c>
      <c r="G23" s="2219">
        <f ca="1">SUM('Disaggregated Balance'!AS24:AS25,'Disaggregated Balance'!AS27,'Disaggregated Balance'!AS29)</f>
        <v>0</v>
      </c>
      <c r="H23" s="2219">
        <f>SUM('Disaggregated Balance'!BE24:BE25,'Disaggregated Balance'!BE27,'Disaggregated Balance'!BE29)</f>
        <v>0</v>
      </c>
      <c r="I23" s="2219">
        <f>SUM('Disaggregated Balance'!BF24:BF25,'Disaggregated Balance'!BF27,'Disaggregated Balance'!BF29)</f>
        <v>0</v>
      </c>
      <c r="J23" s="2219">
        <f>SUM('Disaggregated Balance'!BG24:BG25,'Disaggregated Balance'!BG27,'Disaggregated Balance'!BG29)</f>
        <v>0</v>
      </c>
      <c r="K23" s="2219">
        <f>SUM('Disaggregated Balance'!BH24:BL25,'Disaggregated Balance'!BH27:BL27,'Disaggregated Balance'!BH29:BL29)</f>
        <v>0</v>
      </c>
      <c r="L23" s="2219">
        <f ca="1">SUM('Disaggregated Balance'!AT24:BD25,'Disaggregated Balance'!AT27:BD27,'Disaggregated Balance'!AT29:BD29)</f>
        <v>0</v>
      </c>
      <c r="M23" s="2219">
        <f>SUM('Disaggregated Balance'!BM24:BM25,'Disaggregated Balance'!BM27,'Disaggregated Balance'!BM29)</f>
        <v>0</v>
      </c>
      <c r="N23" s="2219">
        <f>SUM('Disaggregated Balance'!BN24:BN25,'Disaggregated Balance'!BN27,'Disaggregated Balance'!BN29)</f>
        <v>0</v>
      </c>
      <c r="O23" s="2219">
        <f>SUM('Disaggregated Balance'!BO24:BO25,'Disaggregated Balance'!BO27,'Disaggregated Balance'!BO29)</f>
        <v>0</v>
      </c>
      <c r="P23" s="2220">
        <f t="shared" ca="1" si="2"/>
        <v>-26651.933306999996</v>
      </c>
    </row>
    <row r="24" spans="1:16" x14ac:dyDescent="0.2">
      <c r="A24" s="1046" t="str">
        <f>HLOOKUP(LangChoice,Definitions_ProdLang!$M$2:$P$30,11)</f>
        <v>Liquefaction plants</v>
      </c>
      <c r="B24" s="2219">
        <f ca="1">SUM('Disaggregated Balance'!E31:R32)</f>
        <v>-4926.5172000000002</v>
      </c>
      <c r="C24" s="2219">
        <f ca="1">SUM('Disaggregated Balance'!T31:U32)</f>
        <v>0</v>
      </c>
      <c r="D24" s="2219">
        <f ca="1">SUM('Disaggregated Balance'!V31:V32)</f>
        <v>0</v>
      </c>
      <c r="E24" s="2219">
        <f ca="1">SUM('Disaggregated Balance'!W31:AA32)</f>
        <v>203607.73240000001</v>
      </c>
      <c r="F24" s="2219">
        <f ca="1">SUM('Disaggregated Balance'!AB31:AR32)</f>
        <v>0</v>
      </c>
      <c r="G24" s="2219">
        <f ca="1">SUM('Disaggregated Balance'!AS31:AS32)</f>
        <v>-52231.303124999999</v>
      </c>
      <c r="H24" s="2219">
        <f>SUM('Disaggregated Balance'!BE31:BE32)</f>
        <v>0</v>
      </c>
      <c r="I24" s="2219">
        <f>SUM('Disaggregated Balance'!BF31:BF32)</f>
        <v>0</v>
      </c>
      <c r="J24" s="2219">
        <f>SUM('Disaggregated Balance'!BG31:BG32)</f>
        <v>0</v>
      </c>
      <c r="K24" s="2219">
        <f>SUM('Disaggregated Balance'!BH31:BL32)</f>
        <v>0</v>
      </c>
      <c r="L24" s="2219">
        <f ca="1">SUM('Disaggregated Balance'!AT31:BD32)</f>
        <v>0</v>
      </c>
      <c r="M24" s="2219">
        <f>SUM('Disaggregated Balance'!BM31:BM32)</f>
        <v>0</v>
      </c>
      <c r="N24" s="2219">
        <f>SUM('Disaggregated Balance'!BN31:BN32)</f>
        <v>0</v>
      </c>
      <c r="O24" s="2219">
        <f>SUM('Disaggregated Balance'!BO31:BO32)</f>
        <v>0</v>
      </c>
      <c r="P24" s="2220">
        <f t="shared" ca="1" si="2"/>
        <v>146449.912075</v>
      </c>
    </row>
    <row r="25" spans="1:16" x14ac:dyDescent="0.2">
      <c r="A25" s="1045" t="str">
        <f>TNONSPEC</f>
        <v>Non-specified (transformation)</v>
      </c>
      <c r="B25" s="2219">
        <f ca="1">SUM('Disaggregated Balance'!E28:R28,'Disaggregated Balance'!E34:R35)</f>
        <v>0</v>
      </c>
      <c r="C25" s="2219">
        <f ca="1">SUM('Disaggregated Balance'!T28:U28,'Disaggregated Balance'!T34:U35)</f>
        <v>0</v>
      </c>
      <c r="D25" s="2219">
        <f ca="1">SUM('Disaggregated Balance'!V28,'Disaggregated Balance'!V34:V35)</f>
        <v>0</v>
      </c>
      <c r="E25" s="2219">
        <f ca="1">SUM('Disaggregated Balance'!W28:AA28,'Disaggregated Balance'!W34:AA35)</f>
        <v>0</v>
      </c>
      <c r="F25" s="2219">
        <f ca="1">SUM('Disaggregated Balance'!AB28:AR28,'Disaggregated Balance'!AB34:AR35)</f>
        <v>0</v>
      </c>
      <c r="G25" s="2219">
        <f ca="1">SUM('Disaggregated Balance'!AS28,'Disaggregated Balance'!AS34:AS35)</f>
        <v>0</v>
      </c>
      <c r="H25" s="2219">
        <f>SUM('Disaggregated Balance'!BE28,'Disaggregated Balance'!BE34:BE35)</f>
        <v>0</v>
      </c>
      <c r="I25" s="2219">
        <f>SUM('Disaggregated Balance'!BF28,'Disaggregated Balance'!BF34:BF35)</f>
        <v>0</v>
      </c>
      <c r="J25" s="2219">
        <f>SUM('Disaggregated Balance'!BG28,'Disaggregated Balance'!BG34:BG35)</f>
        <v>0</v>
      </c>
      <c r="K25" s="2219">
        <f>SUM('Disaggregated Balance'!BH28:BL28,'Disaggregated Balance'!BH34:BL35)</f>
        <v>0</v>
      </c>
      <c r="L25" s="2219">
        <f ca="1">SUM('Disaggregated Balance'!AT28:BD28,'Disaggregated Balance'!AT34:BD35)</f>
        <v>-221501.67</v>
      </c>
      <c r="M25" s="2219">
        <f>SUM('Disaggregated Balance'!BM28,'Disaggregated Balance'!BM34:BM35)</f>
        <v>0</v>
      </c>
      <c r="N25" s="2219">
        <f>SUM('Disaggregated Balance'!BN28,'Disaggregated Balance'!BN34:BN35)</f>
        <v>0</v>
      </c>
      <c r="O25" s="2219">
        <f>SUM('Disaggregated Balance'!BO28,'Disaggregated Balance'!BO34:BO35)</f>
        <v>0</v>
      </c>
      <c r="P25" s="2220">
        <f t="shared" ca="1" si="2"/>
        <v>-221501.67</v>
      </c>
    </row>
    <row r="26" spans="1:16" x14ac:dyDescent="0.2">
      <c r="A26" s="1045" t="str">
        <f>TOTENGY</f>
        <v>Energy industry own use</v>
      </c>
      <c r="B26" s="2219">
        <f ca="1">SUM('Disaggregated Balance'!E37:R53)</f>
        <v>-7406.7857999999997</v>
      </c>
      <c r="C26" s="2219">
        <f ca="1">SUM('Disaggregated Balance'!T37:U53)</f>
        <v>0</v>
      </c>
      <c r="D26" s="2219">
        <f ca="1">SUM('Disaggregated Balance'!V37:V53)</f>
        <v>0</v>
      </c>
      <c r="E26" s="2219">
        <f ca="1">SUM('Disaggregated Balance'!W37:AA53)</f>
        <v>0</v>
      </c>
      <c r="F26" s="2219">
        <f ca="1">SUM('Disaggregated Balance'!AB37:AR53)</f>
        <v>0</v>
      </c>
      <c r="G26" s="2219">
        <f ca="1">SUM('Disaggregated Balance'!AS37:AS53)</f>
        <v>-13881.58681640625</v>
      </c>
      <c r="H26" s="2219">
        <f>SUM('Disaggregated Balance'!BE37:BE53)</f>
        <v>0</v>
      </c>
      <c r="I26" s="2219">
        <f>SUM('Disaggregated Balance'!BF37:BF53)</f>
        <v>0</v>
      </c>
      <c r="J26" s="2219">
        <f>SUM('Disaggregated Balance'!BG37:BG53)</f>
        <v>0</v>
      </c>
      <c r="K26" s="2219">
        <f>SUM('Disaggregated Balance'!BH37:BL53)</f>
        <v>0</v>
      </c>
      <c r="L26" s="2219">
        <f ca="1">SUM('Disaggregated Balance'!AT37:BD53)</f>
        <v>0</v>
      </c>
      <c r="M26" s="2219">
        <f>SUM('Disaggregated Balance'!BM37:BM53)</f>
        <v>1123.4303999999975</v>
      </c>
      <c r="N26" s="2219">
        <f>SUM('Disaggregated Balance'!BN37:BN53)</f>
        <v>0</v>
      </c>
      <c r="O26" s="2219">
        <f>SUM('Disaggregated Balance'!BO37:BO53)</f>
        <v>0</v>
      </c>
      <c r="P26" s="2220">
        <f t="shared" ca="1" si="2"/>
        <v>-20164.942216406253</v>
      </c>
    </row>
    <row r="27" spans="1:16" x14ac:dyDescent="0.2">
      <c r="A27" s="1045" t="str">
        <f>DISTLOSS</f>
        <v>Losses</v>
      </c>
      <c r="B27" s="2219">
        <f ca="1">SUM('Disaggregated Balance'!E54:R54)</f>
        <v>0</v>
      </c>
      <c r="C27" s="2219">
        <f ca="1">SUM('Disaggregated Balance'!T54:U54)</f>
        <v>0</v>
      </c>
      <c r="D27" s="2219">
        <f ca="1">'Disaggregated Balance'!V54</f>
        <v>0</v>
      </c>
      <c r="E27" s="2219">
        <f ca="1">SUM('Disaggregated Balance'!W54:AA54)</f>
        <v>0</v>
      </c>
      <c r="F27" s="2219">
        <f ca="1">SUM('Disaggregated Balance'!AB54:AR54)</f>
        <v>0</v>
      </c>
      <c r="G27" s="2219">
        <f ca="1">SUM('Disaggregated Balance'!AS54)</f>
        <v>0</v>
      </c>
      <c r="H27" s="2219">
        <f>'Disaggregated Balance'!BE54</f>
        <v>0</v>
      </c>
      <c r="I27" s="2219">
        <f>'Disaggregated Balance'!BF54</f>
        <v>0</v>
      </c>
      <c r="J27" s="2219">
        <f>'Disaggregated Balance'!BG54</f>
        <v>0</v>
      </c>
      <c r="K27" s="2219">
        <f>SUM('Disaggregated Balance'!BH54:BL54)</f>
        <v>0</v>
      </c>
      <c r="L27" s="2219">
        <f ca="1">SUM('Disaggregated Balance'!AT54:BD54)</f>
        <v>0</v>
      </c>
      <c r="M27" s="2219">
        <f>'Disaggregated Balance'!BM54</f>
        <v>-27669.600000000002</v>
      </c>
      <c r="N27" s="2219">
        <f>'Disaggregated Balance'!BN54</f>
        <v>0</v>
      </c>
      <c r="O27" s="2219">
        <f>'Disaggregated Balance'!BO54</f>
        <v>0</v>
      </c>
      <c r="P27" s="2220">
        <f t="shared" ca="1" si="2"/>
        <v>-27669.600000000002</v>
      </c>
    </row>
    <row r="28" spans="1:16" x14ac:dyDescent="0.2">
      <c r="A28" s="553" t="str">
        <f>FINCONS</f>
        <v>Final consumption</v>
      </c>
      <c r="B28" s="2221">
        <f t="shared" ref="B28:P28" ca="1" si="4">SUM(B29,B43,B50,B56)</f>
        <v>568303.44735800009</v>
      </c>
      <c r="C28" s="2221">
        <f t="shared" ca="1" si="4"/>
        <v>0</v>
      </c>
      <c r="D28" s="2221">
        <f ca="1">SUM(D29,D43,D50,D56)</f>
        <v>0</v>
      </c>
      <c r="E28" s="2221">
        <f t="shared" ca="1" si="4"/>
        <v>0</v>
      </c>
      <c r="F28" s="2221">
        <f t="shared" ca="1" si="4"/>
        <v>896290.86337471986</v>
      </c>
      <c r="G28" s="2221">
        <f t="shared" ca="1" si="4"/>
        <v>70891.136114501962</v>
      </c>
      <c r="H28" s="2221">
        <f t="shared" si="4"/>
        <v>0</v>
      </c>
      <c r="I28" s="2221">
        <f t="shared" si="4"/>
        <v>0</v>
      </c>
      <c r="J28" s="2221">
        <f t="shared" si="4"/>
        <v>0</v>
      </c>
      <c r="K28" s="2221">
        <f t="shared" si="4"/>
        <v>0</v>
      </c>
      <c r="L28" s="2221">
        <f t="shared" ca="1" si="4"/>
        <v>425422.29000000004</v>
      </c>
      <c r="M28" s="2221">
        <f t="shared" si="4"/>
        <v>716484.8844000001</v>
      </c>
      <c r="N28" s="2221">
        <f t="shared" si="4"/>
        <v>0</v>
      </c>
      <c r="O28" s="2221">
        <f t="shared" si="4"/>
        <v>0</v>
      </c>
      <c r="P28" s="2222">
        <f t="shared" ca="1" si="4"/>
        <v>2677392.6212472217</v>
      </c>
    </row>
    <row r="29" spans="1:16" x14ac:dyDescent="0.2">
      <c r="A29" s="876" t="str">
        <f>TOTIND</f>
        <v>Industry</v>
      </c>
      <c r="B29" s="2221">
        <f ca="1">SUM(B30:B42)</f>
        <v>530349.58198600006</v>
      </c>
      <c r="C29" s="2221">
        <f ca="1">SUM(C30:C42)</f>
        <v>0</v>
      </c>
      <c r="D29" s="2221">
        <f ca="1">SUM(D30:D42)</f>
        <v>0</v>
      </c>
      <c r="E29" s="2221">
        <f t="shared" ref="E29:N29" ca="1" si="5">SUM(E30:E42)</f>
        <v>0</v>
      </c>
      <c r="F29" s="2221">
        <f t="shared" ca="1" si="5"/>
        <v>74681.106849156553</v>
      </c>
      <c r="G29" s="2221">
        <f t="shared" ca="1" si="5"/>
        <v>69571.799121093762</v>
      </c>
      <c r="H29" s="2221">
        <f t="shared" si="5"/>
        <v>0</v>
      </c>
      <c r="I29" s="2221">
        <f>SUM(I30:I42)</f>
        <v>0</v>
      </c>
      <c r="J29" s="2221">
        <f>SUM(J30:J42)</f>
        <v>0</v>
      </c>
      <c r="K29" s="2221">
        <f>SUM(K30:K42)</f>
        <v>0</v>
      </c>
      <c r="L29" s="2221">
        <f t="shared" ca="1" si="5"/>
        <v>81176.2</v>
      </c>
      <c r="M29" s="2221">
        <f t="shared" si="5"/>
        <v>372905.17920000001</v>
      </c>
      <c r="N29" s="2221">
        <f t="shared" si="5"/>
        <v>0</v>
      </c>
      <c r="O29" s="2221">
        <f>SUM(O30:O42)</f>
        <v>0</v>
      </c>
      <c r="P29" s="2222">
        <f ca="1">SUM(P30:P42)</f>
        <v>1128683.8671562504</v>
      </c>
    </row>
    <row r="30" spans="1:16" x14ac:dyDescent="0.2">
      <c r="A30" s="1047" t="str">
        <f>IRONSTL</f>
        <v>Iron and steel</v>
      </c>
      <c r="B30" s="2219">
        <f ca="1">SUM('Disaggregated Balance'!E57:R57)</f>
        <v>109100.78983800001</v>
      </c>
      <c r="C30" s="2219">
        <f ca="1">SUM('Disaggregated Balance'!T57:U57)</f>
        <v>0</v>
      </c>
      <c r="D30" s="2219">
        <f ca="1">'Disaggregated Balance'!V57</f>
        <v>0</v>
      </c>
      <c r="E30" s="2219">
        <f ca="1">SUM('Disaggregated Balance'!W57:AA57)</f>
        <v>0</v>
      </c>
      <c r="F30" s="2219">
        <f ca="1">SUM('Disaggregated Balance'!AB57:AR57)</f>
        <v>573.57222238803092</v>
      </c>
      <c r="G30" s="2219">
        <f ca="1">SUM('Disaggregated Balance'!AS57)</f>
        <v>9000.9</v>
      </c>
      <c r="H30" s="2219">
        <f>'Disaggregated Balance'!BE57</f>
        <v>0</v>
      </c>
      <c r="I30" s="2219">
        <f>'Disaggregated Balance'!BF57</f>
        <v>0</v>
      </c>
      <c r="J30" s="2219">
        <f>'Disaggregated Balance'!BG57</f>
        <v>0</v>
      </c>
      <c r="K30" s="2219">
        <f>SUM('Disaggregated Balance'!BH57:BL57)</f>
        <v>0</v>
      </c>
      <c r="L30" s="2219">
        <f ca="1">SUM('Disaggregated Balance'!AT57:BD57)</f>
        <v>0</v>
      </c>
      <c r="M30" s="2219">
        <f>'Disaggregated Balance'!BM57</f>
        <v>67765.535999999993</v>
      </c>
      <c r="N30" s="2219">
        <f>'Disaggregated Balance'!BN57</f>
        <v>0</v>
      </c>
      <c r="O30" s="2219">
        <f>'Disaggregated Balance'!BO57</f>
        <v>0</v>
      </c>
      <c r="P30" s="2220">
        <f t="shared" ref="P30:P55" ca="1" si="6">SUM(B30:O30)</f>
        <v>186440.79806038801</v>
      </c>
    </row>
    <row r="31" spans="1:16" x14ac:dyDescent="0.2">
      <c r="A31" s="1047" t="str">
        <f>CHEMICAL</f>
        <v>Chemical and petrochemical</v>
      </c>
      <c r="B31" s="2219">
        <f ca="1">SUM('Disaggregated Balance'!E58:R58)</f>
        <v>48649.251940000002</v>
      </c>
      <c r="C31" s="2219">
        <f ca="1">SUM('Disaggregated Balance'!T58:U58)</f>
        <v>0</v>
      </c>
      <c r="D31" s="2219">
        <f ca="1">'Disaggregated Balance'!V58</f>
        <v>0</v>
      </c>
      <c r="E31" s="2219">
        <f ca="1">SUM('Disaggregated Balance'!W58:AA58)</f>
        <v>0</v>
      </c>
      <c r="F31" s="2219">
        <f ca="1">SUM('Disaggregated Balance'!AB58:AR58)</f>
        <v>86.288129159782414</v>
      </c>
      <c r="G31" s="2219">
        <f ca="1">SUM('Disaggregated Balance'!AS58)</f>
        <v>41859</v>
      </c>
      <c r="H31" s="2219">
        <f>'Disaggregated Balance'!BE58</f>
        <v>0</v>
      </c>
      <c r="I31" s="2219">
        <f>'Disaggregated Balance'!BF58</f>
        <v>0</v>
      </c>
      <c r="J31" s="2219">
        <f>'Disaggregated Balance'!BG58</f>
        <v>0</v>
      </c>
      <c r="K31" s="2219">
        <f>SUM('Disaggregated Balance'!BH58:BL58)</f>
        <v>0</v>
      </c>
      <c r="L31" s="2219">
        <f ca="1">SUM('Disaggregated Balance'!AT58:BD58)</f>
        <v>0</v>
      </c>
      <c r="M31" s="2219">
        <f>'Disaggregated Balance'!BM58</f>
        <v>28702.126800000002</v>
      </c>
      <c r="N31" s="2219">
        <f>'Disaggregated Balance'!BN58</f>
        <v>0</v>
      </c>
      <c r="O31" s="2219">
        <f>'Disaggregated Balance'!BO58</f>
        <v>0</v>
      </c>
      <c r="P31" s="2220">
        <f t="shared" ca="1" si="6"/>
        <v>119296.66686915979</v>
      </c>
    </row>
    <row r="32" spans="1:16" x14ac:dyDescent="0.2">
      <c r="A32" s="1047" t="str">
        <f>NONFERR</f>
        <v>Non-ferrous metals</v>
      </c>
      <c r="B32" s="2219">
        <f ca="1">SUM('Disaggregated Balance'!E59:R59)</f>
        <v>63789.852151999999</v>
      </c>
      <c r="C32" s="2219">
        <f ca="1">SUM('Disaggregated Balance'!T59:U59)</f>
        <v>0</v>
      </c>
      <c r="D32" s="2219">
        <f ca="1">'Disaggregated Balance'!V59</f>
        <v>0</v>
      </c>
      <c r="E32" s="2219">
        <f ca="1">SUM('Disaggregated Balance'!W59:AA59)</f>
        <v>0</v>
      </c>
      <c r="F32" s="2219">
        <f ca="1">SUM('Disaggregated Balance'!AB59:AR59)</f>
        <v>0</v>
      </c>
      <c r="G32" s="2219">
        <f ca="1">SUM('Disaggregated Balance'!AS59)</f>
        <v>347.40000000000003</v>
      </c>
      <c r="H32" s="2219">
        <f>'Disaggregated Balance'!BE59</f>
        <v>0</v>
      </c>
      <c r="I32" s="2219">
        <f>'Disaggregated Balance'!BF59</f>
        <v>0</v>
      </c>
      <c r="J32" s="2219">
        <f>'Disaggregated Balance'!BG59</f>
        <v>0</v>
      </c>
      <c r="K32" s="2219">
        <f>SUM('Disaggregated Balance'!BH59:BL59)</f>
        <v>0</v>
      </c>
      <c r="L32" s="2219">
        <f ca="1">SUM('Disaggregated Balance'!AT59:BD59)</f>
        <v>0</v>
      </c>
      <c r="M32" s="2219">
        <f>'Disaggregated Balance'!BM59</f>
        <v>53784.424800000001</v>
      </c>
      <c r="N32" s="2219">
        <f>'Disaggregated Balance'!BN59</f>
        <v>0</v>
      </c>
      <c r="O32" s="2219">
        <f>'Disaggregated Balance'!BO59</f>
        <v>0</v>
      </c>
      <c r="P32" s="2220">
        <f t="shared" ca="1" si="6"/>
        <v>117921.67695200001</v>
      </c>
    </row>
    <row r="33" spans="1:16" x14ac:dyDescent="0.2">
      <c r="A33" s="1047" t="str">
        <f>NONMET</f>
        <v>Non-metallic minerals</v>
      </c>
      <c r="B33" s="2219">
        <f ca="1">SUM('Disaggregated Balance'!E60:R60)</f>
        <v>29464.014184</v>
      </c>
      <c r="C33" s="2219">
        <f ca="1">SUM('Disaggregated Balance'!T60:U60)</f>
        <v>0</v>
      </c>
      <c r="D33" s="2219">
        <f ca="1">'Disaggregated Balance'!V60</f>
        <v>0</v>
      </c>
      <c r="E33" s="2219">
        <f ca="1">SUM('Disaggregated Balance'!W60:AA60)</f>
        <v>0</v>
      </c>
      <c r="F33" s="2219">
        <f ca="1">SUM('Disaggregated Balance'!AB60:AR60)</f>
        <v>380.34262711914062</v>
      </c>
      <c r="G33" s="2219">
        <f ca="1">SUM('Disaggregated Balance'!AS60)</f>
        <v>11222.99912109375</v>
      </c>
      <c r="H33" s="2219">
        <f>'Disaggregated Balance'!BE60</f>
        <v>0</v>
      </c>
      <c r="I33" s="2219">
        <f>'Disaggregated Balance'!BF60</f>
        <v>0</v>
      </c>
      <c r="J33" s="2219">
        <f>'Disaggregated Balance'!BG60</f>
        <v>0</v>
      </c>
      <c r="K33" s="2219">
        <f>SUM('Disaggregated Balance'!BH60:BL60)</f>
        <v>0</v>
      </c>
      <c r="L33" s="2219">
        <f ca="1">SUM('Disaggregated Balance'!AT60:BD60)</f>
        <v>0</v>
      </c>
      <c r="M33" s="2219">
        <f>'Disaggregated Balance'!BM60</f>
        <v>7549.866</v>
      </c>
      <c r="N33" s="2219">
        <f>'Disaggregated Balance'!BN60</f>
        <v>0</v>
      </c>
      <c r="O33" s="2219">
        <f>'Disaggregated Balance'!BO60</f>
        <v>0</v>
      </c>
      <c r="P33" s="2220">
        <f t="shared" ca="1" si="6"/>
        <v>48617.221932212895</v>
      </c>
    </row>
    <row r="34" spans="1:16" x14ac:dyDescent="0.2">
      <c r="A34" s="1047" t="str">
        <f>TRANSEQ</f>
        <v>Transport equipment</v>
      </c>
      <c r="B34" s="2219">
        <f ca="1">SUM('Disaggregated Balance'!E61:R61)</f>
        <v>0</v>
      </c>
      <c r="C34" s="2219">
        <f ca="1">SUM('Disaggregated Balance'!T61:U61)</f>
        <v>0</v>
      </c>
      <c r="D34" s="2219">
        <f ca="1">'Disaggregated Balance'!V61</f>
        <v>0</v>
      </c>
      <c r="E34" s="2219">
        <f ca="1">SUM('Disaggregated Balance'!W61:AA61)</f>
        <v>0</v>
      </c>
      <c r="F34" s="2219">
        <f ca="1">SUM('Disaggregated Balance'!AB61:AR61)</f>
        <v>213.2483541657715</v>
      </c>
      <c r="G34" s="2219">
        <f ca="1">SUM('Disaggregated Balance'!AS61)</f>
        <v>460.8</v>
      </c>
      <c r="H34" s="2219">
        <f>'Disaggregated Balance'!BE61</f>
        <v>0</v>
      </c>
      <c r="I34" s="2219">
        <f>'Disaggregated Balance'!BF61</f>
        <v>0</v>
      </c>
      <c r="J34" s="2219">
        <f>'Disaggregated Balance'!BG61</f>
        <v>0</v>
      </c>
      <c r="K34" s="2219">
        <f>SUM('Disaggregated Balance'!BH61:BL61)</f>
        <v>0</v>
      </c>
      <c r="L34" s="2219">
        <f ca="1">SUM('Disaggregated Balance'!AT61:BD61)</f>
        <v>0</v>
      </c>
      <c r="M34" s="2219">
        <f>'Disaggregated Balance'!BM61</f>
        <v>200.7792</v>
      </c>
      <c r="N34" s="2219">
        <f>'Disaggregated Balance'!BN61</f>
        <v>0</v>
      </c>
      <c r="O34" s="2219">
        <f>'Disaggregated Balance'!BO61</f>
        <v>0</v>
      </c>
      <c r="P34" s="2220">
        <f t="shared" ca="1" si="6"/>
        <v>874.82755416577152</v>
      </c>
    </row>
    <row r="35" spans="1:16" x14ac:dyDescent="0.2">
      <c r="A35" s="1047" t="str">
        <f>MACHINE</f>
        <v>Machinery</v>
      </c>
      <c r="B35" s="2219">
        <f ca="1">SUM('Disaggregated Balance'!E62:R62)</f>
        <v>95.4</v>
      </c>
      <c r="C35" s="2219">
        <f ca="1">SUM('Disaggregated Balance'!T62:U62)</f>
        <v>0</v>
      </c>
      <c r="D35" s="2219">
        <f ca="1">'Disaggregated Balance'!V62</f>
        <v>0</v>
      </c>
      <c r="E35" s="2219">
        <f ca="1">SUM('Disaggregated Balance'!W62:AA62)</f>
        <v>0</v>
      </c>
      <c r="F35" s="2219">
        <f ca="1">SUM('Disaggregated Balance'!AB62:AR62)</f>
        <v>361.09599042236329</v>
      </c>
      <c r="G35" s="2219">
        <f ca="1">SUM('Disaggregated Balance'!AS62)</f>
        <v>747.9</v>
      </c>
      <c r="H35" s="2219">
        <f>'Disaggregated Balance'!BE62</f>
        <v>0</v>
      </c>
      <c r="I35" s="2219">
        <f>'Disaggregated Balance'!BF62</f>
        <v>0</v>
      </c>
      <c r="J35" s="2219">
        <f>'Disaggregated Balance'!BG62</f>
        <v>0</v>
      </c>
      <c r="K35" s="2219">
        <f>SUM('Disaggregated Balance'!BH62:BL62)</f>
        <v>0</v>
      </c>
      <c r="L35" s="2219">
        <f ca="1">SUM('Disaggregated Balance'!AT62:BD62)</f>
        <v>0</v>
      </c>
      <c r="M35" s="2219">
        <f>'Disaggregated Balance'!BM62</f>
        <v>238.52160000000001</v>
      </c>
      <c r="N35" s="2219">
        <f>'Disaggregated Balance'!BN62</f>
        <v>0</v>
      </c>
      <c r="O35" s="2219">
        <f>'Disaggregated Balance'!BO62</f>
        <v>0</v>
      </c>
      <c r="P35" s="2220">
        <f t="shared" ca="1" si="6"/>
        <v>1442.9175904223634</v>
      </c>
    </row>
    <row r="36" spans="1:16" x14ac:dyDescent="0.2">
      <c r="A36" s="1047" t="str">
        <f>MINING</f>
        <v>Mining and quarrying</v>
      </c>
      <c r="B36" s="2219">
        <f ca="1">SUM('Disaggregated Balance'!E63:R63)</f>
        <v>11199.879651999998</v>
      </c>
      <c r="C36" s="2219">
        <f ca="1">SUM('Disaggregated Balance'!T63:U63)</f>
        <v>0</v>
      </c>
      <c r="D36" s="2219">
        <f ca="1">'Disaggregated Balance'!V63</f>
        <v>0</v>
      </c>
      <c r="E36" s="2219">
        <f ca="1">SUM('Disaggregated Balance'!W63:AA63)</f>
        <v>0</v>
      </c>
      <c r="F36" s="2219">
        <f ca="1">SUM('Disaggregated Balance'!AB63:AR63)</f>
        <v>61139.098060204429</v>
      </c>
      <c r="G36" s="2219">
        <f ca="1">SUM('Disaggregated Balance'!AS63)</f>
        <v>0</v>
      </c>
      <c r="H36" s="2219">
        <f>'Disaggregated Balance'!BE63</f>
        <v>0</v>
      </c>
      <c r="I36" s="2219">
        <f>'Disaggregated Balance'!BF63</f>
        <v>0</v>
      </c>
      <c r="J36" s="2219">
        <f>'Disaggregated Balance'!BG63</f>
        <v>0</v>
      </c>
      <c r="K36" s="2219">
        <f>SUM('Disaggregated Balance'!BH63:BL63)</f>
        <v>0</v>
      </c>
      <c r="L36" s="2219">
        <f ca="1">SUM('Disaggregated Balance'!AT63:BD63)</f>
        <v>0</v>
      </c>
      <c r="M36" s="2219">
        <f>'Disaggregated Balance'!BM63</f>
        <v>103375.18800000001</v>
      </c>
      <c r="N36" s="2219">
        <f>'Disaggregated Balance'!BN63</f>
        <v>0</v>
      </c>
      <c r="O36" s="2219">
        <f>'Disaggregated Balance'!BO63</f>
        <v>0</v>
      </c>
      <c r="P36" s="2220">
        <f t="shared" ca="1" si="6"/>
        <v>175714.16571220444</v>
      </c>
    </row>
    <row r="37" spans="1:16" x14ac:dyDescent="0.2">
      <c r="A37" s="1047" t="str">
        <f>FOODPRO</f>
        <v>Food, beverages and tobacco</v>
      </c>
      <c r="B37" s="2219">
        <f ca="1">SUM('Disaggregated Balance'!E64:R64)</f>
        <v>932.4</v>
      </c>
      <c r="C37" s="2219">
        <f ca="1">SUM('Disaggregated Balance'!T64:U64)</f>
        <v>0</v>
      </c>
      <c r="D37" s="2219">
        <f ca="1">'Disaggregated Balance'!V64</f>
        <v>0</v>
      </c>
      <c r="E37" s="2219">
        <f ca="1">SUM('Disaggregated Balance'!W64:AA64)</f>
        <v>0</v>
      </c>
      <c r="F37" s="2219">
        <f ca="1">SUM('Disaggregated Balance'!AB64:AR64)</f>
        <v>2761.5806781868896</v>
      </c>
      <c r="G37" s="2219">
        <f ca="1">SUM('Disaggregated Balance'!AS64)</f>
        <v>2640.6</v>
      </c>
      <c r="H37" s="2219">
        <f>'Disaggregated Balance'!BE64</f>
        <v>0</v>
      </c>
      <c r="I37" s="2219">
        <f>'Disaggregated Balance'!BF64</f>
        <v>0</v>
      </c>
      <c r="J37" s="2219">
        <f>'Disaggregated Balance'!BG64</f>
        <v>0</v>
      </c>
      <c r="K37" s="2219">
        <f>SUM('Disaggregated Balance'!BH64:BL64)</f>
        <v>0</v>
      </c>
      <c r="L37" s="2219">
        <f ca="1">SUM('Disaggregated Balance'!AT64:BD64)</f>
        <v>0</v>
      </c>
      <c r="M37" s="2219">
        <f>'Disaggregated Balance'!BM64</f>
        <v>2569.1543999999999</v>
      </c>
      <c r="N37" s="2219">
        <f>'Disaggregated Balance'!BN64</f>
        <v>0</v>
      </c>
      <c r="O37" s="2219">
        <f>'Disaggregated Balance'!BO64</f>
        <v>0</v>
      </c>
      <c r="P37" s="2220">
        <f t="shared" ca="1" si="6"/>
        <v>8903.73507818689</v>
      </c>
    </row>
    <row r="38" spans="1:16" x14ac:dyDescent="0.2">
      <c r="A38" s="1047" t="str">
        <f>PAPERPRO</f>
        <v>Paper, pulp and print</v>
      </c>
      <c r="B38" s="2219">
        <f ca="1">SUM('Disaggregated Balance'!E65:R65)</f>
        <v>3549.6</v>
      </c>
      <c r="C38" s="2219">
        <f ca="1">SUM('Disaggregated Balance'!T65:U65)</f>
        <v>0</v>
      </c>
      <c r="D38" s="2219">
        <f ca="1">'Disaggregated Balance'!V65</f>
        <v>0</v>
      </c>
      <c r="E38" s="2219">
        <f ca="1">SUM('Disaggregated Balance'!W65:AA65)</f>
        <v>0</v>
      </c>
      <c r="F38" s="2219">
        <f ca="1">SUM('Disaggregated Balance'!AB65:AR65)</f>
        <v>194.17335494716264</v>
      </c>
      <c r="G38" s="2219">
        <f ca="1">SUM('Disaggregated Balance'!AS65)</f>
        <v>748.80000000000007</v>
      </c>
      <c r="H38" s="2219">
        <f>'Disaggregated Balance'!BE65</f>
        <v>0</v>
      </c>
      <c r="I38" s="2219">
        <f>'Disaggregated Balance'!BF65</f>
        <v>0</v>
      </c>
      <c r="J38" s="2219">
        <f>'Disaggregated Balance'!BG65</f>
        <v>0</v>
      </c>
      <c r="K38" s="2219">
        <f>SUM('Disaggregated Balance'!BH65:BL65)</f>
        <v>0</v>
      </c>
      <c r="L38" s="2219">
        <f ca="1">SUM('Disaggregated Balance'!AT65:BD65)</f>
        <v>0</v>
      </c>
      <c r="M38" s="2219">
        <f>'Disaggregated Balance'!BM65</f>
        <v>4285.6596</v>
      </c>
      <c r="N38" s="2219">
        <f>'Disaggregated Balance'!BN65</f>
        <v>0</v>
      </c>
      <c r="O38" s="2219">
        <f>'Disaggregated Balance'!BO65</f>
        <v>0</v>
      </c>
      <c r="P38" s="2220">
        <f t="shared" ca="1" si="6"/>
        <v>8778.2329549471615</v>
      </c>
    </row>
    <row r="39" spans="1:16" x14ac:dyDescent="0.2">
      <c r="A39" s="1047" t="str">
        <f>WOODPRO</f>
        <v>Wood and wood products</v>
      </c>
      <c r="B39" s="2219">
        <f ca="1">SUM('Disaggregated Balance'!E66:R66)</f>
        <v>0</v>
      </c>
      <c r="C39" s="2219">
        <f ca="1">SUM('Disaggregated Balance'!T66:U66)</f>
        <v>0</v>
      </c>
      <c r="D39" s="2219">
        <f ca="1">'Disaggregated Balance'!V66</f>
        <v>0</v>
      </c>
      <c r="E39" s="2219">
        <f ca="1">SUM('Disaggregated Balance'!W66:AA66)</f>
        <v>0</v>
      </c>
      <c r="F39" s="2219">
        <f ca="1">SUM('Disaggregated Balance'!AB66:AR66)</f>
        <v>383.51447780856756</v>
      </c>
      <c r="G39" s="2219">
        <f ca="1">SUM('Disaggregated Balance'!AS66)</f>
        <v>0</v>
      </c>
      <c r="H39" s="2219">
        <f>'Disaggregated Balance'!BE66</f>
        <v>0</v>
      </c>
      <c r="I39" s="2219">
        <f>'Disaggregated Balance'!BF66</f>
        <v>0</v>
      </c>
      <c r="J39" s="2219">
        <f>'Disaggregated Balance'!BG66</f>
        <v>0</v>
      </c>
      <c r="K39" s="2219">
        <f>SUM('Disaggregated Balance'!BH66:BL66)</f>
        <v>0</v>
      </c>
      <c r="L39" s="2219">
        <f ca="1">SUM('Disaggregated Balance'!AT66:BD66)</f>
        <v>0</v>
      </c>
      <c r="M39" s="2219">
        <f>'Disaggregated Balance'!BM66</f>
        <v>1143.0324000000001</v>
      </c>
      <c r="N39" s="2219">
        <f>'Disaggregated Balance'!BN66</f>
        <v>0</v>
      </c>
      <c r="O39" s="2219">
        <f>'Disaggregated Balance'!BO66</f>
        <v>0</v>
      </c>
      <c r="P39" s="2220">
        <f t="shared" ca="1" si="6"/>
        <v>1526.5468778085676</v>
      </c>
    </row>
    <row r="40" spans="1:16" x14ac:dyDescent="0.2">
      <c r="A40" s="1047" t="str">
        <f>CONSTRUC</f>
        <v>Construction</v>
      </c>
      <c r="B40" s="2219">
        <f ca="1">SUM('Disaggregated Balance'!E67:R67)</f>
        <v>0</v>
      </c>
      <c r="C40" s="2219">
        <f ca="1">SUM('Disaggregated Balance'!T67:U67)</f>
        <v>0</v>
      </c>
      <c r="D40" s="2219">
        <f ca="1">'Disaggregated Balance'!V67</f>
        <v>0</v>
      </c>
      <c r="E40" s="2219">
        <f ca="1">SUM('Disaggregated Balance'!W67:AA67)</f>
        <v>0</v>
      </c>
      <c r="F40" s="2219">
        <f ca="1">SUM('Disaggregated Balance'!AB67:AR67)</f>
        <v>133.22895122991943</v>
      </c>
      <c r="G40" s="2219">
        <f ca="1">SUM('Disaggregated Balance'!AS67)</f>
        <v>0</v>
      </c>
      <c r="H40" s="2219">
        <f>'Disaggregated Balance'!BE67</f>
        <v>0</v>
      </c>
      <c r="I40" s="2219">
        <f>'Disaggregated Balance'!BF67</f>
        <v>0</v>
      </c>
      <c r="J40" s="2219">
        <f>'Disaggregated Balance'!BG67</f>
        <v>0</v>
      </c>
      <c r="K40" s="2219">
        <f>SUM('Disaggregated Balance'!BH67:BL67)</f>
        <v>0</v>
      </c>
      <c r="L40" s="2219">
        <f ca="1">SUM('Disaggregated Balance'!AT67:BD67)</f>
        <v>0</v>
      </c>
      <c r="M40" s="2219">
        <f>'Disaggregated Balance'!BM67</f>
        <v>826.27559999999994</v>
      </c>
      <c r="N40" s="2219">
        <f>'Disaggregated Balance'!BN67</f>
        <v>0</v>
      </c>
      <c r="O40" s="2219">
        <f>'Disaggregated Balance'!BO67</f>
        <v>0</v>
      </c>
      <c r="P40" s="2220">
        <f t="shared" ca="1" si="6"/>
        <v>959.50455122991934</v>
      </c>
    </row>
    <row r="41" spans="1:16" x14ac:dyDescent="0.2">
      <c r="A41" s="1047" t="str">
        <f>TEXTILES</f>
        <v>Textiles and leather</v>
      </c>
      <c r="B41" s="2219">
        <f ca="1">SUM('Disaggregated Balance'!E68:R68)</f>
        <v>0</v>
      </c>
      <c r="C41" s="2219">
        <f ca="1">SUM('Disaggregated Balance'!T68:U68)</f>
        <v>0</v>
      </c>
      <c r="D41" s="2219">
        <f ca="1">'Disaggregated Balance'!V68</f>
        <v>0</v>
      </c>
      <c r="E41" s="2219">
        <f ca="1">SUM('Disaggregated Balance'!W68:AA68)</f>
        <v>0</v>
      </c>
      <c r="F41" s="2219">
        <f ca="1">SUM('Disaggregated Balance'!AB68:AR68)</f>
        <v>1671.1296062256774</v>
      </c>
      <c r="G41" s="2219">
        <f ca="1">SUM('Disaggregated Balance'!AS68)</f>
        <v>9</v>
      </c>
      <c r="H41" s="2219">
        <f>'Disaggregated Balance'!BE68</f>
        <v>0</v>
      </c>
      <c r="I41" s="2219">
        <f>'Disaggregated Balance'!BF68</f>
        <v>0</v>
      </c>
      <c r="J41" s="2219">
        <f>'Disaggregated Balance'!BG68</f>
        <v>0</v>
      </c>
      <c r="K41" s="2219">
        <f>SUM('Disaggregated Balance'!BH68:BL68)</f>
        <v>0</v>
      </c>
      <c r="L41" s="2219">
        <f ca="1">SUM('Disaggregated Balance'!AT68:BD68)</f>
        <v>0</v>
      </c>
      <c r="M41" s="2219">
        <f>'Disaggregated Balance'!BM68</f>
        <v>562.58280000000002</v>
      </c>
      <c r="N41" s="2219">
        <f>'Disaggregated Balance'!BN68</f>
        <v>0</v>
      </c>
      <c r="O41" s="2219">
        <f>'Disaggregated Balance'!BO68</f>
        <v>0</v>
      </c>
      <c r="P41" s="2220">
        <f t="shared" ca="1" si="6"/>
        <v>2242.7124062256776</v>
      </c>
    </row>
    <row r="42" spans="1:16" x14ac:dyDescent="0.2">
      <c r="A42" s="1047" t="str">
        <f>INONSPEC</f>
        <v>Non-specified (Industry)</v>
      </c>
      <c r="B42" s="2219">
        <f ca="1">SUM('Disaggregated Balance'!E69:R69)</f>
        <v>263568.39422000002</v>
      </c>
      <c r="C42" s="2219">
        <f ca="1">SUM('Disaggregated Balance'!T69:U69)</f>
        <v>0</v>
      </c>
      <c r="D42" s="2219">
        <f ca="1">'Disaggregated Balance'!V69</f>
        <v>0</v>
      </c>
      <c r="E42" s="2219">
        <f ca="1">SUM('Disaggregated Balance'!W69:AA69)</f>
        <v>0</v>
      </c>
      <c r="F42" s="2219">
        <f ca="1">SUM('Disaggregated Balance'!AB69:AR69)</f>
        <v>6783.8343972988278</v>
      </c>
      <c r="G42" s="2219">
        <f ca="1">SUM('Disaggregated Balance'!AS69)</f>
        <v>2534.4</v>
      </c>
      <c r="H42" s="2219">
        <f>'Disaggregated Balance'!BE69</f>
        <v>0</v>
      </c>
      <c r="I42" s="2219">
        <f>'Disaggregated Balance'!BF69</f>
        <v>0</v>
      </c>
      <c r="J42" s="2219">
        <f>'Disaggregated Balance'!BG69</f>
        <v>0</v>
      </c>
      <c r="K42" s="2219">
        <f>SUM('Disaggregated Balance'!BH69:BL69)</f>
        <v>0</v>
      </c>
      <c r="L42" s="2219">
        <f ca="1">SUM('Disaggregated Balance'!AT69:BD69)</f>
        <v>81176.2</v>
      </c>
      <c r="M42" s="2219">
        <f>'Disaggregated Balance'!BM69</f>
        <v>101902.03199999999</v>
      </c>
      <c r="N42" s="2219">
        <f>'Disaggregated Balance'!BN69</f>
        <v>0</v>
      </c>
      <c r="O42" s="2219">
        <f>'Disaggregated Balance'!BO69</f>
        <v>0</v>
      </c>
      <c r="P42" s="2220">
        <f t="shared" ca="1" si="6"/>
        <v>455964.86061729887</v>
      </c>
    </row>
    <row r="43" spans="1:16" x14ac:dyDescent="0.2">
      <c r="A43" s="876" t="str">
        <f>TOTTRANS</f>
        <v>Transport</v>
      </c>
      <c r="B43" s="2221">
        <f ca="1">SUM(B44:B49)</f>
        <v>0</v>
      </c>
      <c r="C43" s="2221">
        <f ca="1">SUM(C44:C49)</f>
        <v>0</v>
      </c>
      <c r="D43" s="2221">
        <f t="shared" ref="D43:N43" ca="1" si="7">SUM(D44:D49)</f>
        <v>0</v>
      </c>
      <c r="E43" s="2221">
        <f t="shared" ca="1" si="7"/>
        <v>0</v>
      </c>
      <c r="F43" s="2221">
        <f t="shared" ca="1" si="7"/>
        <v>535085.34830595774</v>
      </c>
      <c r="G43" s="2221">
        <f ca="1">SUM(G44:G49)</f>
        <v>0</v>
      </c>
      <c r="H43" s="2221">
        <f t="shared" si="7"/>
        <v>0</v>
      </c>
      <c r="I43" s="2221">
        <f>SUM(I44:I49)</f>
        <v>0</v>
      </c>
      <c r="J43" s="2221">
        <f>SUM(J44:J49)</f>
        <v>0</v>
      </c>
      <c r="K43" s="2221">
        <f>SUM(K44:K49)</f>
        <v>0</v>
      </c>
      <c r="L43" s="2221">
        <f t="shared" ca="1" si="7"/>
        <v>0</v>
      </c>
      <c r="M43" s="2221">
        <f t="shared" si="7"/>
        <v>11526.505200000001</v>
      </c>
      <c r="N43" s="2221">
        <f t="shared" si="7"/>
        <v>0</v>
      </c>
      <c r="O43" s="2221">
        <f>SUM(O44:O49)</f>
        <v>0</v>
      </c>
      <c r="P43" s="2222">
        <f t="shared" ca="1" si="6"/>
        <v>546611.85350595776</v>
      </c>
    </row>
    <row r="44" spans="1:16" x14ac:dyDescent="0.2">
      <c r="A44" s="1047" t="str">
        <f>ROAD</f>
        <v>Road</v>
      </c>
      <c r="B44" s="2219">
        <f ca="1">SUM('Disaggregated Balance'!E71:R71)</f>
        <v>0</v>
      </c>
      <c r="C44" s="2219">
        <f ca="1">SUM('Disaggregated Balance'!T71:U71)</f>
        <v>0</v>
      </c>
      <c r="D44" s="2219">
        <f ca="1">'Disaggregated Balance'!V71</f>
        <v>0</v>
      </c>
      <c r="E44" s="2219">
        <f ca="1">SUM('Disaggregated Balance'!W71:AA71)</f>
        <v>0</v>
      </c>
      <c r="F44" s="2219">
        <f ca="1">SUM('Disaggregated Balance'!AB71:AR71)</f>
        <v>465010.64517630468</v>
      </c>
      <c r="G44" s="2219">
        <f ca="1">SUM('Disaggregated Balance'!AS71)</f>
        <v>0</v>
      </c>
      <c r="H44" s="2219">
        <f>'Disaggregated Balance'!BE71</f>
        <v>0</v>
      </c>
      <c r="I44" s="2219">
        <f>'Disaggregated Balance'!BF71</f>
        <v>0</v>
      </c>
      <c r="J44" s="2219">
        <f>'Disaggregated Balance'!BG71</f>
        <v>0</v>
      </c>
      <c r="K44" s="2219">
        <f>SUM('Disaggregated Balance'!BH71:BL71)</f>
        <v>0</v>
      </c>
      <c r="L44" s="2219">
        <f ca="1">SUM('Disaggregated Balance'!AT71:BD71)</f>
        <v>0</v>
      </c>
      <c r="M44" s="2219">
        <f>'Disaggregated Balance'!BM71</f>
        <v>193.34880000000001</v>
      </c>
      <c r="N44" s="2219">
        <f>'Disaggregated Balance'!BN71</f>
        <v>0</v>
      </c>
      <c r="O44" s="2219">
        <f>'Disaggregated Balance'!BO71</f>
        <v>0</v>
      </c>
      <c r="P44" s="2220">
        <f t="shared" ca="1" si="6"/>
        <v>465203.99397630466</v>
      </c>
    </row>
    <row r="45" spans="1:16" x14ac:dyDescent="0.2">
      <c r="A45" s="1047" t="str">
        <f>DOMESAIR</f>
        <v>Domestic aviation</v>
      </c>
      <c r="B45" s="2219">
        <f ca="1">SUM('Disaggregated Balance'!E72:R72)</f>
        <v>0</v>
      </c>
      <c r="C45" s="2219">
        <f ca="1">SUM('Disaggregated Balance'!T72:U72)</f>
        <v>0</v>
      </c>
      <c r="D45" s="2219">
        <f ca="1">'Disaggregated Balance'!V72</f>
        <v>0</v>
      </c>
      <c r="E45" s="2219">
        <f ca="1">SUM('Disaggregated Balance'!W72:AA72)</f>
        <v>0</v>
      </c>
      <c r="F45" s="2219">
        <f ca="1">SUM('Disaggregated Balance'!AB72:AR72)</f>
        <v>15841.303018075439</v>
      </c>
      <c r="G45" s="2219">
        <f ca="1">SUM('Disaggregated Balance'!AS72)</f>
        <v>0</v>
      </c>
      <c r="H45" s="2219">
        <f>'Disaggregated Balance'!BE72</f>
        <v>0</v>
      </c>
      <c r="I45" s="2219">
        <f>'Disaggregated Balance'!BF72</f>
        <v>0</v>
      </c>
      <c r="J45" s="2219">
        <f>'Disaggregated Balance'!BG72</f>
        <v>0</v>
      </c>
      <c r="K45" s="2219">
        <f>SUM('Disaggregated Balance'!BH72:BL72)</f>
        <v>0</v>
      </c>
      <c r="L45" s="2219">
        <f ca="1">SUM('Disaggregated Balance'!AT72:BD72)</f>
        <v>0</v>
      </c>
      <c r="M45" s="2219">
        <f>'Disaggregated Balance'!BM72</f>
        <v>246.96360000000001</v>
      </c>
      <c r="N45" s="2219">
        <f>'Disaggregated Balance'!BN72</f>
        <v>0</v>
      </c>
      <c r="O45" s="2219">
        <f>'Disaggregated Balance'!BO72</f>
        <v>0</v>
      </c>
      <c r="P45" s="2220">
        <f t="shared" ca="1" si="6"/>
        <v>16088.266618075439</v>
      </c>
    </row>
    <row r="46" spans="1:16" x14ac:dyDescent="0.2">
      <c r="A46" s="1047" t="str">
        <f>RAIL</f>
        <v>Rail</v>
      </c>
      <c r="B46" s="2219">
        <f ca="1">SUM('Disaggregated Balance'!E73:R73)</f>
        <v>0</v>
      </c>
      <c r="C46" s="2219">
        <f ca="1">SUM('Disaggregated Balance'!T73:U73)</f>
        <v>0</v>
      </c>
      <c r="D46" s="2219">
        <f ca="1">'Disaggregated Balance'!V73</f>
        <v>0</v>
      </c>
      <c r="E46" s="2219">
        <f ca="1">SUM('Disaggregated Balance'!W73:AA73)</f>
        <v>0</v>
      </c>
      <c r="F46" s="2219">
        <f ca="1">SUM('Disaggregated Balance'!AB73:AR73)</f>
        <v>4226.3008983973386</v>
      </c>
      <c r="G46" s="2219">
        <f ca="1">SUM('Disaggregated Balance'!AS73)</f>
        <v>0</v>
      </c>
      <c r="H46" s="2219">
        <f>'Disaggregated Balance'!BE73</f>
        <v>0</v>
      </c>
      <c r="I46" s="2219">
        <f>'Disaggregated Balance'!BF73</f>
        <v>0</v>
      </c>
      <c r="J46" s="2219">
        <f>'Disaggregated Balance'!BG73</f>
        <v>0</v>
      </c>
      <c r="K46" s="2219">
        <f>SUM('Disaggregated Balance'!BH73:BL73)</f>
        <v>0</v>
      </c>
      <c r="L46" s="2219">
        <f ca="1">SUM('Disaggregated Balance'!AT73:BD73)</f>
        <v>0</v>
      </c>
      <c r="M46" s="2219">
        <f>'Disaggregated Balance'!BM73</f>
        <v>9580.8780000000006</v>
      </c>
      <c r="N46" s="2219">
        <f>'Disaggregated Balance'!BN73</f>
        <v>0</v>
      </c>
      <c r="O46" s="2219">
        <f>'Disaggregated Balance'!BO73</f>
        <v>0</v>
      </c>
      <c r="P46" s="2220">
        <f t="shared" ca="1" si="6"/>
        <v>13807.178898397338</v>
      </c>
    </row>
    <row r="47" spans="1:16" x14ac:dyDescent="0.2">
      <c r="A47" s="1047" t="str">
        <f>PIPELINE</f>
        <v>Pipeline transport</v>
      </c>
      <c r="B47" s="2219">
        <f ca="1">SUM('Disaggregated Balance'!E74:R74)</f>
        <v>0</v>
      </c>
      <c r="C47" s="2219">
        <f ca="1">SUM('Disaggregated Balance'!T74:U74)</f>
        <v>0</v>
      </c>
      <c r="D47" s="2219">
        <f ca="1">'Disaggregated Balance'!V74</f>
        <v>0</v>
      </c>
      <c r="E47" s="2219">
        <f ca="1">SUM('Disaggregated Balance'!W74:AA74)</f>
        <v>0</v>
      </c>
      <c r="F47" s="2219">
        <f ca="1">SUM('Disaggregated Balance'!AB74:AR74)</f>
        <v>3474.9824073828122</v>
      </c>
      <c r="G47" s="2219">
        <f ca="1">SUM('Disaggregated Balance'!AS74)</f>
        <v>0</v>
      </c>
      <c r="H47" s="2219">
        <f>'Disaggregated Balance'!BE74</f>
        <v>0</v>
      </c>
      <c r="I47" s="2219">
        <f>'Disaggregated Balance'!BF74</f>
        <v>0</v>
      </c>
      <c r="J47" s="2219">
        <f>'Disaggregated Balance'!BG74</f>
        <v>0</v>
      </c>
      <c r="K47" s="2219">
        <f>SUM('Disaggregated Balance'!BH74:BL74)</f>
        <v>0</v>
      </c>
      <c r="L47" s="2219">
        <f ca="1">SUM('Disaggregated Balance'!AT74:BD74)</f>
        <v>0</v>
      </c>
      <c r="M47" s="2219">
        <f>'Disaggregated Balance'!BM74</f>
        <v>263.99880000000002</v>
      </c>
      <c r="N47" s="2219">
        <f>'Disaggregated Balance'!BN74</f>
        <v>0</v>
      </c>
      <c r="O47" s="2219">
        <f>'Disaggregated Balance'!BO74</f>
        <v>0</v>
      </c>
      <c r="P47" s="2220">
        <f t="shared" ca="1" si="6"/>
        <v>3738.981207382812</v>
      </c>
    </row>
    <row r="48" spans="1:16" x14ac:dyDescent="0.2">
      <c r="A48" s="1047" t="str">
        <f>DOMESNAV</f>
        <v>Domestic navigation</v>
      </c>
      <c r="B48" s="2219">
        <f ca="1">SUM('Disaggregated Balance'!E75:R75)</f>
        <v>0</v>
      </c>
      <c r="C48" s="2219">
        <f ca="1">SUM('Disaggregated Balance'!T75:U75)</f>
        <v>0</v>
      </c>
      <c r="D48" s="2219">
        <f ca="1">'Disaggregated Balance'!V75</f>
        <v>0</v>
      </c>
      <c r="E48" s="2219">
        <f ca="1">SUM('Disaggregated Balance'!W75:AA75)</f>
        <v>0</v>
      </c>
      <c r="F48" s="2219">
        <f ca="1">SUM('Disaggregated Balance'!AB75:AR75)</f>
        <v>43944.467637911555</v>
      </c>
      <c r="G48" s="2219">
        <f ca="1">SUM('Disaggregated Balance'!AS75)</f>
        <v>0</v>
      </c>
      <c r="H48" s="2219">
        <f>'Disaggregated Balance'!BE75</f>
        <v>0</v>
      </c>
      <c r="I48" s="2219">
        <f>'Disaggregated Balance'!BF75</f>
        <v>0</v>
      </c>
      <c r="J48" s="2219">
        <f>'Disaggregated Balance'!BG75</f>
        <v>0</v>
      </c>
      <c r="K48" s="2219">
        <f>SUM('Disaggregated Balance'!BH75:BL75)</f>
        <v>0</v>
      </c>
      <c r="L48" s="2219">
        <f ca="1">SUM('Disaggregated Balance'!AT75:BD75)</f>
        <v>0</v>
      </c>
      <c r="M48" s="2219">
        <f>'Disaggregated Balance'!BM75</f>
        <v>0</v>
      </c>
      <c r="N48" s="2219">
        <f>'Disaggregated Balance'!BN75</f>
        <v>0</v>
      </c>
      <c r="O48" s="2219">
        <f>'Disaggregated Balance'!BO75</f>
        <v>0</v>
      </c>
      <c r="P48" s="2220">
        <f t="shared" ca="1" si="6"/>
        <v>43944.467637911555</v>
      </c>
    </row>
    <row r="49" spans="1:16" x14ac:dyDescent="0.2">
      <c r="A49" s="1047" t="str">
        <f>TRNONSPE</f>
        <v>Non-specified (transport)</v>
      </c>
      <c r="B49" s="2219">
        <f ca="1">SUM('Disaggregated Balance'!E76:R76)</f>
        <v>0</v>
      </c>
      <c r="C49" s="2219">
        <f ca="1">SUM('Disaggregated Balance'!T76:U76)</f>
        <v>0</v>
      </c>
      <c r="D49" s="2219">
        <f ca="1">'Disaggregated Balance'!V76</f>
        <v>0</v>
      </c>
      <c r="E49" s="2219">
        <f ca="1">SUM('Disaggregated Balance'!W76:AA76)</f>
        <v>0</v>
      </c>
      <c r="F49" s="2219">
        <f ca="1">SUM('Disaggregated Balance'!AB76:AR76)</f>
        <v>2587.649167885922</v>
      </c>
      <c r="G49" s="2219">
        <f ca="1">SUM('Disaggregated Balance'!AS76)</f>
        <v>0</v>
      </c>
      <c r="H49" s="2219">
        <f>'Disaggregated Balance'!BE76</f>
        <v>0</v>
      </c>
      <c r="I49" s="2219">
        <f>'Disaggregated Balance'!BF76</f>
        <v>0</v>
      </c>
      <c r="J49" s="2219">
        <f>'Disaggregated Balance'!BG76</f>
        <v>0</v>
      </c>
      <c r="K49" s="2219">
        <f>SUM('Disaggregated Balance'!BH76:BL76)</f>
        <v>0</v>
      </c>
      <c r="L49" s="2219">
        <f ca="1">SUM('Disaggregated Balance'!AT76:BD76)</f>
        <v>0</v>
      </c>
      <c r="M49" s="2219">
        <f>'Disaggregated Balance'!BM76</f>
        <v>1241.316</v>
      </c>
      <c r="N49" s="2219">
        <f>'Disaggregated Balance'!BN76</f>
        <v>0</v>
      </c>
      <c r="O49" s="2219">
        <f>'Disaggregated Balance'!BO76</f>
        <v>0</v>
      </c>
      <c r="P49" s="2220">
        <f t="shared" ca="1" si="6"/>
        <v>3828.9651678859218</v>
      </c>
    </row>
    <row r="50" spans="1:16" x14ac:dyDescent="0.2">
      <c r="A50" s="876" t="str">
        <f>TOTOTHER</f>
        <v>Other</v>
      </c>
      <c r="B50" s="2221">
        <f t="shared" ref="B50:N50" ca="1" si="8">SUM(B51:B55)</f>
        <v>37953.865372</v>
      </c>
      <c r="C50" s="2221">
        <f t="shared" ca="1" si="8"/>
        <v>0</v>
      </c>
      <c r="D50" s="2221">
        <f t="shared" ca="1" si="8"/>
        <v>0</v>
      </c>
      <c r="E50" s="2221">
        <f t="shared" ca="1" si="8"/>
        <v>0</v>
      </c>
      <c r="F50" s="2221">
        <f t="shared" ca="1" si="8"/>
        <v>234267.12687609403</v>
      </c>
      <c r="G50" s="2221">
        <f t="shared" ca="1" si="8"/>
        <v>1319.3369934082032</v>
      </c>
      <c r="H50" s="2221">
        <f t="shared" si="8"/>
        <v>0</v>
      </c>
      <c r="I50" s="2221">
        <f>SUM(I51:I55)</f>
        <v>0</v>
      </c>
      <c r="J50" s="2221">
        <f>SUM(J51:J55)</f>
        <v>0</v>
      </c>
      <c r="K50" s="2221">
        <f>SUM(K51:K55)</f>
        <v>0</v>
      </c>
      <c r="L50" s="2221">
        <f t="shared" ca="1" si="8"/>
        <v>344246.09</v>
      </c>
      <c r="M50" s="2221">
        <f t="shared" si="8"/>
        <v>332053.2</v>
      </c>
      <c r="N50" s="2221">
        <f t="shared" si="8"/>
        <v>0</v>
      </c>
      <c r="O50" s="2221">
        <f>SUM(O51:O55)</f>
        <v>0</v>
      </c>
      <c r="P50" s="2222">
        <f t="shared" ca="1" si="6"/>
        <v>949839.61924150237</v>
      </c>
    </row>
    <row r="51" spans="1:16" x14ac:dyDescent="0.2">
      <c r="A51" s="1047" t="str">
        <f>RESIDENT</f>
        <v>Residential</v>
      </c>
      <c r="B51" s="2219">
        <f ca="1">SUM('Disaggregated Balance'!E78:R78)</f>
        <v>18193.927204</v>
      </c>
      <c r="C51" s="2219">
        <f ca="1">SUM('Disaggregated Balance'!T78:U78)</f>
        <v>0</v>
      </c>
      <c r="D51" s="2219">
        <f ca="1">'Disaggregated Balance'!V78</f>
        <v>0</v>
      </c>
      <c r="E51" s="2219">
        <f ca="1">SUM('Disaggregated Balance'!W78:AA78)</f>
        <v>0</v>
      </c>
      <c r="F51" s="2219">
        <f ca="1">SUM('Disaggregated Balance'!AB78:AR78)</f>
        <v>86.630227810339989</v>
      </c>
      <c r="G51" s="2219">
        <f ca="1">SUM('Disaggregated Balance'!AS78)</f>
        <v>208.73699340820312</v>
      </c>
      <c r="H51" s="2219">
        <f>'Disaggregated Balance'!BE78</f>
        <v>0</v>
      </c>
      <c r="I51" s="2219">
        <f>'Disaggregated Balance'!BF78</f>
        <v>0</v>
      </c>
      <c r="J51" s="2219">
        <f>'Disaggregated Balance'!BG78</f>
        <v>0</v>
      </c>
      <c r="K51" s="2219">
        <f>SUM('Disaggregated Balance'!BH78:BL78)</f>
        <v>0</v>
      </c>
      <c r="L51" s="2219">
        <f ca="1">SUM('Disaggregated Balance'!AT78:BD78)</f>
        <v>344246.09</v>
      </c>
      <c r="M51" s="2219">
        <f>'Disaggregated Balance'!BM78</f>
        <v>174682.80000000002</v>
      </c>
      <c r="N51" s="2219">
        <f>'Disaggregated Balance'!BN78</f>
        <v>0</v>
      </c>
      <c r="O51" s="2219">
        <f>'Disaggregated Balance'!BO78</f>
        <v>0</v>
      </c>
      <c r="P51" s="2220">
        <f t="shared" ca="1" si="6"/>
        <v>537418.18442521861</v>
      </c>
    </row>
    <row r="52" spans="1:16" x14ac:dyDescent="0.2">
      <c r="A52" s="1047" t="str">
        <f>COMMPUB</f>
        <v>Commercial and public services</v>
      </c>
      <c r="B52" s="2219">
        <f ca="1">SUM('Disaggregated Balance'!E79:R79)</f>
        <v>17157.307799999999</v>
      </c>
      <c r="C52" s="2219">
        <f ca="1">SUM('Disaggregated Balance'!T79:U79)</f>
        <v>0</v>
      </c>
      <c r="D52" s="2219">
        <f ca="1">'Disaggregated Balance'!V79</f>
        <v>0</v>
      </c>
      <c r="E52" s="2219">
        <f ca="1">SUM('Disaggregated Balance'!W79:AA79)</f>
        <v>0</v>
      </c>
      <c r="F52" s="2219">
        <f ca="1">SUM('Disaggregated Balance'!AB79:AR79)</f>
        <v>183246.05159127171</v>
      </c>
      <c r="G52" s="2219">
        <f ca="1">SUM('Disaggregated Balance'!AS79)</f>
        <v>1110.6000000000001</v>
      </c>
      <c r="H52" s="2219">
        <f>'Disaggregated Balance'!BE79</f>
        <v>0</v>
      </c>
      <c r="I52" s="2219">
        <f>'Disaggregated Balance'!BF79</f>
        <v>0</v>
      </c>
      <c r="J52" s="2219">
        <f>'Disaggregated Balance'!BG79</f>
        <v>0</v>
      </c>
      <c r="K52" s="2219">
        <f>SUM('Disaggregated Balance'!BH79:BL79)</f>
        <v>0</v>
      </c>
      <c r="L52" s="2219">
        <f ca="1">SUM('Disaggregated Balance'!AT79:BD79)</f>
        <v>0</v>
      </c>
      <c r="M52" s="2219">
        <f>'Disaggregated Balance'!BM79</f>
        <v>133200</v>
      </c>
      <c r="N52" s="2219">
        <f>'Disaggregated Balance'!BN79</f>
        <v>0</v>
      </c>
      <c r="O52" s="2219">
        <f>'Disaggregated Balance'!BO79</f>
        <v>0</v>
      </c>
      <c r="P52" s="2220">
        <f t="shared" ca="1" si="6"/>
        <v>334713.9593912717</v>
      </c>
    </row>
    <row r="53" spans="1:16" x14ac:dyDescent="0.2">
      <c r="A53" s="1047" t="str">
        <f>AGRICULT</f>
        <v>Agriculture/forestry</v>
      </c>
      <c r="B53" s="2219">
        <f ca="1">SUM('Disaggregated Balance'!E80:R80)</f>
        <v>698.87244800000008</v>
      </c>
      <c r="C53" s="2219">
        <f ca="1">SUM('Disaggregated Balance'!T80:U80)</f>
        <v>0</v>
      </c>
      <c r="D53" s="2219">
        <f ca="1">'Disaggregated Balance'!V80</f>
        <v>0</v>
      </c>
      <c r="E53" s="2219">
        <f ca="1">SUM('Disaggregated Balance'!W80:AA80)</f>
        <v>0</v>
      </c>
      <c r="F53" s="2219">
        <f ca="1">SUM('Disaggregated Balance'!AB80:AR80)</f>
        <v>43950.526668485938</v>
      </c>
      <c r="G53" s="2219">
        <f ca="1">SUM('Disaggregated Balance'!AS80)</f>
        <v>0</v>
      </c>
      <c r="H53" s="2219">
        <f>'Disaggregated Balance'!BE80</f>
        <v>0</v>
      </c>
      <c r="I53" s="2219">
        <f>'Disaggregated Balance'!BF80</f>
        <v>0</v>
      </c>
      <c r="J53" s="2219">
        <f>'Disaggregated Balance'!BG80</f>
        <v>0</v>
      </c>
      <c r="K53" s="2219">
        <f>SUM('Disaggregated Balance'!BH80:BL80)</f>
        <v>0</v>
      </c>
      <c r="L53" s="2219">
        <f ca="1">SUM('Disaggregated Balance'!AT80:BD80)</f>
        <v>0</v>
      </c>
      <c r="M53" s="2219">
        <f>'Disaggregated Balance'!BM80</f>
        <v>21484.799999999999</v>
      </c>
      <c r="N53" s="2219">
        <f>'Disaggregated Balance'!BN80</f>
        <v>0</v>
      </c>
      <c r="O53" s="2219">
        <f>'Disaggregated Balance'!BO80</f>
        <v>0</v>
      </c>
      <c r="P53" s="2220">
        <f t="shared" ca="1" si="6"/>
        <v>66134.199116485936</v>
      </c>
    </row>
    <row r="54" spans="1:16" x14ac:dyDescent="0.2">
      <c r="A54" s="1047" t="str">
        <f>FISHING</f>
        <v>Fishing</v>
      </c>
      <c r="B54" s="2219">
        <f ca="1">SUM('Disaggregated Balance'!E81:R81)</f>
        <v>0</v>
      </c>
      <c r="C54" s="2219">
        <f ca="1">SUM('Disaggregated Balance'!T81:U81)</f>
        <v>0</v>
      </c>
      <c r="D54" s="2219">
        <f ca="1">'Disaggregated Balance'!V81</f>
        <v>0</v>
      </c>
      <c r="E54" s="2219">
        <f ca="1">SUM('Disaggregated Balance'!W81:AA81)</f>
        <v>0</v>
      </c>
      <c r="F54" s="2219">
        <f ca="1">SUM('Disaggregated Balance'!AB81:AR81)</f>
        <v>0</v>
      </c>
      <c r="G54" s="2219">
        <f ca="1">SUM('Disaggregated Balance'!AS81)</f>
        <v>0</v>
      </c>
      <c r="H54" s="2219">
        <f>'Disaggregated Balance'!BE81</f>
        <v>0</v>
      </c>
      <c r="I54" s="2219">
        <f>'Disaggregated Balance'!BF81</f>
        <v>0</v>
      </c>
      <c r="J54" s="2219">
        <f>'Disaggregated Balance'!BG81</f>
        <v>0</v>
      </c>
      <c r="K54" s="2219">
        <f>SUM('Disaggregated Balance'!BH81:BL81)</f>
        <v>0</v>
      </c>
      <c r="L54" s="2219">
        <f ca="1">SUM('Disaggregated Balance'!AT81:BD81)</f>
        <v>0</v>
      </c>
      <c r="M54" s="2219">
        <f>'Disaggregated Balance'!BM81</f>
        <v>0</v>
      </c>
      <c r="N54" s="2219">
        <f>'Disaggregated Balance'!BN81</f>
        <v>0</v>
      </c>
      <c r="O54" s="2219">
        <f>'Disaggregated Balance'!BO81</f>
        <v>0</v>
      </c>
      <c r="P54" s="2220">
        <f t="shared" ca="1" si="6"/>
        <v>0</v>
      </c>
    </row>
    <row r="55" spans="1:16" x14ac:dyDescent="0.2">
      <c r="A55" s="1047" t="str">
        <f>OTHNONSPEC</f>
        <v>Non-specified (other)</v>
      </c>
      <c r="B55" s="2219">
        <f ca="1">SUM('Disaggregated Balance'!E82:R82)</f>
        <v>1903.75792</v>
      </c>
      <c r="C55" s="2219">
        <f ca="1">SUM('Disaggregated Balance'!T82:U82)</f>
        <v>0</v>
      </c>
      <c r="D55" s="2219">
        <f ca="1">'Disaggregated Balance'!V82</f>
        <v>0</v>
      </c>
      <c r="E55" s="2219">
        <f ca="1">SUM('Disaggregated Balance'!W82:AA82)</f>
        <v>0</v>
      </c>
      <c r="F55" s="2219">
        <f ca="1">SUM('Disaggregated Balance'!AB82:AR82)</f>
        <v>6983.9183885260009</v>
      </c>
      <c r="G55" s="2219">
        <f ca="1">SUM('Disaggregated Balance'!AS82)</f>
        <v>0</v>
      </c>
      <c r="H55" s="2219">
        <f>'Disaggregated Balance'!BE82</f>
        <v>0</v>
      </c>
      <c r="I55" s="2219">
        <f>'Disaggregated Balance'!BF82</f>
        <v>0</v>
      </c>
      <c r="J55" s="2219">
        <f>'Disaggregated Balance'!BG82</f>
        <v>0</v>
      </c>
      <c r="K55" s="2219">
        <f>SUM('Disaggregated Balance'!BH82:BL82)</f>
        <v>0</v>
      </c>
      <c r="L55" s="2219">
        <f ca="1">SUM('Disaggregated Balance'!AT82:BD82)</f>
        <v>0</v>
      </c>
      <c r="M55" s="2219">
        <f>'Disaggregated Balance'!BM82</f>
        <v>2685.6</v>
      </c>
      <c r="N55" s="2219">
        <f>'Disaggregated Balance'!BN82</f>
        <v>0</v>
      </c>
      <c r="O55" s="2219">
        <f>'Disaggregated Balance'!BO82</f>
        <v>0</v>
      </c>
      <c r="P55" s="2220">
        <f t="shared" ca="1" si="6"/>
        <v>11573.276308526001</v>
      </c>
    </row>
    <row r="56" spans="1:16" x14ac:dyDescent="0.2">
      <c r="A56" s="876" t="str">
        <f>NONENUSE</f>
        <v>Non-energy use</v>
      </c>
      <c r="B56" s="2221">
        <f t="shared" ref="B56:G56" ca="1" si="9">SUM(B57:B59)</f>
        <v>0</v>
      </c>
      <c r="C56" s="2221">
        <f t="shared" ca="1" si="9"/>
        <v>0</v>
      </c>
      <c r="D56" s="2221">
        <f t="shared" ca="1" si="9"/>
        <v>0</v>
      </c>
      <c r="E56" s="2221">
        <f t="shared" ca="1" si="9"/>
        <v>0</v>
      </c>
      <c r="F56" s="2221">
        <f t="shared" ca="1" si="9"/>
        <v>52257.281343511517</v>
      </c>
      <c r="G56" s="2221">
        <f t="shared" ca="1" si="9"/>
        <v>0</v>
      </c>
      <c r="H56" s="2221">
        <f t="shared" ref="H56:P56" si="10">SUM(H57:H59)</f>
        <v>0</v>
      </c>
      <c r="I56" s="2221">
        <f>SUM(I57:I59)</f>
        <v>0</v>
      </c>
      <c r="J56" s="2221">
        <f>SUM(J57:J59)</f>
        <v>0</v>
      </c>
      <c r="K56" s="2221">
        <f>SUM(K57:K59)</f>
        <v>0</v>
      </c>
      <c r="L56" s="2221">
        <f t="shared" ca="1" si="10"/>
        <v>0</v>
      </c>
      <c r="M56" s="2221">
        <f t="shared" si="10"/>
        <v>0</v>
      </c>
      <c r="N56" s="2221">
        <f t="shared" si="10"/>
        <v>0</v>
      </c>
      <c r="O56" s="2221">
        <f>SUM(O57:O59)</f>
        <v>0</v>
      </c>
      <c r="P56" s="2222">
        <f t="shared" ca="1" si="10"/>
        <v>52257.281343511517</v>
      </c>
    </row>
    <row r="57" spans="1:16" x14ac:dyDescent="0.2">
      <c r="A57" s="1047" t="str">
        <f>NEINTREN</f>
        <v>Non-energy use industry/transformation/energy</v>
      </c>
      <c r="B57" s="2219">
        <f ca="1">SUM('Disaggregated Balance'!E84:R84)</f>
        <v>0</v>
      </c>
      <c r="C57" s="2219">
        <f ca="1">SUM('Disaggregated Balance'!T84:U84)</f>
        <v>0</v>
      </c>
      <c r="D57" s="2219">
        <f ca="1">'Disaggregated Balance'!V84</f>
        <v>0</v>
      </c>
      <c r="E57" s="2219">
        <f ca="1">SUM('Disaggregated Balance'!W84:AA84)</f>
        <v>0</v>
      </c>
      <c r="F57" s="2219">
        <f ca="1">SUM('Disaggregated Balance'!AB84:AR84)</f>
        <v>15741.500843663378</v>
      </c>
      <c r="G57" s="2219">
        <f ca="1">SUM('Disaggregated Balance'!AS84)</f>
        <v>0</v>
      </c>
      <c r="H57" s="2219">
        <f>'Disaggregated Balance'!BE84</f>
        <v>0</v>
      </c>
      <c r="I57" s="2219">
        <f>'Disaggregated Balance'!BF84</f>
        <v>0</v>
      </c>
      <c r="J57" s="2219">
        <f>'Disaggregated Balance'!BG84</f>
        <v>0</v>
      </c>
      <c r="K57" s="2219">
        <f>SUM('Disaggregated Balance'!BH84:BL84)</f>
        <v>0</v>
      </c>
      <c r="L57" s="2219">
        <f ca="1">SUM('Disaggregated Balance'!AT84:BD84)</f>
        <v>0</v>
      </c>
      <c r="M57" s="2219">
        <f>'Disaggregated Balance'!BM84</f>
        <v>0</v>
      </c>
      <c r="N57" s="2219">
        <f>'Disaggregated Balance'!BN84</f>
        <v>0</v>
      </c>
      <c r="O57" s="2219">
        <f>'Disaggregated Balance'!BO84</f>
        <v>0</v>
      </c>
      <c r="P57" s="2220">
        <f t="shared" ref="P57:P70" ca="1" si="11">SUM(B57:O57)</f>
        <v>15741.500843663378</v>
      </c>
    </row>
    <row r="58" spans="1:16" x14ac:dyDescent="0.2">
      <c r="A58" s="1047" t="str">
        <f>NETRANS</f>
        <v>Non-energy use in transport</v>
      </c>
      <c r="B58" s="2219">
        <f ca="1">SUM('Disaggregated Balance'!E85:R85)</f>
        <v>0</v>
      </c>
      <c r="C58" s="2219">
        <f ca="1">SUM('Disaggregated Balance'!T85:U85)</f>
        <v>0</v>
      </c>
      <c r="D58" s="2219">
        <f ca="1">'Disaggregated Balance'!V85</f>
        <v>0</v>
      </c>
      <c r="E58" s="2219">
        <f ca="1">SUM('Disaggregated Balance'!W85:AA85)</f>
        <v>0</v>
      </c>
      <c r="F58" s="2219">
        <f ca="1">SUM('Disaggregated Balance'!AB85:AR85)</f>
        <v>25685.392827137242</v>
      </c>
      <c r="G58" s="2219">
        <f ca="1">SUM('Disaggregated Balance'!AS85)</f>
        <v>0</v>
      </c>
      <c r="H58" s="2219">
        <f>'Disaggregated Balance'!BE85</f>
        <v>0</v>
      </c>
      <c r="I58" s="2219">
        <f>'Disaggregated Balance'!BF85</f>
        <v>0</v>
      </c>
      <c r="J58" s="2219">
        <f>'Disaggregated Balance'!BG85</f>
        <v>0</v>
      </c>
      <c r="K58" s="2219">
        <f>SUM('Disaggregated Balance'!BH85:BL85)</f>
        <v>0</v>
      </c>
      <c r="L58" s="2219">
        <f ca="1">SUM('Disaggregated Balance'!AT85:BD85)</f>
        <v>0</v>
      </c>
      <c r="M58" s="2219">
        <f>'Disaggregated Balance'!BM85</f>
        <v>0</v>
      </c>
      <c r="N58" s="2219">
        <f>'Disaggregated Balance'!BN85</f>
        <v>0</v>
      </c>
      <c r="O58" s="2219">
        <f>'Disaggregated Balance'!BO85</f>
        <v>0</v>
      </c>
      <c r="P58" s="2220">
        <f t="shared" ca="1" si="11"/>
        <v>25685.392827137242</v>
      </c>
    </row>
    <row r="59" spans="1:16" x14ac:dyDescent="0.2">
      <c r="A59" s="1047" t="str">
        <f>NEOTHER</f>
        <v>Non-energy use in other</v>
      </c>
      <c r="B59" s="2219">
        <f ca="1">SUM('Disaggregated Balance'!E86:R86)</f>
        <v>0</v>
      </c>
      <c r="C59" s="2219">
        <f ca="1">SUM('Disaggregated Balance'!T86:U86)</f>
        <v>0</v>
      </c>
      <c r="D59" s="2219">
        <f ca="1">'Disaggregated Balance'!V86</f>
        <v>0</v>
      </c>
      <c r="E59" s="2219">
        <f ca="1">SUM('Disaggregated Balance'!W86:AA86)</f>
        <v>0</v>
      </c>
      <c r="F59" s="2219">
        <f ca="1">SUM('Disaggregated Balance'!AB86:AR86)</f>
        <v>10830.387672710895</v>
      </c>
      <c r="G59" s="2219">
        <f ca="1">SUM('Disaggregated Balance'!AS86)</f>
        <v>0</v>
      </c>
      <c r="H59" s="2219">
        <f>'Disaggregated Balance'!BE86</f>
        <v>0</v>
      </c>
      <c r="I59" s="2219">
        <f>'Disaggregated Balance'!BF86</f>
        <v>0</v>
      </c>
      <c r="J59" s="2219">
        <f>'Disaggregated Balance'!BG86</f>
        <v>0</v>
      </c>
      <c r="K59" s="2219">
        <f>SUM('Disaggregated Balance'!BH86:BL86)</f>
        <v>0</v>
      </c>
      <c r="L59" s="2219">
        <f ca="1">SUM('Disaggregated Balance'!AT86:BD86)</f>
        <v>0</v>
      </c>
      <c r="M59" s="2219">
        <f>'Disaggregated Balance'!BM86</f>
        <v>0</v>
      </c>
      <c r="N59" s="2219">
        <f>'Disaggregated Balance'!BN86</f>
        <v>0</v>
      </c>
      <c r="O59" s="2219">
        <f>'Disaggregated Balance'!BO86</f>
        <v>0</v>
      </c>
      <c r="P59" s="2220">
        <f t="shared" ca="1" si="11"/>
        <v>10830.387672710895</v>
      </c>
    </row>
    <row r="60" spans="1:16" x14ac:dyDescent="0.2">
      <c r="A60" s="1048" t="str">
        <f>NECHEM</f>
        <v>Memo: Non-energy use chemical/petrochemical</v>
      </c>
      <c r="B60" s="2223">
        <f ca="1">SUM('Disaggregated Balance'!E87:R87)</f>
        <v>445434</v>
      </c>
      <c r="C60" s="2223">
        <f ca="1">SUM('Disaggregated Balance'!T87:U87)</f>
        <v>0</v>
      </c>
      <c r="D60" s="2223">
        <f ca="1">'Disaggregated Balance'!V87</f>
        <v>0</v>
      </c>
      <c r="E60" s="2223">
        <f ca="1">SUM('Disaggregated Balance'!W87:AA87)</f>
        <v>0</v>
      </c>
      <c r="F60" s="2223">
        <f ca="1">SUM('Disaggregated Balance'!AB87:AR87)</f>
        <v>0</v>
      </c>
      <c r="G60" s="2223">
        <f ca="1">SUM('Disaggregated Balance'!AS87)</f>
        <v>0</v>
      </c>
      <c r="H60" s="2223">
        <f>'Disaggregated Balance'!BE87</f>
        <v>0</v>
      </c>
      <c r="I60" s="2223">
        <f>'Disaggregated Balance'!BF87</f>
        <v>0</v>
      </c>
      <c r="J60" s="2223">
        <f>'Disaggregated Balance'!BG87</f>
        <v>0</v>
      </c>
      <c r="K60" s="2223">
        <f>SUM('Disaggregated Balance'!BH87:BL87)</f>
        <v>0</v>
      </c>
      <c r="L60" s="2223">
        <f ca="1">SUM('Disaggregated Balance'!AT87:BD87)</f>
        <v>0</v>
      </c>
      <c r="M60" s="2223">
        <f>'Disaggregated Balance'!BM87</f>
        <v>0</v>
      </c>
      <c r="N60" s="2223">
        <f>'Disaggregated Balance'!BN87</f>
        <v>0</v>
      </c>
      <c r="O60" s="2223">
        <f>'Disaggregated Balance'!BO87</f>
        <v>0</v>
      </c>
      <c r="P60" s="2224">
        <f t="shared" ca="1" si="11"/>
        <v>445434</v>
      </c>
    </row>
    <row r="61" spans="1:16" x14ac:dyDescent="0.2">
      <c r="A61" s="553" t="str">
        <f>ELOUTPUT</f>
        <v>Electricity output in GWh</v>
      </c>
      <c r="B61" s="2221">
        <f t="shared" ref="B61:M61" si="12">SUM(B62:B65)</f>
        <v>200341.94</v>
      </c>
      <c r="C61" s="2221">
        <f t="shared" si="12"/>
        <v>0</v>
      </c>
      <c r="D61" s="2221">
        <f t="shared" si="12"/>
        <v>0</v>
      </c>
      <c r="E61" s="2221">
        <f t="shared" si="12"/>
        <v>0</v>
      </c>
      <c r="F61" s="2221">
        <f t="shared" si="12"/>
        <v>0</v>
      </c>
      <c r="G61" s="2221">
        <f t="shared" si="12"/>
        <v>0</v>
      </c>
      <c r="H61" s="2221">
        <f t="shared" si="12"/>
        <v>14214</v>
      </c>
      <c r="I61" s="2221">
        <f>SUM(I62:I65)</f>
        <v>-16036.450999999999</v>
      </c>
      <c r="J61" s="2221">
        <f>SUM(J62:J65)</f>
        <v>0</v>
      </c>
      <c r="K61" s="2221">
        <f>SUM(K62:K65)</f>
        <v>9507.7000000000007</v>
      </c>
      <c r="L61" s="2221">
        <f t="shared" si="12"/>
        <v>309.06</v>
      </c>
      <c r="M61" s="2221">
        <f t="shared" si="12"/>
        <v>0</v>
      </c>
      <c r="N61" s="2221">
        <f>SUM(N62:N65)</f>
        <v>0</v>
      </c>
      <c r="O61" s="2221">
        <f>SUM(O62:O65)</f>
        <v>0</v>
      </c>
      <c r="P61" s="2222">
        <f t="shared" si="11"/>
        <v>208336.24900000001</v>
      </c>
    </row>
    <row r="62" spans="1:16" x14ac:dyDescent="0.2">
      <c r="A62" s="1046" t="str">
        <f>'Disaggregated Balance'!A89</f>
        <v>Elec output-main activity producer ele plants</v>
      </c>
      <c r="B62" s="2219">
        <f>SUM('Disaggregated Balance'!E89:S89)</f>
        <v>194357</v>
      </c>
      <c r="C62" s="2219">
        <f>SUM('Disaggregated Balance'!T89:U89)</f>
        <v>0</v>
      </c>
      <c r="D62" s="2219">
        <f>'Disaggregated Balance'!V89</f>
        <v>0</v>
      </c>
      <c r="E62" s="2219">
        <f>SUM('Disaggregated Balance'!W89:AA89)</f>
        <v>0</v>
      </c>
      <c r="F62" s="2219">
        <f>SUM('Disaggregated Balance'!AB89:AR89)</f>
        <v>0</v>
      </c>
      <c r="G62" s="2219">
        <f>SUM('Disaggregated Balance'!AS89)</f>
        <v>0</v>
      </c>
      <c r="H62" s="2219">
        <f>'Disaggregated Balance'!BE89</f>
        <v>14214</v>
      </c>
      <c r="I62" s="2219">
        <f>'Disaggregated Balance'!BF89</f>
        <v>-16140.741</v>
      </c>
      <c r="J62" s="2219">
        <f>'Disaggregated Balance'!BG89</f>
        <v>0</v>
      </c>
      <c r="K62" s="2219">
        <f>SUM('Disaggregated Balance'!BH89:BL89)</f>
        <v>283</v>
      </c>
      <c r="L62" s="2219">
        <f>SUM('Disaggregated Balance'!AT89:BD89)</f>
        <v>0</v>
      </c>
      <c r="M62" s="2219">
        <f>'Disaggregated Balance'!BM89</f>
        <v>0</v>
      </c>
      <c r="N62" s="2225">
        <f>'Disaggregated Balance'!BN89</f>
        <v>0</v>
      </c>
      <c r="O62" s="2225">
        <f>'Disaggregated Balance'!BO89</f>
        <v>0</v>
      </c>
      <c r="P62" s="2220">
        <f t="shared" si="11"/>
        <v>192713.25899999999</v>
      </c>
    </row>
    <row r="63" spans="1:16" x14ac:dyDescent="0.2">
      <c r="A63" s="1046" t="str">
        <f>'Disaggregated Balance'!A90</f>
        <v>Elec output-autoproducer electricity plants</v>
      </c>
      <c r="B63" s="2219">
        <f>SUM('Disaggregated Balance'!E90:S90)</f>
        <v>5984.94</v>
      </c>
      <c r="C63" s="2219">
        <f>SUM('Disaggregated Balance'!T90:U90)</f>
        <v>0</v>
      </c>
      <c r="D63" s="2219">
        <f>'Disaggregated Balance'!V90</f>
        <v>0</v>
      </c>
      <c r="E63" s="2219">
        <f>SUM('Disaggregated Balance'!W90:AA90)</f>
        <v>0</v>
      </c>
      <c r="F63" s="2219">
        <f>SUM('Disaggregated Balance'!AB90:AR90)</f>
        <v>0</v>
      </c>
      <c r="G63" s="2219">
        <f>SUM('Disaggregated Balance'!AS90)</f>
        <v>0</v>
      </c>
      <c r="H63" s="2219">
        <f>'Disaggregated Balance'!BE90</f>
        <v>0</v>
      </c>
      <c r="I63" s="2219">
        <f>'Disaggregated Balance'!BF90</f>
        <v>104.29</v>
      </c>
      <c r="J63" s="2219">
        <f>'Disaggregated Balance'!BG90</f>
        <v>0</v>
      </c>
      <c r="K63" s="2219">
        <f>SUM('Disaggregated Balance'!BH90:BL90)</f>
        <v>9224.7000000000007</v>
      </c>
      <c r="L63" s="2219">
        <f>SUM('Disaggregated Balance'!AT90:BD90)</f>
        <v>309.06</v>
      </c>
      <c r="M63" s="2219">
        <f>'Disaggregated Balance'!BM90</f>
        <v>0</v>
      </c>
      <c r="N63" s="2225">
        <f>'Disaggregated Balance'!BN90</f>
        <v>0</v>
      </c>
      <c r="O63" s="2225">
        <f>'Disaggregated Balance'!BO90</f>
        <v>0</v>
      </c>
      <c r="P63" s="2220">
        <f t="shared" si="11"/>
        <v>15622.99</v>
      </c>
    </row>
    <row r="64" spans="1:16" x14ac:dyDescent="0.2">
      <c r="A64" s="1046" t="str">
        <f>'Disaggregated Balance'!A91</f>
        <v>Elec output-main activity producer CHP plants</v>
      </c>
      <c r="B64" s="2219">
        <f>SUM('Disaggregated Balance'!E91:S91)</f>
        <v>0</v>
      </c>
      <c r="C64" s="2219">
        <f>SUM('Disaggregated Balance'!T91:U91)</f>
        <v>0</v>
      </c>
      <c r="D64" s="2219">
        <f>'Disaggregated Balance'!V91</f>
        <v>0</v>
      </c>
      <c r="E64" s="2219">
        <f>SUM('Disaggregated Balance'!W91:AA91)</f>
        <v>0</v>
      </c>
      <c r="F64" s="2219">
        <f>SUM('Disaggregated Balance'!AB91:AR91)</f>
        <v>0</v>
      </c>
      <c r="G64" s="2219">
        <f>SUM('Disaggregated Balance'!AS91)</f>
        <v>0</v>
      </c>
      <c r="H64" s="2219">
        <f>'Disaggregated Balance'!BE91</f>
        <v>0</v>
      </c>
      <c r="I64" s="2219">
        <f>'Disaggregated Balance'!BF91</f>
        <v>0</v>
      </c>
      <c r="J64" s="2219">
        <f>'Disaggregated Balance'!BG91</f>
        <v>0</v>
      </c>
      <c r="K64" s="2219">
        <f>SUM('Disaggregated Balance'!BH91:BL91)</f>
        <v>0</v>
      </c>
      <c r="L64" s="2219">
        <f>SUM('Disaggregated Balance'!AT91:BD91)</f>
        <v>0</v>
      </c>
      <c r="M64" s="2219">
        <f>'Disaggregated Balance'!BM91</f>
        <v>0</v>
      </c>
      <c r="N64" s="2225">
        <f>'Disaggregated Balance'!BN91</f>
        <v>0</v>
      </c>
      <c r="O64" s="2225">
        <f>'Disaggregated Balance'!BO91</f>
        <v>0</v>
      </c>
      <c r="P64" s="2220">
        <f t="shared" si="11"/>
        <v>0</v>
      </c>
    </row>
    <row r="65" spans="1:16" x14ac:dyDescent="0.2">
      <c r="A65" s="1049" t="str">
        <f>'Disaggregated Balance'!A92</f>
        <v>Elec output-autoproducer CHP plants</v>
      </c>
      <c r="B65" s="2226">
        <f>SUM('Disaggregated Balance'!E92:S92)</f>
        <v>0</v>
      </c>
      <c r="C65" s="2226">
        <f>SUM('Disaggregated Balance'!T92:U92)</f>
        <v>0</v>
      </c>
      <c r="D65" s="2226">
        <f>'Disaggregated Balance'!V92</f>
        <v>0</v>
      </c>
      <c r="E65" s="2226">
        <f>SUM('Disaggregated Balance'!W92:AA92)</f>
        <v>0</v>
      </c>
      <c r="F65" s="2226">
        <f>SUM('Disaggregated Balance'!AB92:AR92)</f>
        <v>0</v>
      </c>
      <c r="G65" s="2226">
        <f>SUM('Disaggregated Balance'!AS92)</f>
        <v>0</v>
      </c>
      <c r="H65" s="2226">
        <f>'Disaggregated Balance'!BE92</f>
        <v>0</v>
      </c>
      <c r="I65" s="2226">
        <f>'Disaggregated Balance'!BF92</f>
        <v>0</v>
      </c>
      <c r="J65" s="2226">
        <f>'Disaggregated Balance'!BG92</f>
        <v>0</v>
      </c>
      <c r="K65" s="2226">
        <f>SUM('Disaggregated Balance'!BH92:BL92)</f>
        <v>0</v>
      </c>
      <c r="L65" s="2226">
        <f>SUM('Disaggregated Balance'!AT92:BD92)</f>
        <v>0</v>
      </c>
      <c r="M65" s="2226">
        <f>'Disaggregated Balance'!BM92</f>
        <v>0</v>
      </c>
      <c r="N65" s="2227">
        <f>'Disaggregated Balance'!BN92</f>
        <v>0</v>
      </c>
      <c r="O65" s="2227">
        <f>'Disaggregated Balance'!BO92</f>
        <v>0</v>
      </c>
      <c r="P65" s="2228">
        <f t="shared" si="11"/>
        <v>0</v>
      </c>
    </row>
    <row r="66" spans="1:16" x14ac:dyDescent="0.2">
      <c r="A66" s="1046" t="str">
        <f>'Disaggregated Balance'!A93</f>
        <v>Heat output-main activity producer CHP plants</v>
      </c>
      <c r="B66" s="2219">
        <f>SUM('Disaggregated Balance'!E93:S93)</f>
        <v>0</v>
      </c>
      <c r="C66" s="2219">
        <f>SUM('Disaggregated Balance'!T93:U93)</f>
        <v>0</v>
      </c>
      <c r="D66" s="2219">
        <f>'Disaggregated Balance'!V93</f>
        <v>0</v>
      </c>
      <c r="E66" s="2219">
        <f>SUM('Disaggregated Balance'!W93:AA93)</f>
        <v>0</v>
      </c>
      <c r="F66" s="2219">
        <f>SUM('Disaggregated Balance'!AB93:AR93)</f>
        <v>0</v>
      </c>
      <c r="G66" s="2219">
        <f>SUM('Disaggregated Balance'!AS93)</f>
        <v>0</v>
      </c>
      <c r="H66" s="2219">
        <f>'Disaggregated Balance'!BE93</f>
        <v>0</v>
      </c>
      <c r="I66" s="2219">
        <f>'Disaggregated Balance'!BF93</f>
        <v>0</v>
      </c>
      <c r="J66" s="2219">
        <f>'Disaggregated Balance'!BG93</f>
        <v>0</v>
      </c>
      <c r="K66" s="2219">
        <f>SUM('Disaggregated Balance'!BH93:BL93)</f>
        <v>0</v>
      </c>
      <c r="L66" s="2219">
        <f>SUM('Disaggregated Balance'!AT93:BD93)</f>
        <v>0</v>
      </c>
      <c r="M66" s="2219">
        <f>'Disaggregated Balance'!BM93</f>
        <v>0</v>
      </c>
      <c r="N66" s="2225">
        <f>'Disaggregated Balance'!BN93</f>
        <v>0</v>
      </c>
      <c r="O66" s="2225">
        <f>'Disaggregated Balance'!BO93</f>
        <v>0</v>
      </c>
      <c r="P66" s="2220">
        <f t="shared" si="11"/>
        <v>0</v>
      </c>
    </row>
    <row r="67" spans="1:16" x14ac:dyDescent="0.2">
      <c r="A67" s="1046" t="str">
        <f>'Disaggregated Balance'!A94</f>
        <v>Heat output-autoproducer CHP plants</v>
      </c>
      <c r="B67" s="2219">
        <f>SUM('Disaggregated Balance'!E94:S94)</f>
        <v>0</v>
      </c>
      <c r="C67" s="2219">
        <f>SUM('Disaggregated Balance'!T94:U94)</f>
        <v>0</v>
      </c>
      <c r="D67" s="2219">
        <f>'Disaggregated Balance'!V94</f>
        <v>0</v>
      </c>
      <c r="E67" s="2219">
        <f>SUM('Disaggregated Balance'!W94:AA94)</f>
        <v>0</v>
      </c>
      <c r="F67" s="2219">
        <f>SUM('Disaggregated Balance'!AB94:AR94)</f>
        <v>0</v>
      </c>
      <c r="G67" s="2219">
        <f>SUM('Disaggregated Balance'!AS94)</f>
        <v>0</v>
      </c>
      <c r="H67" s="2219">
        <f>'Disaggregated Balance'!BE94</f>
        <v>0</v>
      </c>
      <c r="I67" s="2219">
        <f>'Disaggregated Balance'!BF94</f>
        <v>0</v>
      </c>
      <c r="J67" s="2219">
        <f>'Disaggregated Balance'!BG94</f>
        <v>0</v>
      </c>
      <c r="K67" s="2219">
        <f>SUM('Disaggregated Balance'!BH94:BL94)</f>
        <v>0</v>
      </c>
      <c r="L67" s="2219">
        <f>SUM('Disaggregated Balance'!AT94:BD94)</f>
        <v>0</v>
      </c>
      <c r="M67" s="2219">
        <f>'Disaggregated Balance'!BM94</f>
        <v>0</v>
      </c>
      <c r="N67" s="2225">
        <f>'Disaggregated Balance'!BN94</f>
        <v>0</v>
      </c>
      <c r="O67" s="2225">
        <f>'Disaggregated Balance'!BO94</f>
        <v>0</v>
      </c>
      <c r="P67" s="2220">
        <f t="shared" si="11"/>
        <v>0</v>
      </c>
    </row>
    <row r="68" spans="1:16" x14ac:dyDescent="0.2">
      <c r="A68" s="1046" t="str">
        <f>'Disaggregated Balance'!A95</f>
        <v>Heat output-main activity producer heat plant</v>
      </c>
      <c r="B68" s="2219">
        <f>SUM('Disaggregated Balance'!E95:S95)</f>
        <v>0</v>
      </c>
      <c r="C68" s="2219">
        <f>SUM('Disaggregated Balance'!T95:U95)</f>
        <v>0</v>
      </c>
      <c r="D68" s="2219">
        <f>'Disaggregated Balance'!V95</f>
        <v>0</v>
      </c>
      <c r="E68" s="2219">
        <f>SUM('Disaggregated Balance'!W95:AA95)</f>
        <v>0</v>
      </c>
      <c r="F68" s="2219">
        <f>SUM('Disaggregated Balance'!AB95:AR95)</f>
        <v>0</v>
      </c>
      <c r="G68" s="2219">
        <f>SUM('Disaggregated Balance'!AS95)</f>
        <v>0</v>
      </c>
      <c r="H68" s="2219">
        <f>'Disaggregated Balance'!BE95</f>
        <v>0</v>
      </c>
      <c r="I68" s="2219">
        <f>'Disaggregated Balance'!BF95</f>
        <v>0</v>
      </c>
      <c r="J68" s="2219">
        <f>'Disaggregated Balance'!BG95</f>
        <v>0</v>
      </c>
      <c r="K68" s="2219">
        <f>SUM('Disaggregated Balance'!BH95:BL95)</f>
        <v>0</v>
      </c>
      <c r="L68" s="2219">
        <f>SUM('Disaggregated Balance'!AT95:BD95)</f>
        <v>0</v>
      </c>
      <c r="M68" s="2219">
        <f>'Disaggregated Balance'!BM95</f>
        <v>0</v>
      </c>
      <c r="N68" s="2225">
        <f>'Disaggregated Balance'!BN95</f>
        <v>0</v>
      </c>
      <c r="O68" s="2225">
        <f>'Disaggregated Balance'!BO95</f>
        <v>0</v>
      </c>
      <c r="P68" s="2220">
        <f t="shared" si="11"/>
        <v>0</v>
      </c>
    </row>
    <row r="69" spans="1:16" x14ac:dyDescent="0.2">
      <c r="A69" s="1046" t="str">
        <f>'Disaggregated Balance'!A96</f>
        <v>Heat output-autoproducer heat plants</v>
      </c>
      <c r="B69" s="2219">
        <f>SUM('Disaggregated Balance'!E96:S96)</f>
        <v>0</v>
      </c>
      <c r="C69" s="2219">
        <f>SUM('Disaggregated Balance'!T96:U96)</f>
        <v>0</v>
      </c>
      <c r="D69" s="2219">
        <f>'Disaggregated Balance'!V96</f>
        <v>0</v>
      </c>
      <c r="E69" s="2219">
        <f>SUM('Disaggregated Balance'!W96:AA96)</f>
        <v>0</v>
      </c>
      <c r="F69" s="2219">
        <f>SUM('Disaggregated Balance'!AB96:AR96)</f>
        <v>0</v>
      </c>
      <c r="G69" s="2219">
        <f>SUM('Disaggregated Balance'!AS96)</f>
        <v>0</v>
      </c>
      <c r="H69" s="2219">
        <f>'Disaggregated Balance'!BE96</f>
        <v>0</v>
      </c>
      <c r="I69" s="2219">
        <f>'Disaggregated Balance'!BF96</f>
        <v>0</v>
      </c>
      <c r="J69" s="2219">
        <f>'Disaggregated Balance'!BG96</f>
        <v>0</v>
      </c>
      <c r="K69" s="2219">
        <f>SUM('Disaggregated Balance'!BH96:BL96)</f>
        <v>0</v>
      </c>
      <c r="L69" s="2219">
        <f>SUM('Disaggregated Balance'!AT96:BD96)</f>
        <v>0</v>
      </c>
      <c r="M69" s="2219">
        <f>'Disaggregated Balance'!BM96</f>
        <v>0</v>
      </c>
      <c r="N69" s="2225">
        <f>'Disaggregated Balance'!BN96</f>
        <v>0</v>
      </c>
      <c r="O69" s="2225">
        <f>'Disaggregated Balance'!BO96</f>
        <v>0</v>
      </c>
      <c r="P69" s="2220">
        <f t="shared" si="11"/>
        <v>0</v>
      </c>
    </row>
    <row r="70" spans="1:16" x14ac:dyDescent="0.2">
      <c r="A70" s="553" t="str">
        <f>HEATOUT</f>
        <v>Heat output in TJ</v>
      </c>
      <c r="B70" s="2221">
        <f>SUM(B66:B69)</f>
        <v>0</v>
      </c>
      <c r="C70" s="2221">
        <f t="shared" ref="C70:L70" si="13">SUM(C66:C69)</f>
        <v>0</v>
      </c>
      <c r="D70" s="2221">
        <f t="shared" si="13"/>
        <v>0</v>
      </c>
      <c r="E70" s="2221">
        <f t="shared" si="13"/>
        <v>0</v>
      </c>
      <c r="F70" s="2221">
        <f t="shared" si="13"/>
        <v>0</v>
      </c>
      <c r="G70" s="2221">
        <f t="shared" si="13"/>
        <v>0</v>
      </c>
      <c r="H70" s="2221">
        <f t="shared" si="13"/>
        <v>0</v>
      </c>
      <c r="I70" s="2221">
        <f t="shared" si="13"/>
        <v>0</v>
      </c>
      <c r="J70" s="2221">
        <f t="shared" si="13"/>
        <v>0</v>
      </c>
      <c r="K70" s="2221">
        <f t="shared" si="13"/>
        <v>0</v>
      </c>
      <c r="L70" s="2221">
        <f t="shared" si="13"/>
        <v>0</v>
      </c>
      <c r="M70" s="2221">
        <f>SUM(M66:M69)</f>
        <v>0</v>
      </c>
      <c r="N70" s="2221">
        <f>SUM(N66:N69)</f>
        <v>0</v>
      </c>
      <c r="O70" s="2221">
        <f>SUM(O66:O69)</f>
        <v>0</v>
      </c>
      <c r="P70" s="2222">
        <f t="shared" si="11"/>
        <v>0</v>
      </c>
    </row>
    <row r="71" spans="1:16" x14ac:dyDescent="0.2">
      <c r="A71" s="553" t="str">
        <f>'Disaggregated Balance'!A100</f>
        <v>Efficiencies</v>
      </c>
      <c r="B71" s="2229"/>
      <c r="C71" s="2229"/>
      <c r="D71" s="2229"/>
      <c r="E71" s="2230"/>
      <c r="F71" s="2231"/>
      <c r="G71" s="2231"/>
      <c r="H71" s="2231"/>
      <c r="I71" s="2231"/>
      <c r="J71" s="2231"/>
      <c r="K71" s="2231"/>
      <c r="L71" s="2231"/>
      <c r="M71" s="2231"/>
      <c r="N71" s="2231"/>
      <c r="O71" s="2231"/>
      <c r="P71" s="2232"/>
    </row>
    <row r="72" spans="1:16" x14ac:dyDescent="0.2">
      <c r="A72" s="1046" t="str">
        <f>'Disaggregated Balance'!A101</f>
        <v>Main activity electricity plants</v>
      </c>
      <c r="B72" s="2211">
        <f t="shared" ref="B72:L72" ca="1" si="14">IF(B12&lt;&gt;0,ABS((B62*3.6)/B12),"-")</f>
        <v>0.29741429649028994</v>
      </c>
      <c r="C72" s="2211" t="str">
        <f t="shared" ca="1" si="14"/>
        <v>-</v>
      </c>
      <c r="D72" s="2211" t="str">
        <f t="shared" ca="1" si="14"/>
        <v>-</v>
      </c>
      <c r="E72" s="2211" t="str">
        <f t="shared" ca="1" si="14"/>
        <v>-</v>
      </c>
      <c r="F72" s="2211" t="str">
        <f t="shared" ca="1" si="14"/>
        <v>-</v>
      </c>
      <c r="G72" s="2211" t="str">
        <f t="shared" ca="1" si="14"/>
        <v>-</v>
      </c>
      <c r="H72" s="2211">
        <f t="shared" si="14"/>
        <v>0.33</v>
      </c>
      <c r="I72" s="2211">
        <f t="shared" si="14"/>
        <v>1</v>
      </c>
      <c r="J72" s="2211" t="str">
        <f t="shared" si="14"/>
        <v>-</v>
      </c>
      <c r="K72" s="2211">
        <f t="shared" si="14"/>
        <v>1</v>
      </c>
      <c r="L72" s="2211" t="str">
        <f t="shared" ca="1" si="14"/>
        <v>-</v>
      </c>
      <c r="M72" s="2212"/>
      <c r="N72" s="2212"/>
      <c r="O72" s="2212"/>
      <c r="P72" s="2233"/>
    </row>
    <row r="73" spans="1:16" x14ac:dyDescent="0.2">
      <c r="A73" s="1046" t="str">
        <f>'Disaggregated Balance'!A102</f>
        <v>Autoproducer electricity plants</v>
      </c>
      <c r="B73" s="2211">
        <f t="shared" ref="B73:L73" ca="1" si="15">IF(B13&lt;&gt;0,ABS((B63*3.6)/B13),"-")</f>
        <v>3.4800155164312523</v>
      </c>
      <c r="C73" s="2211" t="str">
        <f t="shared" ca="1" si="15"/>
        <v>-</v>
      </c>
      <c r="D73" s="2211" t="str">
        <f t="shared" ca="1" si="15"/>
        <v>-</v>
      </c>
      <c r="E73" s="2211" t="str">
        <f t="shared" ca="1" si="15"/>
        <v>-</v>
      </c>
      <c r="F73" s="2211" t="str">
        <f t="shared" ca="1" si="15"/>
        <v>-</v>
      </c>
      <c r="G73" s="2211" t="str">
        <f t="shared" ca="1" si="15"/>
        <v>-</v>
      </c>
      <c r="H73" s="2211" t="str">
        <f t="shared" si="15"/>
        <v>-</v>
      </c>
      <c r="I73" s="2211">
        <f t="shared" si="15"/>
        <v>1</v>
      </c>
      <c r="J73" s="2211" t="str">
        <f t="shared" si="15"/>
        <v>-</v>
      </c>
      <c r="K73" s="2211">
        <f t="shared" si="15"/>
        <v>1.0000000000000002</v>
      </c>
      <c r="L73" s="2211">
        <f t="shared" ca="1" si="15"/>
        <v>0.25903646154669968</v>
      </c>
      <c r="M73" s="2212"/>
      <c r="N73" s="2212"/>
      <c r="O73" s="2212"/>
      <c r="P73" s="2234"/>
    </row>
    <row r="74" spans="1:16" x14ac:dyDescent="0.2">
      <c r="A74" s="1046" t="str">
        <f>'Disaggregated Balance'!A103</f>
        <v>Main activity producer CHP plants</v>
      </c>
      <c r="B74" s="2211" t="str">
        <f t="shared" ref="B74:L74" ca="1" si="16">IF(B14&lt;&gt;0,ABS(((B66*1)+(B64*3.6))/B14),"-")</f>
        <v>-</v>
      </c>
      <c r="C74" s="2211" t="str">
        <f t="shared" ca="1" si="16"/>
        <v>-</v>
      </c>
      <c r="D74" s="2211" t="str">
        <f t="shared" ca="1" si="16"/>
        <v>-</v>
      </c>
      <c r="E74" s="2211" t="str">
        <f t="shared" ca="1" si="16"/>
        <v>-</v>
      </c>
      <c r="F74" s="2211" t="str">
        <f t="shared" ca="1" si="16"/>
        <v>-</v>
      </c>
      <c r="G74" s="2211" t="str">
        <f t="shared" ca="1" si="16"/>
        <v>-</v>
      </c>
      <c r="H74" s="2211" t="str">
        <f t="shared" si="16"/>
        <v>-</v>
      </c>
      <c r="I74" s="2211" t="str">
        <f t="shared" si="16"/>
        <v>-</v>
      </c>
      <c r="J74" s="2211" t="str">
        <f t="shared" si="16"/>
        <v>-</v>
      </c>
      <c r="K74" s="2211" t="str">
        <f t="shared" si="16"/>
        <v>-</v>
      </c>
      <c r="L74" s="2211" t="str">
        <f t="shared" ca="1" si="16"/>
        <v>-</v>
      </c>
      <c r="M74" s="2212"/>
      <c r="N74" s="2212"/>
      <c r="O74" s="2212"/>
      <c r="P74" s="2234"/>
    </row>
    <row r="75" spans="1:16" x14ac:dyDescent="0.2">
      <c r="A75" s="1046" t="str">
        <f>'Disaggregated Balance'!A104</f>
        <v>Autoproducer CHP plants</v>
      </c>
      <c r="B75" s="2211" t="str">
        <f t="shared" ref="B75:L75" ca="1" si="17">IF(B15&lt;&gt;0,ABS(((B67*1)+(B65*3.6))/B15),"-")</f>
        <v>-</v>
      </c>
      <c r="C75" s="2211" t="str">
        <f t="shared" ca="1" si="17"/>
        <v>-</v>
      </c>
      <c r="D75" s="2211" t="str">
        <f t="shared" ca="1" si="17"/>
        <v>-</v>
      </c>
      <c r="E75" s="2211" t="str">
        <f t="shared" ca="1" si="17"/>
        <v>-</v>
      </c>
      <c r="F75" s="2211" t="str">
        <f t="shared" ca="1" si="17"/>
        <v>-</v>
      </c>
      <c r="G75" s="2211" t="str">
        <f t="shared" ca="1" si="17"/>
        <v>-</v>
      </c>
      <c r="H75" s="2211" t="str">
        <f t="shared" si="17"/>
        <v>-</v>
      </c>
      <c r="I75" s="2211" t="str">
        <f t="shared" si="17"/>
        <v>-</v>
      </c>
      <c r="J75" s="2211" t="str">
        <f t="shared" si="17"/>
        <v>-</v>
      </c>
      <c r="K75" s="2211" t="str">
        <f t="shared" si="17"/>
        <v>-</v>
      </c>
      <c r="L75" s="2211" t="str">
        <f t="shared" ca="1" si="17"/>
        <v>-</v>
      </c>
      <c r="M75" s="2212"/>
      <c r="N75" s="2212"/>
      <c r="O75" s="2212"/>
      <c r="P75" s="2234"/>
    </row>
    <row r="76" spans="1:16" x14ac:dyDescent="0.2">
      <c r="A76" s="1046" t="str">
        <f>'Disaggregated Balance'!A105</f>
        <v>Main activity producer heat plants</v>
      </c>
      <c r="B76" s="2211" t="str">
        <f t="shared" ref="B76:L76" ca="1" si="18">IF(B16&lt;&gt;0,ABS((B68*1)/B16),"-")</f>
        <v>-</v>
      </c>
      <c r="C76" s="2211" t="str">
        <f t="shared" ca="1" si="18"/>
        <v>-</v>
      </c>
      <c r="D76" s="2211" t="str">
        <f t="shared" ca="1" si="18"/>
        <v>-</v>
      </c>
      <c r="E76" s="2211" t="str">
        <f t="shared" ca="1" si="18"/>
        <v>-</v>
      </c>
      <c r="F76" s="2211" t="str">
        <f t="shared" ca="1" si="18"/>
        <v>-</v>
      </c>
      <c r="G76" s="2211" t="str">
        <f t="shared" ca="1" si="18"/>
        <v>-</v>
      </c>
      <c r="H76" s="2211" t="str">
        <f t="shared" si="18"/>
        <v>-</v>
      </c>
      <c r="I76" s="2211" t="str">
        <f t="shared" si="18"/>
        <v>-</v>
      </c>
      <c r="J76" s="2211" t="str">
        <f t="shared" si="18"/>
        <v>-</v>
      </c>
      <c r="K76" s="2211" t="str">
        <f t="shared" si="18"/>
        <v>-</v>
      </c>
      <c r="L76" s="2211" t="str">
        <f t="shared" ca="1" si="18"/>
        <v>-</v>
      </c>
      <c r="M76" s="2212"/>
      <c r="N76" s="2212"/>
      <c r="O76" s="2212"/>
      <c r="P76" s="2234"/>
    </row>
    <row r="77" spans="1:16" x14ac:dyDescent="0.2">
      <c r="A77" s="1050" t="str">
        <f>'Disaggregated Balance'!A106</f>
        <v>Autoproducer heat plants</v>
      </c>
      <c r="B77" s="2214" t="str">
        <f t="shared" ref="B77:L77" ca="1" si="19">IF(B17&lt;&gt;0,ABS((B69*1)/B17),"-")</f>
        <v>-</v>
      </c>
      <c r="C77" s="2214" t="str">
        <f t="shared" ca="1" si="19"/>
        <v>-</v>
      </c>
      <c r="D77" s="2214" t="str">
        <f t="shared" ca="1" si="19"/>
        <v>-</v>
      </c>
      <c r="E77" s="2214" t="str">
        <f t="shared" ca="1" si="19"/>
        <v>-</v>
      </c>
      <c r="F77" s="2214" t="str">
        <f t="shared" ca="1" si="19"/>
        <v>-</v>
      </c>
      <c r="G77" s="2214" t="str">
        <f t="shared" ca="1" si="19"/>
        <v>-</v>
      </c>
      <c r="H77" s="2214" t="str">
        <f t="shared" si="19"/>
        <v>-</v>
      </c>
      <c r="I77" s="2214" t="str">
        <f t="shared" si="19"/>
        <v>-</v>
      </c>
      <c r="J77" s="2214" t="str">
        <f t="shared" si="19"/>
        <v>-</v>
      </c>
      <c r="K77" s="2214" t="str">
        <f t="shared" si="19"/>
        <v>-</v>
      </c>
      <c r="L77" s="2214" t="str">
        <f t="shared" ca="1" si="19"/>
        <v>-</v>
      </c>
      <c r="M77" s="2215"/>
      <c r="N77" s="2215"/>
      <c r="O77" s="2215"/>
      <c r="P77" s="2235"/>
    </row>
  </sheetData>
  <sheetProtection algorithmName="SHA-512" hashValue="3iMJTzlnUR8XR2TAUQGu5CRWjofDono5zHRdjN0nangFo70x5FHQJPJxLz7E4l+nO69UTb4pfpaUdM98XwXDjw==" saltValue="gOGrcnv/2TmGBtbCUuSGOg==" spinCount="100000" sheet="1" objects="1" scenarios="1"/>
  <conditionalFormatting sqref="B72:L77">
    <cfRule type="expression" dxfId="30" priority="1" stopIfTrue="1">
      <formula>AND(ISNUMBER(B72),B72&gt;1)</formula>
    </cfRule>
  </conditionalFormatting>
  <hyperlinks>
    <hyperlink ref="A17" location="AUTOHEAT" display="AUTOHEAT" xr:uid="{00000000-0004-0000-0C00-000000000000}"/>
    <hyperlink ref="A16" location="MAINHEAT" display="Main Activity Producer Heat Plants           " xr:uid="{00000000-0004-0000-0C00-000001000000}"/>
    <hyperlink ref="A15" location="AUTOCHP" display="AUTOCHP" xr:uid="{00000000-0004-0000-0C00-000002000000}"/>
    <hyperlink ref="A14" location="MAINCHP" display="Main Activity Producer CHP Plants            " xr:uid="{00000000-0004-0000-0C00-000003000000}"/>
    <hyperlink ref="A13" location="AUTOELEC" display="AUTOELEC" xr:uid="{00000000-0004-0000-0C00-000004000000}"/>
    <hyperlink ref="A12" location="MAINELEC" display="Main Activity Producer Electricity Plants    " xr:uid="{00000000-0004-0000-0C00-000005000000}"/>
    <hyperlink ref="A9" location="TPES" display="Total Primary Energy Supply" xr:uid="{00000000-0004-0000-0C00-000006000000}"/>
    <hyperlink ref="A7" location="AVBUNK" display="International Aviation" xr:uid="{00000000-0004-0000-0C00-000007000000}"/>
    <hyperlink ref="A27" location="DISTLOSS" display="DISTLOSS" xr:uid="{00000000-0004-0000-0C00-000008000000}"/>
    <hyperlink ref="A25" location="TNONSPEC" display="TNONSPEC" xr:uid="{00000000-0004-0000-0C00-000009000000}"/>
    <hyperlink ref="A22" location="TREFINER" display="Petroleum Refineries" xr:uid="{00000000-0004-0000-0C00-00000A000000}"/>
    <hyperlink ref="A21" location="TGASWKS" display="Gas Works" xr:uid="{00000000-0004-0000-0C00-00000B000000}"/>
    <hyperlink ref="A11" location="STATDIFF" display="STATDIFF" xr:uid="{00000000-0004-0000-0C00-00000C000000}"/>
    <hyperlink ref="A10" location="TRANSFER" display="TRANSFER" xr:uid="{00000000-0004-0000-0C00-00000D000000}"/>
    <hyperlink ref="A8" location="STOCKCHA" display="Stock Changes" xr:uid="{00000000-0004-0000-0C00-00000E000000}"/>
    <hyperlink ref="A6" location="MARBUNK" display="International Marine Bunkers" xr:uid="{00000000-0004-0000-0C00-00000F000000}"/>
    <hyperlink ref="A5" location="EXPORTS" display="Exports" xr:uid="{00000000-0004-0000-0C00-000010000000}"/>
    <hyperlink ref="A4" location="IMPORTS" display="Imports" xr:uid="{00000000-0004-0000-0C00-000011000000}"/>
    <hyperlink ref="A3" location="INDPROD" display="Production" xr:uid="{00000000-0004-0000-0C00-000012000000}"/>
    <hyperlink ref="A18" location="THEAT" display="Heat pumps" xr:uid="{00000000-0004-0000-0C00-000013000000}"/>
    <hyperlink ref="A19" location="TBOILER" display="Electric boilers" xr:uid="{00000000-0004-0000-0C00-000014000000}"/>
    <hyperlink ref="A20" location="TELE" display="Chemical heat for electricity production     " xr:uid="{00000000-0004-0000-0C00-000015000000}"/>
    <hyperlink ref="A28" location="FINCONS" display="FINCONS" xr:uid="{00000000-0004-0000-0C00-000016000000}"/>
    <hyperlink ref="A29" location="TOTIND" display="TOTIND" xr:uid="{00000000-0004-0000-0C00-000017000000}"/>
    <hyperlink ref="A30" location="IRONST" display="Iron and Steel                               " xr:uid="{00000000-0004-0000-0C00-000018000000}"/>
    <hyperlink ref="A31" location="CHEMICAL" display="CHEMICAL" xr:uid="{00000000-0004-0000-0C00-000019000000}"/>
    <hyperlink ref="A60" location="NECHEM" display="NECHEM" xr:uid="{00000000-0004-0000-0C00-00001A000000}"/>
    <hyperlink ref="A32" location="NONFERR" display="NONFERR" xr:uid="{00000000-0004-0000-0C00-00001B000000}"/>
    <hyperlink ref="A33" location="NONMET" display="NONMET" xr:uid="{00000000-0004-0000-0C00-00001C000000}"/>
    <hyperlink ref="A34" location="TRANSEQ" display="TRANSEQ" xr:uid="{00000000-0004-0000-0C00-00001D000000}"/>
    <hyperlink ref="A35" location="MACHINE" display="MACHINE" xr:uid="{00000000-0004-0000-0C00-00001E000000}"/>
    <hyperlink ref="A36" location="MINING" display="MINING" xr:uid="{00000000-0004-0000-0C00-00001F000000}"/>
    <hyperlink ref="A37" location="FOODPRO" display="FOODPRO" xr:uid="{00000000-0004-0000-0C00-000020000000}"/>
    <hyperlink ref="A38" location="PAPERPRO" display="PAPERPRO" xr:uid="{00000000-0004-0000-0C00-000021000000}"/>
    <hyperlink ref="A39" location="WOODPRO" display="WOODPRO" xr:uid="{00000000-0004-0000-0C00-000022000000}"/>
    <hyperlink ref="A40" location="CONSTRUC" display="CONSTRUC" xr:uid="{00000000-0004-0000-0C00-000023000000}"/>
    <hyperlink ref="A41" location="TEXTILES" display="TEXTILES" xr:uid="{00000000-0004-0000-0C00-000024000000}"/>
    <hyperlink ref="A42" location="INONSPEC" display="INONSPEC" xr:uid="{00000000-0004-0000-0C00-000025000000}"/>
    <hyperlink ref="A43" location="TOTTRANS" display="TOTTRANS" xr:uid="{00000000-0004-0000-0C00-000026000000}"/>
    <hyperlink ref="A44" location="ROAD" display="Road                                         " xr:uid="{00000000-0004-0000-0C00-000027000000}"/>
    <hyperlink ref="A45" location="DOMESAIR" display="Domestic Aviation                            " xr:uid="{00000000-0004-0000-0C00-000028000000}"/>
    <hyperlink ref="A46" location="RAIL" display="Rail                                         " xr:uid="{00000000-0004-0000-0C00-000029000000}"/>
    <hyperlink ref="A47" location="PIPELINE" display="PIPELINE" xr:uid="{00000000-0004-0000-0C00-00002A000000}"/>
    <hyperlink ref="A48" location="DOMESNAV" display="Domestic Navigation                          " xr:uid="{00000000-0004-0000-0C00-00002B000000}"/>
    <hyperlink ref="A51" location="RESIDENT" display="Residential                                  " xr:uid="{00000000-0004-0000-0C00-00002C000000}"/>
    <hyperlink ref="A52" location="COMMPUB" display="COMMPUB" xr:uid="{00000000-0004-0000-0C00-00002D000000}"/>
    <hyperlink ref="A53" location="AGRICULT" display="Agriculture/Forestry                         " xr:uid="{00000000-0004-0000-0C00-00002E000000}"/>
    <hyperlink ref="A55" location="ONONSPEC" display="ONONSPEC" xr:uid="{00000000-0004-0000-0C00-00002F000000}"/>
    <hyperlink ref="A56" location="NONENUSE" display="Non-Energy Use                               " xr:uid="{00000000-0004-0000-0C00-000030000000}"/>
    <hyperlink ref="A70" location="HEATOUT" display="Heat Output in TJ                            " xr:uid="{00000000-0004-0000-0C00-000031000000}"/>
    <hyperlink ref="A61" location="ELOUTPUT" display="Elect.Output in GWh                          " xr:uid="{00000000-0004-0000-0C00-000032000000}"/>
    <hyperlink ref="A54" location="FISHING" display="Fishing                                      " xr:uid="{00000000-0004-0000-0C00-000033000000}"/>
    <hyperlink ref="A49" location="TRNONSPE" display="Non-specified (Transport)                    " xr:uid="{00000000-0004-0000-0C00-000034000000}"/>
    <hyperlink ref="A50" location="TOTOTHER" display="Other Sectors                                " xr:uid="{00000000-0004-0000-0C00-000035000000}"/>
    <hyperlink ref="A57" location="NEINTREN" display="Non-Energy Use Industry/Transformation/Energy" xr:uid="{00000000-0004-0000-0C00-000036000000}"/>
    <hyperlink ref="A58" location="NETRANS" display="Non-Energy Use in Transport                  " xr:uid="{00000000-0004-0000-0C00-000037000000}"/>
    <hyperlink ref="A59" location="NEOTHER" display="Non-Energy Use in Other Sectors              " xr:uid="{00000000-0004-0000-0C00-000038000000}"/>
    <hyperlink ref="A26" location="TOTENGY" display="TOTENGY" xr:uid="{00000000-0004-0000-0C00-000039000000}"/>
  </hyperlinks>
  <pageMargins left="0.7" right="0.7" top="0.75" bottom="0.75" header="0.3" footer="0.3"/>
  <pageSetup paperSize="9" scale="40" orientation="portrait" verticalDpi="120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9">
    <tabColor theme="8" tint="0.59999389629810485"/>
  </sheetPr>
  <dimension ref="A1:AZ75"/>
  <sheetViews>
    <sheetView showGridLines="0" zoomScale="115" zoomScaleNormal="115" workbookViewId="0">
      <selection activeCell="S5" sqref="S5"/>
    </sheetView>
  </sheetViews>
  <sheetFormatPr defaultColWidth="9.140625" defaultRowHeight="9" x14ac:dyDescent="0.15"/>
  <cols>
    <col min="1" max="1" width="30" style="209" customWidth="1"/>
    <col min="2" max="2" width="10.28515625" style="209" bestFit="1" customWidth="1"/>
    <col min="3" max="3" width="9.28515625" style="209" bestFit="1" customWidth="1"/>
    <col min="4" max="4" width="10.7109375" style="209" bestFit="1" customWidth="1"/>
    <col min="5" max="5" width="10.140625" style="209" bestFit="1" customWidth="1"/>
    <col min="6" max="6" width="10.42578125" style="209" bestFit="1" customWidth="1"/>
    <col min="7" max="7" width="9.5703125" style="209" bestFit="1" customWidth="1"/>
    <col min="8" max="9" width="7.5703125" style="209" bestFit="1" customWidth="1"/>
    <col min="10" max="10" width="8.42578125" style="209" bestFit="1" customWidth="1"/>
    <col min="11" max="11" width="7.5703125" style="209" bestFit="1" customWidth="1"/>
    <col min="12" max="12" width="11.42578125" style="209" bestFit="1" customWidth="1"/>
    <col min="13" max="25" width="6.140625" style="209" customWidth="1"/>
    <col min="26" max="26" width="9.140625" style="209"/>
    <col min="27" max="27" width="7" style="209" hidden="1" customWidth="1"/>
    <col min="28" max="28" width="13.5703125" style="209" hidden="1" customWidth="1"/>
    <col min="29" max="29" width="9.140625" style="209" hidden="1" customWidth="1"/>
    <col min="30" max="30" width="11.5703125" style="209" hidden="1" customWidth="1"/>
    <col min="31" max="31" width="1.28515625" style="209" hidden="1" customWidth="1"/>
    <col min="32" max="32" width="11.42578125" style="209" hidden="1" customWidth="1"/>
    <col min="33" max="33" width="3.85546875" style="209" hidden="1" customWidth="1"/>
    <col min="34" max="35" width="6.28515625" style="209" hidden="1" customWidth="1"/>
    <col min="36" max="36" width="5.28515625" style="209" hidden="1" customWidth="1"/>
    <col min="37" max="37" width="6.28515625" style="209" hidden="1" customWidth="1"/>
    <col min="38" max="38" width="5.28515625" style="209" hidden="1" customWidth="1"/>
    <col min="39" max="39" width="7.7109375" style="209" hidden="1" customWidth="1"/>
    <col min="40" max="40" width="6.42578125" style="209" hidden="1" customWidth="1"/>
    <col min="41" max="41" width="6.7109375" style="209" hidden="1" customWidth="1"/>
    <col min="42" max="42" width="3.85546875" style="209" hidden="1" customWidth="1"/>
    <col min="43" max="43" width="4.140625" style="209" hidden="1" customWidth="1"/>
    <col min="44" max="52" width="9.140625" style="209" hidden="1" customWidth="1"/>
    <col min="53" max="16384" width="9.140625" style="209"/>
  </cols>
  <sheetData>
    <row r="1" spans="1:43" ht="23.25" customHeight="1" x14ac:dyDescent="0.15">
      <c r="A1" s="2304" t="str">
        <f ca="1">HLOOKUP(LangChoice,$AB$4:$AD$79,$AA74+1) &amp; " " &amp; TEXT(NOW(),"DD/MM/YY HH:MM")&amp;" (" &amp; HLOOKUP(LangChoice,$AB$4:$AD$79,$AA75+1)  &amp;": "&amp;'Main Menu'!E2&amp;")."</f>
        <v>Energy balance created with IEA balance builder tool based on data provided by the user 04/05/26 19:42 (Version: August 2022.1).</v>
      </c>
      <c r="B1" s="2304"/>
      <c r="C1" s="2304"/>
      <c r="D1" s="2304"/>
      <c r="E1" s="2304"/>
      <c r="F1" s="2304"/>
      <c r="G1" s="2304"/>
      <c r="H1" s="2304"/>
      <c r="I1" s="2304"/>
      <c r="J1" s="2304"/>
      <c r="K1" s="2304"/>
      <c r="L1" s="2304"/>
      <c r="M1" s="802"/>
      <c r="N1" s="802"/>
      <c r="O1" s="802"/>
      <c r="P1" s="802"/>
      <c r="Q1" s="802"/>
      <c r="R1" s="802"/>
      <c r="S1" s="802"/>
      <c r="T1" s="802"/>
      <c r="U1" s="802"/>
      <c r="V1" s="802"/>
      <c r="W1" s="802"/>
      <c r="X1" s="802"/>
      <c r="Y1" s="802"/>
      <c r="AA1" s="1111" t="s">
        <v>7016</v>
      </c>
      <c r="AB1" s="615"/>
      <c r="AC1" s="615"/>
      <c r="AD1" s="615"/>
      <c r="AE1" s="615"/>
      <c r="AF1" s="805"/>
      <c r="AG1" s="615"/>
      <c r="AH1" s="615"/>
      <c r="AI1" s="615"/>
      <c r="AJ1" s="615"/>
      <c r="AK1" s="615"/>
      <c r="AL1" s="615"/>
      <c r="AM1" s="615"/>
      <c r="AN1" s="615"/>
      <c r="AO1" s="615"/>
      <c r="AP1" s="615"/>
      <c r="AQ1" s="1180" t="s">
        <v>7017</v>
      </c>
    </row>
    <row r="3" spans="1:43" ht="15" x14ac:dyDescent="0.15">
      <c r="A3" s="2305" t="str">
        <f>CountryName</f>
        <v>South Africa</v>
      </c>
      <c r="B3" s="2305"/>
      <c r="C3" s="2305"/>
      <c r="D3" s="2305"/>
      <c r="E3" s="2305"/>
      <c r="F3" s="2305"/>
      <c r="G3" s="2305"/>
      <c r="H3" s="2305"/>
      <c r="I3" s="2305"/>
      <c r="J3" s="2305"/>
      <c r="K3" s="2305"/>
      <c r="L3" s="2305"/>
      <c r="M3" s="786"/>
      <c r="N3" s="786"/>
      <c r="O3" s="786"/>
      <c r="P3" s="786"/>
      <c r="Q3" s="786"/>
      <c r="R3" s="786"/>
      <c r="S3" s="786"/>
      <c r="T3" s="786"/>
      <c r="U3" s="786"/>
      <c r="V3" s="786"/>
      <c r="W3" s="786"/>
      <c r="X3" s="786"/>
      <c r="Y3" s="786"/>
      <c r="AB3" s="2307" t="s">
        <v>7018</v>
      </c>
      <c r="AC3" s="2308"/>
      <c r="AD3" s="2309"/>
      <c r="AE3" s="209" t="s">
        <v>322</v>
      </c>
      <c r="AF3" s="1177" t="s">
        <v>7019</v>
      </c>
      <c r="AG3" s="1175"/>
      <c r="AH3" s="1175"/>
      <c r="AI3" s="1175"/>
      <c r="AJ3" s="1175"/>
      <c r="AK3" s="1175"/>
      <c r="AL3" s="1175"/>
      <c r="AM3" s="1175"/>
      <c r="AN3" s="1175"/>
      <c r="AO3" s="1175"/>
      <c r="AP3" s="1175"/>
      <c r="AQ3" s="1176"/>
    </row>
    <row r="4" spans="1:43" ht="15" x14ac:dyDescent="0.15">
      <c r="A4" s="825">
        <f>DataYear</f>
        <v>2019</v>
      </c>
      <c r="B4" s="826"/>
      <c r="C4" s="826"/>
      <c r="D4" s="826"/>
      <c r="E4" s="826"/>
      <c r="F4" s="826"/>
      <c r="G4" s="826"/>
      <c r="H4" s="826"/>
      <c r="I4" s="826"/>
      <c r="J4" s="826"/>
      <c r="K4" s="826"/>
      <c r="L4" s="1227" t="s">
        <v>7020</v>
      </c>
      <c r="M4" s="803"/>
      <c r="N4" s="803"/>
      <c r="O4" s="803"/>
      <c r="P4" s="803"/>
      <c r="Q4" s="803"/>
      <c r="R4" s="803"/>
      <c r="S4" s="803"/>
      <c r="T4" s="803"/>
      <c r="U4" s="803"/>
      <c r="V4" s="803"/>
      <c r="W4" s="803"/>
      <c r="X4" s="803"/>
      <c r="Y4" s="803"/>
      <c r="AB4" s="609" t="s">
        <v>7</v>
      </c>
      <c r="AC4" s="609" t="s">
        <v>8</v>
      </c>
      <c r="AD4" s="609" t="s">
        <v>7021</v>
      </c>
      <c r="AE4" s="209" t="s">
        <v>322</v>
      </c>
      <c r="AG4" s="209">
        <v>1</v>
      </c>
      <c r="AH4" s="209">
        <v>2</v>
      </c>
      <c r="AI4" s="209">
        <v>3</v>
      </c>
      <c r="AJ4" s="209">
        <v>4</v>
      </c>
      <c r="AK4" s="209">
        <v>5</v>
      </c>
      <c r="AL4" s="209">
        <v>6</v>
      </c>
      <c r="AM4" s="209">
        <v>7</v>
      </c>
      <c r="AN4" s="209">
        <v>8</v>
      </c>
      <c r="AO4" s="209">
        <v>9</v>
      </c>
      <c r="AP4" s="209">
        <v>10</v>
      </c>
      <c r="AQ4" s="1179">
        <v>11</v>
      </c>
    </row>
    <row r="5" spans="1:43" ht="12.75" customHeight="1" x14ac:dyDescent="0.15">
      <c r="A5" s="2306" t="str">
        <f>SUBSTITUTE(HLOOKUP(LangChoice,$AB$4:$AD$67,$AA5+1),"Thousand tonnes of oil equivalent (ktoe)","Terajoules (TJ)")</f>
        <v>Terajoules (TJ)</v>
      </c>
      <c r="B5" s="2306"/>
      <c r="C5" s="2306"/>
      <c r="D5" s="2306"/>
      <c r="E5" s="2306"/>
      <c r="F5" s="2306"/>
      <c r="G5" s="2306"/>
      <c r="H5" s="2306"/>
      <c r="I5" s="2306"/>
      <c r="J5" s="2306"/>
      <c r="K5" s="2306"/>
      <c r="L5" s="2306"/>
      <c r="M5" s="636"/>
      <c r="N5" s="636"/>
      <c r="O5" s="636"/>
      <c r="P5" s="636"/>
      <c r="Q5" s="636"/>
      <c r="R5" s="636"/>
      <c r="S5" s="636"/>
      <c r="T5" s="636"/>
      <c r="U5" s="636"/>
      <c r="V5" s="636"/>
      <c r="W5" s="636"/>
      <c r="X5" s="636"/>
      <c r="Y5" s="636"/>
      <c r="AA5" s="209">
        <v>1</v>
      </c>
      <c r="AB5" s="209" t="s">
        <v>7022</v>
      </c>
      <c r="AC5" s="209" t="s">
        <v>7023</v>
      </c>
      <c r="AD5" s="209" t="s">
        <v>7024</v>
      </c>
      <c r="AE5" s="209" t="s">
        <v>322</v>
      </c>
      <c r="AF5" s="616" t="s">
        <v>7</v>
      </c>
      <c r="AG5" s="1174" t="s">
        <v>165</v>
      </c>
      <c r="AH5" s="1174" t="s">
        <v>494</v>
      </c>
      <c r="AI5" s="1174" t="s">
        <v>7025</v>
      </c>
      <c r="AJ5" s="1174" t="s">
        <v>650</v>
      </c>
      <c r="AK5" s="1174" t="s">
        <v>741</v>
      </c>
      <c r="AL5" s="1174" t="s">
        <v>751</v>
      </c>
      <c r="AM5" s="1174" t="s">
        <v>7026</v>
      </c>
      <c r="AN5" s="1174" t="s">
        <v>7027</v>
      </c>
      <c r="AO5" s="1174" t="s">
        <v>7028</v>
      </c>
      <c r="AP5" s="1174" t="s">
        <v>831</v>
      </c>
      <c r="AQ5" s="1174" t="s">
        <v>375</v>
      </c>
    </row>
    <row r="6" spans="1:43" ht="40.5" customHeight="1" x14ac:dyDescent="0.15">
      <c r="A6" s="828" t="str">
        <f t="shared" ref="A6:A36" si="0">HLOOKUP(LangChoice,$AB$4:$AD$67,$AA6+1)</f>
        <v>SUPPLY AND
CONSUMPTION</v>
      </c>
      <c r="B6" s="829" t="str">
        <f t="shared" ref="B6:L6" si="1">VLOOKUP(LangChoice,$AF$4:$AQ$7,AG4+1)</f>
        <v>Coal</v>
      </c>
      <c r="C6" s="827" t="str">
        <f t="shared" si="1"/>
        <v>Crude oil</v>
      </c>
      <c r="D6" s="827" t="str">
        <f t="shared" si="1"/>
        <v>Oil
products</v>
      </c>
      <c r="E6" s="827" t="str">
        <f t="shared" si="1"/>
        <v>Natural gas</v>
      </c>
      <c r="F6" s="827" t="str">
        <f t="shared" si="1"/>
        <v>Nuclear</v>
      </c>
      <c r="G6" s="827" t="str">
        <f t="shared" si="1"/>
        <v>Hydro</v>
      </c>
      <c r="H6" s="827" t="str">
        <f t="shared" si="1"/>
        <v>Geo-therm./
Solar/
etc.</v>
      </c>
      <c r="I6" s="827" t="str">
        <f t="shared" si="1"/>
        <v>Biofuels/
Waste</v>
      </c>
      <c r="J6" s="827" t="str">
        <f t="shared" si="1"/>
        <v>Electri-city</v>
      </c>
      <c r="K6" s="827" t="str">
        <f t="shared" si="1"/>
        <v>Heat</v>
      </c>
      <c r="L6" s="827" t="str">
        <f t="shared" si="1"/>
        <v>Total</v>
      </c>
      <c r="M6" s="804"/>
      <c r="N6" s="804"/>
      <c r="O6" s="804"/>
      <c r="P6" s="804"/>
      <c r="Q6" s="804"/>
      <c r="R6" s="804"/>
      <c r="S6" s="804"/>
      <c r="T6" s="804"/>
      <c r="U6" s="804"/>
      <c r="V6" s="804"/>
      <c r="W6" s="804"/>
      <c r="X6" s="804"/>
      <c r="Y6" s="804"/>
      <c r="AA6" s="209">
        <v>2</v>
      </c>
      <c r="AB6" s="610" t="s">
        <v>7029</v>
      </c>
      <c r="AC6" s="1231" t="s">
        <v>7030</v>
      </c>
      <c r="AD6" s="209" t="s">
        <v>148</v>
      </c>
      <c r="AE6" s="209" t="s">
        <v>322</v>
      </c>
      <c r="AF6" s="1178" t="s">
        <v>8</v>
      </c>
      <c r="AG6" s="1327" t="s">
        <v>7031</v>
      </c>
      <c r="AH6" s="1327" t="s">
        <v>495</v>
      </c>
      <c r="AI6" s="1327" t="s">
        <v>529</v>
      </c>
      <c r="AJ6" s="1328" t="str">
        <f>Definitions_ProdLang!D48</f>
        <v>Природный газ</v>
      </c>
      <c r="AK6" s="1327" t="s">
        <v>742</v>
      </c>
      <c r="AL6" s="1328" t="str">
        <f>Definitions_ProdLang!D63</f>
        <v>Гидроэнергия</v>
      </c>
      <c r="AM6" s="1327" t="s">
        <v>7032</v>
      </c>
      <c r="AN6" s="1327" t="s">
        <v>7033</v>
      </c>
      <c r="AO6" s="1328" t="str">
        <f>Definitions_ProdLang!D73</f>
        <v>Электричество</v>
      </c>
      <c r="AP6" s="1328" t="str">
        <f>Definitions_ProdLang!D74</f>
        <v>Тепло</v>
      </c>
      <c r="AQ6" s="1327" t="s">
        <v>376</v>
      </c>
    </row>
    <row r="7" spans="1:43" x14ac:dyDescent="0.15">
      <c r="A7" s="209" t="str">
        <f t="shared" si="0"/>
        <v>Production</v>
      </c>
      <c r="B7" s="2236">
        <f ca="1">SUM('Aggregated Balance'!$B3:$D3)</f>
        <v>6020866.3651390001</v>
      </c>
      <c r="C7" s="2236">
        <f ca="1">'Aggregated Balance'!E3</f>
        <v>16799.774730999998</v>
      </c>
      <c r="D7" s="2236">
        <f ca="1">'Aggregated Balance'!F3</f>
        <v>570343.99130105122</v>
      </c>
      <c r="E7" s="2236">
        <f>'Aggregated Balance'!G3</f>
        <v>655</v>
      </c>
      <c r="F7" s="2236">
        <f>'Aggregated Balance'!H3</f>
        <v>198135.20818181819</v>
      </c>
      <c r="G7" s="2236">
        <f>'Aggregated Balance'!I3</f>
        <v>-56949.423599999995</v>
      </c>
      <c r="H7" s="2236">
        <f>SUM('Aggregated Balance'!$J3:$K3)</f>
        <v>44033.19</v>
      </c>
      <c r="I7" s="2236">
        <f ca="1">'Aggregated Balance'!L3</f>
        <v>0</v>
      </c>
      <c r="J7" s="2236">
        <f>'Aggregated Balance'!M3</f>
        <v>0</v>
      </c>
      <c r="K7" s="2236">
        <f>'Aggregated Balance'!N3</f>
        <v>0</v>
      </c>
      <c r="L7" s="2236">
        <f t="shared" ref="L7:L12" ca="1" si="2">SUM(B7:K7)</f>
        <v>6793884.1057528695</v>
      </c>
      <c r="M7" s="611"/>
      <c r="N7" s="611"/>
      <c r="O7" s="611"/>
      <c r="P7" s="611"/>
      <c r="Q7" s="611"/>
      <c r="R7" s="611"/>
      <c r="S7" s="611"/>
      <c r="T7" s="611"/>
      <c r="U7" s="611"/>
      <c r="V7" s="611"/>
      <c r="W7" s="611"/>
      <c r="X7" s="611"/>
      <c r="Y7" s="611"/>
      <c r="AA7" s="209">
        <v>3</v>
      </c>
      <c r="AB7" s="1230" t="str">
        <f>Definitions_FlowLang!C5</f>
        <v>Production</v>
      </c>
      <c r="AC7" s="1230" t="str">
        <f>Definitions_FlowLang!D5</f>
        <v>Производство</v>
      </c>
      <c r="AD7" s="1230" t="str">
        <f>Definitions_FlowLang!E5</f>
        <v>产量</v>
      </c>
      <c r="AE7" s="209" t="s">
        <v>322</v>
      </c>
      <c r="AF7" s="616" t="s">
        <v>7021</v>
      </c>
      <c r="AG7" s="209" t="s">
        <v>7034</v>
      </c>
      <c r="AH7" s="209" t="s">
        <v>496</v>
      </c>
      <c r="AI7" s="209" t="s">
        <v>530</v>
      </c>
      <c r="AJ7" s="209" t="s">
        <v>652</v>
      </c>
      <c r="AK7" s="209" t="s">
        <v>743</v>
      </c>
      <c r="AL7" s="209" t="s">
        <v>7035</v>
      </c>
      <c r="AM7" s="209" t="s">
        <v>7036</v>
      </c>
      <c r="AN7" s="209" t="s">
        <v>386</v>
      </c>
      <c r="AO7" s="209" t="s">
        <v>826</v>
      </c>
      <c r="AP7" s="209" t="s">
        <v>833</v>
      </c>
      <c r="AQ7" s="209" t="s">
        <v>347</v>
      </c>
    </row>
    <row r="8" spans="1:43" x14ac:dyDescent="0.15">
      <c r="A8" s="209" t="str">
        <f t="shared" si="0"/>
        <v>Imports</v>
      </c>
      <c r="B8" s="2236">
        <f ca="1">SUM('Aggregated Balance'!$B4:$D4)</f>
        <v>35825.338756000005</v>
      </c>
      <c r="C8" s="2236">
        <f ca="1">'Aggregated Balance'!E4</f>
        <v>1026041.067</v>
      </c>
      <c r="D8" s="2236">
        <f ca="1">'Aggregated Balance'!F4</f>
        <v>267211.1809905867</v>
      </c>
      <c r="E8" s="2236">
        <f ca="1">'Aggregated Balance'!G4</f>
        <v>117397.35703125001</v>
      </c>
      <c r="F8" s="2236">
        <f>'Aggregated Balance'!H4</f>
        <v>0</v>
      </c>
      <c r="G8" s="2236">
        <f>'Aggregated Balance'!I4</f>
        <v>0</v>
      </c>
      <c r="H8" s="2236">
        <f>SUM('Aggregated Balance'!$J4:$K4)</f>
        <v>0</v>
      </c>
      <c r="I8" s="2236">
        <f ca="1">'Aggregated Balance'!L4</f>
        <v>0</v>
      </c>
      <c r="J8" s="2236">
        <f>'Aggregated Balance'!M4</f>
        <v>26967.729600000002</v>
      </c>
      <c r="K8" s="2236">
        <f>'Aggregated Balance'!N4</f>
        <v>0</v>
      </c>
      <c r="L8" s="2236">
        <f t="shared" ca="1" si="2"/>
        <v>1473442.6733778366</v>
      </c>
      <c r="M8" s="611"/>
      <c r="N8" s="611"/>
      <c r="O8" s="611"/>
      <c r="P8" s="611"/>
      <c r="Q8" s="611"/>
      <c r="R8" s="611"/>
      <c r="S8" s="611"/>
      <c r="T8" s="611"/>
      <c r="U8" s="611"/>
      <c r="V8" s="611"/>
      <c r="W8" s="611"/>
      <c r="X8" s="611"/>
      <c r="Y8" s="611"/>
      <c r="AA8" s="209">
        <v>4</v>
      </c>
      <c r="AB8" s="1230" t="str">
        <f>Definitions_FlowLang!C12</f>
        <v>Imports</v>
      </c>
      <c r="AC8" s="1230" t="str">
        <f>Definitions_FlowLang!D12</f>
        <v>Импорт</v>
      </c>
      <c r="AD8" s="1230" t="str">
        <f>Definitions_FlowLang!E12</f>
        <v>进口量</v>
      </c>
      <c r="AE8" s="209" t="s">
        <v>322</v>
      </c>
    </row>
    <row r="9" spans="1:43" x14ac:dyDescent="0.15">
      <c r="A9" s="209" t="str">
        <f t="shared" si="0"/>
        <v>Exports</v>
      </c>
      <c r="B9" s="2236">
        <f ca="1">SUM('Aggregated Balance'!$B5:$D5)</f>
        <v>-1968696.2623530002</v>
      </c>
      <c r="C9" s="2236">
        <f ca="1">'Aggregated Balance'!E5</f>
        <v>-2.1150000315159558</v>
      </c>
      <c r="D9" s="2236">
        <f ca="1">'Aggregated Balance'!F5</f>
        <v>-124974.68523917053</v>
      </c>
      <c r="E9" s="2236">
        <f ca="1">'Aggregated Balance'!G5</f>
        <v>-380.17801208496093</v>
      </c>
      <c r="F9" s="2236">
        <f>'Aggregated Balance'!H5</f>
        <v>0</v>
      </c>
      <c r="G9" s="2236">
        <f>'Aggregated Balance'!I5</f>
        <v>0</v>
      </c>
      <c r="H9" s="2236">
        <f>SUM('Aggregated Balance'!$J5:$K5)</f>
        <v>0</v>
      </c>
      <c r="I9" s="2236">
        <f ca="1">'Aggregated Balance'!L5</f>
        <v>0</v>
      </c>
      <c r="J9" s="2236">
        <f>'Aggregated Balance'!M5</f>
        <v>-50466.747599999995</v>
      </c>
      <c r="K9" s="2236">
        <f>'Aggregated Balance'!N5</f>
        <v>0</v>
      </c>
      <c r="L9" s="2236">
        <f t="shared" ca="1" si="2"/>
        <v>-2144519.9882042869</v>
      </c>
      <c r="M9" s="611"/>
      <c r="N9" s="611"/>
      <c r="O9" s="611"/>
      <c r="P9" s="611"/>
      <c r="Q9" s="611"/>
      <c r="R9" s="611"/>
      <c r="S9" s="611"/>
      <c r="T9" s="611"/>
      <c r="U9" s="611"/>
      <c r="V9" s="611"/>
      <c r="W9" s="611"/>
      <c r="X9" s="611"/>
      <c r="Y9" s="611"/>
      <c r="AA9" s="209">
        <v>5</v>
      </c>
      <c r="AB9" s="1230" t="str">
        <f>Definitions_FlowLang!C13</f>
        <v>Exports</v>
      </c>
      <c r="AC9" s="1230" t="str">
        <f>Definitions_FlowLang!D13</f>
        <v>Экспорт</v>
      </c>
      <c r="AD9" s="1230" t="str">
        <f>Definitions_FlowLang!E13</f>
        <v>出口量</v>
      </c>
      <c r="AE9" s="209" t="s">
        <v>322</v>
      </c>
    </row>
    <row r="10" spans="1:43" x14ac:dyDescent="0.15">
      <c r="A10" s="209" t="str">
        <f t="shared" si="0"/>
        <v>Intl. marine bunkers</v>
      </c>
      <c r="B10" s="2236">
        <f ca="1">SUM('Aggregated Balance'!$B6:$D6)</f>
        <v>0</v>
      </c>
      <c r="C10" s="2236">
        <f ca="1">'Aggregated Balance'!E6</f>
        <v>0</v>
      </c>
      <c r="D10" s="2236">
        <f ca="1">'Aggregated Balance'!F6</f>
        <v>-17668.285618252601</v>
      </c>
      <c r="E10" s="2236">
        <f ca="1">'Aggregated Balance'!G6</f>
        <v>0</v>
      </c>
      <c r="F10" s="2236">
        <f>'Aggregated Balance'!H6</f>
        <v>0</v>
      </c>
      <c r="G10" s="2236">
        <f>'Aggregated Balance'!I6</f>
        <v>0</v>
      </c>
      <c r="H10" s="2236">
        <f>SUM('Aggregated Balance'!$J6:$K6)</f>
        <v>0</v>
      </c>
      <c r="I10" s="2236">
        <f ca="1">'Aggregated Balance'!L6</f>
        <v>0</v>
      </c>
      <c r="J10" s="2236">
        <f>'Aggregated Balance'!M6</f>
        <v>0</v>
      </c>
      <c r="K10" s="2236">
        <f>'Aggregated Balance'!N6</f>
        <v>0</v>
      </c>
      <c r="L10" s="2236">
        <f t="shared" ca="1" si="2"/>
        <v>-17668.285618252601</v>
      </c>
      <c r="M10" s="611"/>
      <c r="N10" s="611"/>
      <c r="O10" s="611"/>
      <c r="P10" s="611"/>
      <c r="Q10" s="611"/>
      <c r="R10" s="611"/>
      <c r="S10" s="611"/>
      <c r="T10" s="611"/>
      <c r="U10" s="611"/>
      <c r="V10" s="611"/>
      <c r="W10" s="611"/>
      <c r="X10" s="611"/>
      <c r="Y10" s="611"/>
      <c r="AA10" s="209">
        <v>6</v>
      </c>
      <c r="AB10" s="209" t="s">
        <v>7037</v>
      </c>
      <c r="AC10" s="1230" t="str">
        <f>Definitions_FlowLang!D14</f>
        <v>международный бункер водных перевозок</v>
      </c>
      <c r="AD10" s="1230" t="str">
        <f>Definitions_FlowLang!E14</f>
        <v>国际海运船舶燃料</v>
      </c>
      <c r="AE10" s="209" t="s">
        <v>322</v>
      </c>
    </row>
    <row r="11" spans="1:43" x14ac:dyDescent="0.15">
      <c r="A11" s="209" t="str">
        <f t="shared" si="0"/>
        <v>Intl. aviation bunkers</v>
      </c>
      <c r="B11" s="2236">
        <f ca="1">SUM('Aggregated Balance'!$B7:$D7)</f>
        <v>0</v>
      </c>
      <c r="C11" s="2236">
        <f ca="1">'Aggregated Balance'!E7</f>
        <v>0</v>
      </c>
      <c r="D11" s="2236">
        <f ca="1">'Aggregated Balance'!F7</f>
        <v>-51.780688566000002</v>
      </c>
      <c r="E11" s="2236">
        <f ca="1">'Aggregated Balance'!G7</f>
        <v>0</v>
      </c>
      <c r="F11" s="2236">
        <f>'Aggregated Balance'!H7</f>
        <v>0</v>
      </c>
      <c r="G11" s="2236">
        <f>'Aggregated Balance'!I7</f>
        <v>0</v>
      </c>
      <c r="H11" s="2236">
        <f>SUM('Aggregated Balance'!$J7:$K7)</f>
        <v>0</v>
      </c>
      <c r="I11" s="2236">
        <f ca="1">'Aggregated Balance'!L7</f>
        <v>0</v>
      </c>
      <c r="J11" s="2236">
        <f>'Aggregated Balance'!M7</f>
        <v>0</v>
      </c>
      <c r="K11" s="2236">
        <f>'Aggregated Balance'!N7</f>
        <v>0</v>
      </c>
      <c r="L11" s="2236">
        <f t="shared" ca="1" si="2"/>
        <v>-51.780688566000002</v>
      </c>
      <c r="M11" s="611"/>
      <c r="N11" s="611"/>
      <c r="O11" s="611"/>
      <c r="P11" s="611"/>
      <c r="Q11" s="611"/>
      <c r="R11" s="611"/>
      <c r="S11" s="611"/>
      <c r="T11" s="611"/>
      <c r="U11" s="611"/>
      <c r="V11" s="611"/>
      <c r="W11" s="611"/>
      <c r="X11" s="611"/>
      <c r="Y11" s="611"/>
      <c r="AA11" s="209">
        <v>7</v>
      </c>
      <c r="AB11" s="209" t="s">
        <v>7038</v>
      </c>
      <c r="AC11" s="1230" t="str">
        <f>Definitions_FlowLang!D15</f>
        <v>международный бункер авиационных перевозок</v>
      </c>
      <c r="AD11" s="1230" t="str">
        <f>Definitions_FlowLang!E15</f>
        <v>国际航空燃料</v>
      </c>
      <c r="AE11" s="209" t="s">
        <v>322</v>
      </c>
      <c r="AM11" s="209" t="s">
        <v>7039</v>
      </c>
    </row>
    <row r="12" spans="1:43" x14ac:dyDescent="0.15">
      <c r="A12" s="1153" t="str">
        <f t="shared" si="0"/>
        <v>Stock changes</v>
      </c>
      <c r="B12" s="2237">
        <f ca="1">SUM('Aggregated Balance'!$B8:$D8)</f>
        <v>0</v>
      </c>
      <c r="C12" s="2237">
        <f ca="1">'Aggregated Balance'!E8</f>
        <v>-17439.866999999998</v>
      </c>
      <c r="D12" s="2237">
        <f ca="1">'Aggregated Balance'!F8</f>
        <v>2309.4816738819077</v>
      </c>
      <c r="E12" s="2237">
        <f ca="1">'Aggregated Balance'!G8</f>
        <v>0</v>
      </c>
      <c r="F12" s="2237">
        <f>'Aggregated Balance'!H8</f>
        <v>0</v>
      </c>
      <c r="G12" s="2237">
        <f>'Aggregated Balance'!I8</f>
        <v>0</v>
      </c>
      <c r="H12" s="2237">
        <f>SUM('Aggregated Balance'!$J8:$K8)</f>
        <v>0</v>
      </c>
      <c r="I12" s="2237">
        <f ca="1">'Aggregated Balance'!L8</f>
        <v>0</v>
      </c>
      <c r="J12" s="2237">
        <f>'Aggregated Balance'!M8</f>
        <v>0</v>
      </c>
      <c r="K12" s="2237">
        <f>'Aggregated Balance'!N8</f>
        <v>0</v>
      </c>
      <c r="L12" s="2237">
        <f t="shared" ca="1" si="2"/>
        <v>-15130.38532611809</v>
      </c>
      <c r="M12" s="611"/>
      <c r="N12" s="611"/>
      <c r="O12" s="611"/>
      <c r="P12" s="611"/>
      <c r="Q12" s="611"/>
      <c r="R12" s="611"/>
      <c r="S12" s="611"/>
      <c r="T12" s="611"/>
      <c r="U12" s="611"/>
      <c r="V12" s="611"/>
      <c r="W12" s="611"/>
      <c r="X12" s="611"/>
      <c r="Y12" s="611"/>
      <c r="AA12" s="209">
        <v>8</v>
      </c>
      <c r="AB12" s="1230" t="str">
        <f>Definitions_FlowLang!C16</f>
        <v>Stock changes</v>
      </c>
      <c r="AC12" s="1230" t="str">
        <f>Definitions_FlowLang!D16</f>
        <v>Изменение остатков</v>
      </c>
      <c r="AD12" s="1230" t="str">
        <f>Definitions_FlowLang!E16</f>
        <v>库存变化</v>
      </c>
      <c r="AE12" s="209" t="s">
        <v>322</v>
      </c>
    </row>
    <row r="13" spans="1:43" x14ac:dyDescent="0.15">
      <c r="A13" s="1154" t="str">
        <f t="shared" si="0"/>
        <v>TPES</v>
      </c>
      <c r="B13" s="2238">
        <f ca="1">SUM(B7:B12)</f>
        <v>4087995.4415419996</v>
      </c>
      <c r="C13" s="2238">
        <f t="shared" ref="C13:L13" ca="1" si="3">SUM(C7:C12)</f>
        <v>1025398.8597309685</v>
      </c>
      <c r="D13" s="2238">
        <f t="shared" ca="1" si="3"/>
        <v>697169.90241953055</v>
      </c>
      <c r="E13" s="2238">
        <f t="shared" ca="1" si="3"/>
        <v>117672.17901916505</v>
      </c>
      <c r="F13" s="2238">
        <f t="shared" si="3"/>
        <v>198135.20818181819</v>
      </c>
      <c r="G13" s="2238">
        <f t="shared" si="3"/>
        <v>-56949.423599999995</v>
      </c>
      <c r="H13" s="2238">
        <f t="shared" si="3"/>
        <v>44033.19</v>
      </c>
      <c r="I13" s="2238">
        <f t="shared" ca="1" si="3"/>
        <v>0</v>
      </c>
      <c r="J13" s="2238">
        <f t="shared" si="3"/>
        <v>-23499.017999999993</v>
      </c>
      <c r="K13" s="2238">
        <f t="shared" si="3"/>
        <v>0</v>
      </c>
      <c r="L13" s="2238">
        <f t="shared" ca="1" si="3"/>
        <v>6089956.3392934818</v>
      </c>
      <c r="M13" s="612"/>
      <c r="N13" s="612"/>
      <c r="O13" s="612"/>
      <c r="P13" s="612"/>
      <c r="Q13" s="612"/>
      <c r="R13" s="612"/>
      <c r="S13" s="612"/>
      <c r="T13" s="612"/>
      <c r="U13" s="612"/>
      <c r="V13" s="612"/>
      <c r="W13" s="612"/>
      <c r="X13" s="612"/>
      <c r="Y13" s="612"/>
      <c r="AA13" s="209">
        <v>9</v>
      </c>
      <c r="AB13" s="209" t="s">
        <v>199</v>
      </c>
      <c r="AC13" s="1230" t="str">
        <f>Definitions_FlowLang!D18</f>
        <v>ОБЩЕЕ ПРЕДЛОЖЕНИЕ ПЕРВИЧНОЙ ЭНЕРГИИ (ОППЭ)</v>
      </c>
      <c r="AD13" s="1230" t="str">
        <f>Definitions_FlowLang!E18</f>
        <v>初级能源供应总量</v>
      </c>
      <c r="AE13" s="209" t="s">
        <v>322</v>
      </c>
    </row>
    <row r="14" spans="1:43" x14ac:dyDescent="0.15">
      <c r="A14" s="209" t="str">
        <f t="shared" si="0"/>
        <v>Transfers</v>
      </c>
      <c r="B14" s="2236">
        <f ca="1">SUM('Aggregated Balance'!$B10:$D10)</f>
        <v>0</v>
      </c>
      <c r="C14" s="2236">
        <f ca="1">'Aggregated Balance'!E10</f>
        <v>-203607.73240000001</v>
      </c>
      <c r="D14" s="2236">
        <f ca="1">'Aggregated Balance'!F10</f>
        <v>0</v>
      </c>
      <c r="E14" s="2236">
        <f ca="1">'Aggregated Balance'!G10</f>
        <v>0</v>
      </c>
      <c r="F14" s="2236">
        <f>'Aggregated Balance'!H10</f>
        <v>0</v>
      </c>
      <c r="G14" s="2236">
        <f>'Aggregated Balance'!I10</f>
        <v>0</v>
      </c>
      <c r="H14" s="2236">
        <f>SUM('Aggregated Balance'!$J10:$K10)</f>
        <v>0</v>
      </c>
      <c r="I14" s="2236">
        <f ca="1">'Aggregated Balance'!L10</f>
        <v>0</v>
      </c>
      <c r="J14" s="2236">
        <f>'Aggregated Balance'!M10</f>
        <v>0</v>
      </c>
      <c r="K14" s="2236">
        <f>'Aggregated Balance'!N10</f>
        <v>0</v>
      </c>
      <c r="L14" s="2236">
        <f t="shared" ref="L14:L60" ca="1" si="4">SUM(B14:K14)</f>
        <v>-203607.73240000001</v>
      </c>
      <c r="M14" s="611"/>
      <c r="N14" s="611"/>
      <c r="O14" s="611"/>
      <c r="P14" s="611"/>
      <c r="Q14" s="611"/>
      <c r="R14" s="611"/>
      <c r="S14" s="611"/>
      <c r="T14" s="611"/>
      <c r="U14" s="611"/>
      <c r="V14" s="611"/>
      <c r="W14" s="611"/>
      <c r="X14" s="611"/>
      <c r="Y14" s="611"/>
      <c r="AA14" s="209">
        <v>10</v>
      </c>
      <c r="AB14" s="1230" t="str">
        <f>Definitions_FlowLang!C19</f>
        <v>Transfers</v>
      </c>
      <c r="AC14" s="1230" t="str">
        <f>Definitions_FlowLang!D19</f>
        <v>Передачи</v>
      </c>
      <c r="AD14" s="1230" t="str">
        <f>Definitions_FlowLang!E19</f>
        <v>转换产出量</v>
      </c>
      <c r="AE14" s="209" t="s">
        <v>322</v>
      </c>
    </row>
    <row r="15" spans="1:43" x14ac:dyDescent="0.15">
      <c r="A15" s="209" t="str">
        <f t="shared" si="0"/>
        <v>Statistical differences</v>
      </c>
      <c r="B15" s="2236">
        <f ca="1">SUM('Aggregated Balance'!$B11:$D11)</f>
        <v>-1141566.6196259996</v>
      </c>
      <c r="C15" s="2236">
        <f ca="1">'Aggregated Balance'!E11</f>
        <v>-195181.67987096848</v>
      </c>
      <c r="D15" s="2236">
        <f ca="1">'Aggregated Balance'!F11</f>
        <v>-445638.05971996346</v>
      </c>
      <c r="E15" s="2236">
        <f ca="1">'Aggregated Balance'!G11</f>
        <v>19331.847036743158</v>
      </c>
      <c r="F15" s="2236">
        <f>'Aggregated Balance'!H11</f>
        <v>-43073.390000000014</v>
      </c>
      <c r="G15" s="2236">
        <f>'Aggregated Balance'!I11</f>
        <v>-781.80000000000609</v>
      </c>
      <c r="H15" s="2236">
        <f>SUM('Aggregated Balance'!$J11:$K11)</f>
        <v>-9805.4700000000012</v>
      </c>
      <c r="I15" s="2236">
        <f ca="1">'Aggregated Balance'!L11</f>
        <v>651219.17000000004</v>
      </c>
      <c r="J15" s="2236">
        <f>'Aggregated Balance'!M11</f>
        <v>13360.503600000171</v>
      </c>
      <c r="K15" s="2236">
        <f>'Aggregated Balance'!N11</f>
        <v>0</v>
      </c>
      <c r="L15" s="2236">
        <f t="shared" ca="1" si="4"/>
        <v>-1152135.4985801883</v>
      </c>
      <c r="M15" s="611"/>
      <c r="N15" s="611"/>
      <c r="O15" s="611"/>
      <c r="P15" s="611"/>
      <c r="Q15" s="611"/>
      <c r="R15" s="611"/>
      <c r="S15" s="611"/>
      <c r="T15" s="611"/>
      <c r="U15" s="611"/>
      <c r="V15" s="611"/>
      <c r="W15" s="611"/>
      <c r="X15" s="611"/>
      <c r="Y15" s="611"/>
      <c r="AA15" s="209">
        <v>11</v>
      </c>
      <c r="AB15" s="1230" t="str">
        <f>Definitions_FlowLang!C20</f>
        <v>Statistical differences</v>
      </c>
      <c r="AC15" s="1230" t="str">
        <f>Definitions_FlowLang!D20</f>
        <v>Статистическое расхождение</v>
      </c>
      <c r="AD15" s="1230" t="str">
        <f>Definitions_FlowLang!E20</f>
        <v>统计差异</v>
      </c>
      <c r="AE15" s="209" t="s">
        <v>322</v>
      </c>
    </row>
    <row r="16" spans="1:43" x14ac:dyDescent="0.15">
      <c r="A16" s="209" t="str">
        <f t="shared" si="0"/>
        <v>Electricity plants</v>
      </c>
      <c r="B16" s="2236">
        <f ca="1">SUM('Aggregated Balance'!$B12:$D13)+SUM('Aggregated Balance'!$B20:$D20)</f>
        <v>-2358752.038251</v>
      </c>
      <c r="C16" s="2236">
        <f ca="1">('Aggregated Balance'!E12)+('Aggregated Balance'!E13)+('Aggregated Balance'!E20)</f>
        <v>0</v>
      </c>
      <c r="D16" s="2236">
        <f ca="1">('Aggregated Balance'!F12)+('Aggregated Balance'!F13)+('Aggregated Balance'!F20)</f>
        <v>0</v>
      </c>
      <c r="E16" s="2236">
        <f ca="1">('Aggregated Balance'!G12)+('Aggregated Balance'!G13)+('Aggregated Balance'!G20)</f>
        <v>0</v>
      </c>
      <c r="F16" s="2236">
        <f>('Aggregated Balance'!H12)+('Aggregated Balance'!H13)+('Aggregated Balance'!H20)</f>
        <v>-155061.81818181818</v>
      </c>
      <c r="G16" s="2236">
        <f>('Aggregated Balance'!I12)+('Aggregated Balance'!I13)+('Aggregated Balance'!I20)</f>
        <v>57731.223599999998</v>
      </c>
      <c r="H16" s="2236">
        <f>SUM('Aggregated Balance'!$J12:$K13)+SUM('Aggregated Balance'!$J20:$K20)</f>
        <v>-34227.72</v>
      </c>
      <c r="I16" s="2236">
        <f ca="1">('Aggregated Balance'!L12)+('Aggregated Balance'!L13)+('Aggregated Balance'!L20)</f>
        <v>-4295.21</v>
      </c>
      <c r="J16" s="2236">
        <f>('Aggregated Balance'!M12)+('Aggregated Balance'!M13)+('Aggregated Balance'!M20)</f>
        <v>753169.56839999999</v>
      </c>
      <c r="K16" s="2236">
        <f>SUM('Aggregated Balance'!N12,'Aggregated Balance'!N13,'Aggregated Balance'!N20)</f>
        <v>0</v>
      </c>
      <c r="L16" s="2236">
        <f t="shared" ca="1" si="4"/>
        <v>-1741435.9944328184</v>
      </c>
      <c r="M16" s="611"/>
      <c r="N16" s="611"/>
      <c r="O16" s="611"/>
      <c r="P16" s="611"/>
      <c r="Q16" s="611"/>
      <c r="R16" s="611"/>
      <c r="S16" s="611"/>
      <c r="T16" s="611"/>
      <c r="U16" s="611"/>
      <c r="V16" s="611"/>
      <c r="W16" s="611"/>
      <c r="X16" s="611"/>
      <c r="Y16" s="611"/>
      <c r="AA16" s="209">
        <v>12</v>
      </c>
      <c r="AB16" s="209" t="s">
        <v>7040</v>
      </c>
      <c r="AC16" s="209" t="s">
        <v>7041</v>
      </c>
      <c r="AD16" s="209" t="s">
        <v>7042</v>
      </c>
      <c r="AE16" s="209" t="s">
        <v>322</v>
      </c>
    </row>
    <row r="17" spans="1:31" x14ac:dyDescent="0.15">
      <c r="A17" s="209" t="str">
        <f t="shared" si="0"/>
        <v>CHP plants</v>
      </c>
      <c r="B17" s="2236">
        <f ca="1">SUM('Aggregated Balance'!$B14:$D14)+SUM('Aggregated Balance'!$B15:$D15)</f>
        <v>0</v>
      </c>
      <c r="C17" s="2236">
        <f ca="1">('Aggregated Balance'!E14)+('Aggregated Balance'!E15)</f>
        <v>0</v>
      </c>
      <c r="D17" s="2236">
        <f ca="1">('Aggregated Balance'!F14)+('Aggregated Balance'!F15)</f>
        <v>0</v>
      </c>
      <c r="E17" s="2236">
        <f ca="1">('Aggregated Balance'!G14)+('Aggregated Balance'!G15)</f>
        <v>0</v>
      </c>
      <c r="F17" s="2236">
        <f>('Aggregated Balance'!H14)+('Aggregated Balance'!H15)</f>
        <v>0</v>
      </c>
      <c r="G17" s="2236">
        <f>('Aggregated Balance'!I14)+('Aggregated Balance'!I15)</f>
        <v>0</v>
      </c>
      <c r="H17" s="2236">
        <f>SUM('Aggregated Balance'!$J14:$K15)</f>
        <v>0</v>
      </c>
      <c r="I17" s="2236">
        <f ca="1">('Aggregated Balance'!L14)+('Aggregated Balance'!L15)</f>
        <v>0</v>
      </c>
      <c r="J17" s="2236">
        <f>('Aggregated Balance'!M14)+('Aggregated Balance'!M15)</f>
        <v>0</v>
      </c>
      <c r="K17" s="2236">
        <f>('Aggregated Balance'!N14)+('Aggregated Balance'!N15)</f>
        <v>0</v>
      </c>
      <c r="L17" s="2236">
        <f t="shared" ca="1" si="4"/>
        <v>0</v>
      </c>
      <c r="M17" s="611"/>
      <c r="N17" s="611"/>
      <c r="O17" s="611"/>
      <c r="P17" s="611"/>
      <c r="Q17" s="611"/>
      <c r="R17" s="611"/>
      <c r="S17" s="611"/>
      <c r="T17" s="611"/>
      <c r="U17" s="611"/>
      <c r="V17" s="611"/>
      <c r="W17" s="611"/>
      <c r="X17" s="611"/>
      <c r="Y17" s="611"/>
      <c r="AA17" s="209">
        <v>13</v>
      </c>
      <c r="AB17" s="209" t="s">
        <v>7043</v>
      </c>
      <c r="AC17" s="209" t="s">
        <v>7044</v>
      </c>
      <c r="AD17" s="209" t="s">
        <v>7045</v>
      </c>
      <c r="AE17" s="209" t="s">
        <v>322</v>
      </c>
    </row>
    <row r="18" spans="1:31" x14ac:dyDescent="0.15">
      <c r="A18" s="209" t="str">
        <f t="shared" si="0"/>
        <v>Heat plants</v>
      </c>
      <c r="B18" s="2236">
        <f ca="1">SUM('Aggregated Balance'!$B16:$D19)</f>
        <v>0</v>
      </c>
      <c r="C18" s="2236">
        <f ca="1">SUM('Aggregated Balance'!E16:E19)</f>
        <v>0</v>
      </c>
      <c r="D18" s="2236">
        <f ca="1">SUM('Aggregated Balance'!F16:F19)</f>
        <v>0</v>
      </c>
      <c r="E18" s="2236">
        <f ca="1">SUM('Aggregated Balance'!G16:G19)</f>
        <v>0</v>
      </c>
      <c r="F18" s="2236">
        <f>SUM('Aggregated Balance'!H16:H19)</f>
        <v>0</v>
      </c>
      <c r="G18" s="2236">
        <f>SUM('Aggregated Balance'!I16:I19)</f>
        <v>0</v>
      </c>
      <c r="H18" s="2236">
        <f>SUM('Aggregated Balance'!$J16:$K19)</f>
        <v>0</v>
      </c>
      <c r="I18" s="2236">
        <f ca="1">SUM('Aggregated Balance'!L16:L19)</f>
        <v>0</v>
      </c>
      <c r="J18" s="2236">
        <f>SUM('Aggregated Balance'!M16:M19)</f>
        <v>0</v>
      </c>
      <c r="K18" s="2236">
        <f>SUM('Aggregated Balance'!N16:N19)</f>
        <v>0</v>
      </c>
      <c r="L18" s="2236">
        <f t="shared" ca="1" si="4"/>
        <v>0</v>
      </c>
      <c r="M18" s="611"/>
      <c r="N18" s="611"/>
      <c r="O18" s="611"/>
      <c r="P18" s="611"/>
      <c r="Q18" s="611"/>
      <c r="R18" s="611"/>
      <c r="S18" s="611"/>
      <c r="T18" s="611"/>
      <c r="U18" s="611"/>
      <c r="V18" s="611"/>
      <c r="W18" s="611"/>
      <c r="X18" s="611"/>
      <c r="Y18" s="611"/>
      <c r="AA18" s="209">
        <v>14</v>
      </c>
      <c r="AB18" s="209" t="s">
        <v>7046</v>
      </c>
      <c r="AC18" s="209" t="s">
        <v>7047</v>
      </c>
      <c r="AD18" s="209" t="s">
        <v>7048</v>
      </c>
      <c r="AE18" s="209" t="s">
        <v>322</v>
      </c>
    </row>
    <row r="19" spans="1:31" x14ac:dyDescent="0.15">
      <c r="A19" s="209" t="str">
        <f t="shared" si="0"/>
        <v>Blast furnaces</v>
      </c>
      <c r="B19" s="2236">
        <f ca="1">SUM('Disaggregated Balance'!E27:V27)</f>
        <v>-27816.063515999998</v>
      </c>
      <c r="C19" s="2236">
        <f ca="1">SUM('Disaggregated Balance'!W27:AA27)</f>
        <v>0</v>
      </c>
      <c r="D19" s="2236">
        <f ca="1">SUM('Disaggregated Balance'!AB27:AR27)</f>
        <v>0</v>
      </c>
      <c r="E19" s="2236">
        <f ca="1">SUM('Disaggregated Balance'!AS27)</f>
        <v>0</v>
      </c>
      <c r="F19" s="2236">
        <f>SUM('Disaggregated Balance'!BE27)</f>
        <v>0</v>
      </c>
      <c r="G19" s="2236">
        <f>SUM('Disaggregated Balance'!BF27)</f>
        <v>0</v>
      </c>
      <c r="H19" s="2236">
        <f>SUM('Disaggregated Balance'!BG27:BL27)</f>
        <v>0</v>
      </c>
      <c r="I19" s="2236">
        <f ca="1">SUM('Disaggregated Balance'!AT27:BD27)</f>
        <v>0</v>
      </c>
      <c r="J19" s="2236">
        <f>SUM('Disaggregated Balance'!BM27)</f>
        <v>0</v>
      </c>
      <c r="K19" s="2236">
        <f>'Disaggregated Balance'!BN27</f>
        <v>0</v>
      </c>
      <c r="L19" s="2236">
        <f t="shared" ca="1" si="4"/>
        <v>-27816.063515999998</v>
      </c>
      <c r="M19" s="611"/>
      <c r="N19" s="611"/>
      <c r="O19" s="611"/>
      <c r="P19" s="611"/>
      <c r="Q19" s="611"/>
      <c r="R19" s="611"/>
      <c r="S19" s="611"/>
      <c r="T19" s="611"/>
      <c r="U19" s="611"/>
      <c r="V19" s="611"/>
      <c r="W19" s="611"/>
      <c r="X19" s="611"/>
      <c r="Y19" s="611"/>
      <c r="AA19" s="209">
        <v>15</v>
      </c>
      <c r="AB19" s="1230" t="str">
        <f>Definitions_FlowLang!C35</f>
        <v>Blast furnaces</v>
      </c>
      <c r="AC19" s="1230" t="str">
        <f>Definitions_FlowLang!D35</f>
        <v>Доменные печи</v>
      </c>
      <c r="AD19" s="1230" t="str">
        <f>Definitions_FlowLang!E35</f>
        <v>高炉</v>
      </c>
      <c r="AE19" s="209" t="s">
        <v>322</v>
      </c>
    </row>
    <row r="20" spans="1:31" x14ac:dyDescent="0.15">
      <c r="A20" s="209" t="str">
        <f t="shared" si="0"/>
        <v>Gas works</v>
      </c>
      <c r="B20" s="2236">
        <f ca="1">SUM('Aggregated Balance'!B21:D21)</f>
        <v>19611.900000000001</v>
      </c>
      <c r="C20" s="2236">
        <f ca="1">'Aggregated Balance'!E21</f>
        <v>0</v>
      </c>
      <c r="D20" s="2236">
        <f ca="1">'Aggregated Balance'!F21</f>
        <v>0</v>
      </c>
      <c r="E20" s="2236">
        <f ca="1">'Aggregated Balance'!G21</f>
        <v>0</v>
      </c>
      <c r="F20" s="2236">
        <f>'Aggregated Balance'!H21</f>
        <v>0</v>
      </c>
      <c r="G20" s="2236">
        <f>'Aggregated Balance'!I21</f>
        <v>0</v>
      </c>
      <c r="H20" s="2236">
        <f>SUM('Aggregated Balance'!J21,'Aggregated Balance'!K21)</f>
        <v>0</v>
      </c>
      <c r="I20" s="2236">
        <f ca="1">'Aggregated Balance'!L21</f>
        <v>0</v>
      </c>
      <c r="J20" s="2236">
        <f>'Aggregated Balance'!M21</f>
        <v>0</v>
      </c>
      <c r="K20" s="2236">
        <f>'Aggregated Balance'!N21</f>
        <v>0</v>
      </c>
      <c r="L20" s="2236">
        <f t="shared" ca="1" si="4"/>
        <v>19611.900000000001</v>
      </c>
      <c r="M20" s="611"/>
      <c r="N20" s="611"/>
      <c r="O20" s="611"/>
      <c r="P20" s="611"/>
      <c r="Q20" s="611"/>
      <c r="R20" s="611"/>
      <c r="S20" s="611"/>
      <c r="T20" s="611"/>
      <c r="U20" s="611"/>
      <c r="V20" s="611"/>
      <c r="W20" s="611"/>
      <c r="X20" s="611"/>
      <c r="Y20" s="611"/>
      <c r="AA20" s="209">
        <v>16</v>
      </c>
      <c r="AB20" s="1230" t="str">
        <f>Definitions_FlowLang!C34</f>
        <v>Gas works</v>
      </c>
      <c r="AC20" s="1230" t="str">
        <f>Definitions_FlowLang!D34</f>
        <v>Газовые заводы</v>
      </c>
      <c r="AD20" s="1230" t="str">
        <f>Definitions_FlowLang!E34</f>
        <v>煤气厂</v>
      </c>
      <c r="AE20" s="209" t="s">
        <v>322</v>
      </c>
    </row>
    <row r="21" spans="1:31" x14ac:dyDescent="0.15">
      <c r="A21" s="209" t="str">
        <f t="shared" si="0"/>
        <v>Coke/pat. fuel/BKB/PB plants</v>
      </c>
      <c r="B21" s="2236">
        <f ca="1">SUM('Disaggregated Balance'!E24:V25,'Disaggregated Balance'!E29:V29)</f>
        <v>1164.1302090000027</v>
      </c>
      <c r="C21" s="2236">
        <f ca="1">SUM('Disaggregated Balance'!W24:AA25,'Disaggregated Balance'!W29:AA29)</f>
        <v>0</v>
      </c>
      <c r="D21" s="2236">
        <f ca="1">SUM('Disaggregated Balance'!AB24:AR25,'Disaggregated Balance'!AB29:AR29)</f>
        <v>0</v>
      </c>
      <c r="E21" s="2236">
        <f ca="1">SUM('Disaggregated Balance'!AS24:AS25,'Disaggregated Balance'!AS29)</f>
        <v>0</v>
      </c>
      <c r="F21" s="2236">
        <f>SUM('Disaggregated Balance'!BE24:BE25,'Disaggregated Balance'!BE29)</f>
        <v>0</v>
      </c>
      <c r="G21" s="2236">
        <f>SUM('Disaggregated Balance'!BF24:BF25,'Disaggregated Balance'!BF29)</f>
        <v>0</v>
      </c>
      <c r="H21" s="2236">
        <f>SUM('Disaggregated Balance'!BG24:BH25,'Disaggregated Balance'!BG29:BH29)</f>
        <v>0</v>
      </c>
      <c r="I21" s="2236">
        <f ca="1">SUM('Disaggregated Balance'!AT24:BD25,'Disaggregated Balance'!AT29:BD29)</f>
        <v>0</v>
      </c>
      <c r="J21" s="2236">
        <f>SUM('Disaggregated Balance'!BM24:BM25,'Disaggregated Balance'!BM29)</f>
        <v>0</v>
      </c>
      <c r="K21" s="2236">
        <f>SUM('Disaggregated Balance'!BN24:BN25,'Disaggregated Balance'!BN29)</f>
        <v>0</v>
      </c>
      <c r="L21" s="2236">
        <f t="shared" ca="1" si="4"/>
        <v>1164.1302090000027</v>
      </c>
      <c r="M21" s="611"/>
      <c r="N21" s="611"/>
      <c r="O21" s="611"/>
      <c r="P21" s="611"/>
      <c r="Q21" s="611"/>
      <c r="R21" s="611"/>
      <c r="S21" s="611"/>
      <c r="T21" s="611"/>
      <c r="U21" s="611"/>
      <c r="V21" s="611"/>
      <c r="W21" s="611"/>
      <c r="X21" s="611"/>
      <c r="Y21" s="611"/>
      <c r="AA21" s="209">
        <v>17</v>
      </c>
      <c r="AB21" s="209" t="s">
        <v>7049</v>
      </c>
      <c r="AC21" s="209" t="s">
        <v>7050</v>
      </c>
      <c r="AD21" s="209" t="s">
        <v>7051</v>
      </c>
      <c r="AE21" s="209" t="s">
        <v>322</v>
      </c>
    </row>
    <row r="22" spans="1:31" x14ac:dyDescent="0.15">
      <c r="A22" s="209" t="str">
        <f t="shared" si="0"/>
        <v>Oil refineries</v>
      </c>
      <c r="B22" s="2236">
        <f ca="1">SUM('Aggregated Balance'!B22:D22)</f>
        <v>0</v>
      </c>
      <c r="C22" s="2236">
        <f ca="1">'Aggregated Balance'!E22</f>
        <v>-830217.17986000003</v>
      </c>
      <c r="D22" s="2236">
        <f ca="1">'Aggregated Balance'!F22</f>
        <v>644759.02067515277</v>
      </c>
      <c r="E22" s="2236">
        <f ca="1">'Aggregated Balance'!G22</f>
        <v>0</v>
      </c>
      <c r="F22" s="2236">
        <f>'Aggregated Balance'!H22</f>
        <v>0</v>
      </c>
      <c r="G22" s="2236">
        <f>'Aggregated Balance'!I22</f>
        <v>0</v>
      </c>
      <c r="H22" s="2236">
        <f>SUM('Aggregated Balance'!J22,'Aggregated Balance'!K22)</f>
        <v>0</v>
      </c>
      <c r="I22" s="2236">
        <f ca="1">'Aggregated Balance'!L22</f>
        <v>0</v>
      </c>
      <c r="J22" s="2236">
        <f>'Aggregated Balance'!M22</f>
        <v>0</v>
      </c>
      <c r="K22" s="2236">
        <f>'Aggregated Balance'!N22</f>
        <v>0</v>
      </c>
      <c r="L22" s="2236">
        <f t="shared" ca="1" si="4"/>
        <v>-185458.15918484726</v>
      </c>
      <c r="M22" s="611"/>
      <c r="N22" s="611"/>
      <c r="O22" s="611"/>
      <c r="P22" s="611"/>
      <c r="Q22" s="611"/>
      <c r="R22" s="611"/>
      <c r="S22" s="611"/>
      <c r="T22" s="611"/>
      <c r="U22" s="611"/>
      <c r="V22" s="611"/>
      <c r="W22" s="611"/>
      <c r="X22" s="611"/>
      <c r="Y22" s="611"/>
      <c r="AA22" s="209">
        <v>18</v>
      </c>
      <c r="AB22" s="1230" t="str">
        <f>Definitions_FlowLang!C38</f>
        <v>Oil refineries</v>
      </c>
      <c r="AC22" s="1230" t="str">
        <f>Definitions_FlowLang!D38</f>
        <v>Нефтеперерабатывающие заводы</v>
      </c>
      <c r="AD22" s="1230" t="str">
        <f>Definitions_FlowLang!E38</f>
        <v>炼油厂</v>
      </c>
      <c r="AE22" s="209" t="s">
        <v>322</v>
      </c>
    </row>
    <row r="23" spans="1:31" x14ac:dyDescent="0.15">
      <c r="A23" s="209" t="str">
        <f t="shared" si="0"/>
        <v>Petrochemical plants</v>
      </c>
      <c r="B23" s="2236">
        <f ca="1">SUM('Disaggregated Balance'!E28:V28)</f>
        <v>0</v>
      </c>
      <c r="C23" s="2236">
        <f ca="1">SUM('Disaggregated Balance'!W28:AA28)</f>
        <v>0</v>
      </c>
      <c r="D23" s="2236">
        <f ca="1">SUM('Disaggregated Balance'!AB28:AR28)</f>
        <v>0</v>
      </c>
      <c r="E23" s="2236">
        <f ca="1">SUM('Disaggregated Balance'!AS28)</f>
        <v>0</v>
      </c>
      <c r="F23" s="2236">
        <f>SUM('Disaggregated Balance'!BE28)</f>
        <v>0</v>
      </c>
      <c r="G23" s="2236">
        <f>SUM('Disaggregated Balance'!BF28)</f>
        <v>0</v>
      </c>
      <c r="H23" s="2236">
        <f>SUM('Disaggregated Balance'!BG28:BL28)</f>
        <v>0</v>
      </c>
      <c r="I23" s="2236">
        <f ca="1">SUM('Disaggregated Balance'!AT28:BD28)</f>
        <v>0</v>
      </c>
      <c r="J23" s="2236">
        <f>SUM('Disaggregated Balance'!BM28)</f>
        <v>0</v>
      </c>
      <c r="K23" s="2236">
        <f>'Disaggregated Balance'!BN28</f>
        <v>0</v>
      </c>
      <c r="L23" s="2236">
        <f t="shared" ca="1" si="4"/>
        <v>0</v>
      </c>
      <c r="M23" s="611"/>
      <c r="N23" s="611"/>
      <c r="O23" s="611"/>
      <c r="P23" s="611"/>
      <c r="Q23" s="611"/>
      <c r="R23" s="611"/>
      <c r="S23" s="611"/>
      <c r="T23" s="611"/>
      <c r="U23" s="611"/>
      <c r="V23" s="611"/>
      <c r="W23" s="611"/>
      <c r="X23" s="611"/>
      <c r="Y23" s="611"/>
      <c r="AA23" s="209">
        <v>19</v>
      </c>
      <c r="AB23" s="1230" t="str">
        <f>Definitions_FlowLang!C36</f>
        <v>Petrochemical plants</v>
      </c>
      <c r="AC23" s="1230" t="str">
        <f>Definitions_FlowLang!D36</f>
        <v>Нефтехимические заводы</v>
      </c>
      <c r="AD23" s="1230" t="str">
        <f>Definitions_FlowLang!E36</f>
        <v>石化厂</v>
      </c>
      <c r="AE23" s="209" t="s">
        <v>322</v>
      </c>
    </row>
    <row r="24" spans="1:31" x14ac:dyDescent="0.15">
      <c r="A24" s="209" t="str">
        <f t="shared" si="0"/>
        <v>Liquefaction plants</v>
      </c>
      <c r="B24" s="2236">
        <f ca="1">SUM('Aggregated Balance'!B24:D24)</f>
        <v>-4926.5172000000002</v>
      </c>
      <c r="C24" s="2236">
        <f ca="1">'Aggregated Balance'!E24</f>
        <v>203607.73240000001</v>
      </c>
      <c r="D24" s="2236">
        <f ca="1">'Aggregated Balance'!F24</f>
        <v>0</v>
      </c>
      <c r="E24" s="2236">
        <f ca="1">'Aggregated Balance'!G24</f>
        <v>-52231.303124999999</v>
      </c>
      <c r="F24" s="2236">
        <f>'Aggregated Balance'!H24</f>
        <v>0</v>
      </c>
      <c r="G24" s="2236">
        <f>'Aggregated Balance'!I24</f>
        <v>0</v>
      </c>
      <c r="H24" s="2236">
        <f>SUM('Aggregated Balance'!J24,'Aggregated Balance'!K24)</f>
        <v>0</v>
      </c>
      <c r="I24" s="2236">
        <f ca="1">'Aggregated Balance'!L24</f>
        <v>0</v>
      </c>
      <c r="J24" s="2236">
        <f>'Aggregated Balance'!M24</f>
        <v>0</v>
      </c>
      <c r="K24" s="2236">
        <f>'Aggregated Balance'!N24</f>
        <v>0</v>
      </c>
      <c r="L24" s="2236">
        <f t="shared" ca="1" si="4"/>
        <v>146449.912075</v>
      </c>
      <c r="M24" s="611"/>
      <c r="N24" s="611"/>
      <c r="O24" s="611"/>
      <c r="P24" s="611"/>
      <c r="Q24" s="611"/>
      <c r="R24" s="611"/>
      <c r="S24" s="611"/>
      <c r="T24" s="611"/>
      <c r="U24" s="611"/>
      <c r="V24" s="611"/>
      <c r="W24" s="611"/>
      <c r="X24" s="611"/>
      <c r="Y24" s="611"/>
      <c r="AA24" s="209">
        <v>20</v>
      </c>
      <c r="AB24" s="209" t="s">
        <v>404</v>
      </c>
      <c r="AC24" s="209" t="s">
        <v>7052</v>
      </c>
      <c r="AD24" s="209" t="s">
        <v>406</v>
      </c>
      <c r="AE24" s="209" t="s">
        <v>322</v>
      </c>
    </row>
    <row r="25" spans="1:31" x14ac:dyDescent="0.15">
      <c r="A25" s="209" t="str">
        <f t="shared" si="0"/>
        <v>Other transformation</v>
      </c>
      <c r="B25" s="2236">
        <f ca="1">SUM('Aggregated Balance'!B25:D25)</f>
        <v>0</v>
      </c>
      <c r="C25" s="2236">
        <f ca="1">SUM('Disaggregated Balance'!W34:AA35)</f>
        <v>0</v>
      </c>
      <c r="D25" s="2236">
        <f ca="1">SUM('Disaggregated Balance'!AB34:AR35)</f>
        <v>0</v>
      </c>
      <c r="E25" s="2236">
        <f ca="1">'Aggregated Balance'!G25</f>
        <v>0</v>
      </c>
      <c r="F25" s="2236">
        <f>'Aggregated Balance'!H25</f>
        <v>0</v>
      </c>
      <c r="G25" s="2236">
        <f>'Aggregated Balance'!I25</f>
        <v>0</v>
      </c>
      <c r="H25" s="2236">
        <f>SUM('Aggregated Balance'!J25,'Aggregated Balance'!K25)</f>
        <v>0</v>
      </c>
      <c r="I25" s="2236">
        <f ca="1">'Aggregated Balance'!L25</f>
        <v>-221501.67</v>
      </c>
      <c r="J25" s="2236">
        <f>'Aggregated Balance'!M25</f>
        <v>0</v>
      </c>
      <c r="K25" s="2236">
        <f>'Aggregated Balance'!N25</f>
        <v>0</v>
      </c>
      <c r="L25" s="2236">
        <f t="shared" ca="1" si="4"/>
        <v>-221501.67</v>
      </c>
      <c r="M25" s="611"/>
      <c r="N25" s="611"/>
      <c r="O25" s="611"/>
      <c r="P25" s="611"/>
      <c r="Q25" s="611"/>
      <c r="R25" s="611"/>
      <c r="S25" s="611"/>
      <c r="T25" s="611"/>
      <c r="U25" s="611"/>
      <c r="V25" s="611"/>
      <c r="W25" s="611"/>
      <c r="X25" s="611"/>
      <c r="Y25" s="611"/>
      <c r="AA25" s="209">
        <v>21</v>
      </c>
      <c r="AB25" s="209" t="s">
        <v>7053</v>
      </c>
      <c r="AC25" s="209" t="s">
        <v>7054</v>
      </c>
      <c r="AD25" s="209" t="str">
        <f>Definitions_FlowLang!E43</f>
        <v>未列明的产业（转换）</v>
      </c>
      <c r="AE25" s="209" t="s">
        <v>322</v>
      </c>
    </row>
    <row r="26" spans="1:31" x14ac:dyDescent="0.15">
      <c r="A26" s="209" t="str">
        <f t="shared" si="0"/>
        <v>Energy industry own use</v>
      </c>
      <c r="B26" s="2236">
        <f ca="1">SUM('Aggregated Balance'!B26:D26)</f>
        <v>-7406.7857999999997</v>
      </c>
      <c r="C26" s="2236">
        <f ca="1">'Aggregated Balance'!E26</f>
        <v>0</v>
      </c>
      <c r="D26" s="2236">
        <f ca="1">'Aggregated Balance'!F26</f>
        <v>0</v>
      </c>
      <c r="E26" s="2236">
        <f ca="1">'Aggregated Balance'!G26</f>
        <v>-13881.58681640625</v>
      </c>
      <c r="F26" s="2236">
        <f>'Aggregated Balance'!H26</f>
        <v>0</v>
      </c>
      <c r="G26" s="2236">
        <f>'Aggregated Balance'!I26</f>
        <v>0</v>
      </c>
      <c r="H26" s="2236">
        <f>SUM('Aggregated Balance'!J26,'Aggregated Balance'!K26)</f>
        <v>0</v>
      </c>
      <c r="I26" s="2236">
        <f ca="1">'Aggregated Balance'!L26</f>
        <v>0</v>
      </c>
      <c r="J26" s="2236">
        <f>'Aggregated Balance'!M26</f>
        <v>1123.4303999999975</v>
      </c>
      <c r="K26" s="2236">
        <f>'Aggregated Balance'!N26</f>
        <v>0</v>
      </c>
      <c r="L26" s="2236">
        <f t="shared" ca="1" si="4"/>
        <v>-20164.942216406253</v>
      </c>
      <c r="M26" s="611"/>
      <c r="N26" s="611"/>
      <c r="O26" s="611"/>
      <c r="P26" s="611"/>
      <c r="Q26" s="611"/>
      <c r="R26" s="611"/>
      <c r="S26" s="611"/>
      <c r="T26" s="611"/>
      <c r="U26" s="611"/>
      <c r="V26" s="611"/>
      <c r="W26" s="611"/>
      <c r="X26" s="611"/>
      <c r="Y26" s="611"/>
      <c r="AA26" s="209">
        <v>22</v>
      </c>
      <c r="AB26" s="1230" t="str">
        <f>Definitions_FlowLang!C45</f>
        <v>Energy industry own use</v>
      </c>
      <c r="AC26" s="1230" t="str">
        <f>Definitions_FlowLang!D45</f>
        <v>Собственное использование сектором энергетики</v>
      </c>
      <c r="AD26" s="1230" t="str">
        <f>Definitions_FlowLang!E45</f>
        <v>能源行业自用</v>
      </c>
      <c r="AE26" s="209" t="s">
        <v>322</v>
      </c>
    </row>
    <row r="27" spans="1:31" x14ac:dyDescent="0.15">
      <c r="A27" s="1153" t="str">
        <f t="shared" si="0"/>
        <v>Losses</v>
      </c>
      <c r="B27" s="2237">
        <f ca="1">SUM('Aggregated Balance'!B27:D27)</f>
        <v>0</v>
      </c>
      <c r="C27" s="2237">
        <f ca="1">'Aggregated Balance'!E27</f>
        <v>0</v>
      </c>
      <c r="D27" s="2237">
        <f ca="1">'Aggregated Balance'!F27</f>
        <v>0</v>
      </c>
      <c r="E27" s="2237">
        <f ca="1">'Aggregated Balance'!G27</f>
        <v>0</v>
      </c>
      <c r="F27" s="2237">
        <f>'Aggregated Balance'!H27</f>
        <v>0</v>
      </c>
      <c r="G27" s="2237">
        <f>'Aggregated Balance'!I27</f>
        <v>0</v>
      </c>
      <c r="H27" s="2237">
        <f>SUM('Aggregated Balance'!J27,'Aggregated Balance'!K27)</f>
        <v>0</v>
      </c>
      <c r="I27" s="2237">
        <f ca="1">'Aggregated Balance'!L27</f>
        <v>0</v>
      </c>
      <c r="J27" s="2237">
        <f>'Aggregated Balance'!M27</f>
        <v>-27669.600000000002</v>
      </c>
      <c r="K27" s="2237">
        <f>'Aggregated Balance'!N27</f>
        <v>0</v>
      </c>
      <c r="L27" s="2237">
        <f t="shared" ca="1" si="4"/>
        <v>-27669.600000000002</v>
      </c>
      <c r="M27" s="611"/>
      <c r="N27" s="611"/>
      <c r="O27" s="611"/>
      <c r="P27" s="611"/>
      <c r="Q27" s="611"/>
      <c r="R27" s="611"/>
      <c r="S27" s="611"/>
      <c r="T27" s="611"/>
      <c r="U27" s="611"/>
      <c r="V27" s="611"/>
      <c r="W27" s="611"/>
      <c r="X27" s="611"/>
      <c r="Y27" s="611"/>
      <c r="AA27" s="209">
        <v>23</v>
      </c>
      <c r="AB27" s="1230" t="str">
        <f>Definitions_FlowLang!C63</f>
        <v>Losses</v>
      </c>
      <c r="AC27" s="1230" t="str">
        <f>Definitions_FlowLang!D63</f>
        <v>Потери</v>
      </c>
      <c r="AD27" s="1230" t="str">
        <f>Definitions_FlowLang!E63</f>
        <v>损耗</v>
      </c>
      <c r="AE27" s="209" t="s">
        <v>322</v>
      </c>
    </row>
    <row r="28" spans="1:31" x14ac:dyDescent="0.15">
      <c r="A28" s="1154" t="str">
        <f t="shared" si="0"/>
        <v>TFC</v>
      </c>
      <c r="B28" s="2238">
        <f t="shared" ref="B28:K28" ca="1" si="5">SUM(B29,B43,B50,B56)</f>
        <v>568303.44735800009</v>
      </c>
      <c r="C28" s="2238">
        <f t="shared" ca="1" si="5"/>
        <v>0</v>
      </c>
      <c r="D28" s="2238">
        <f t="shared" ca="1" si="5"/>
        <v>896290.86337471986</v>
      </c>
      <c r="E28" s="2238">
        <f t="shared" ca="1" si="5"/>
        <v>70891.136114501962</v>
      </c>
      <c r="F28" s="2238">
        <f t="shared" si="5"/>
        <v>0</v>
      </c>
      <c r="G28" s="2238">
        <f t="shared" si="5"/>
        <v>0</v>
      </c>
      <c r="H28" s="2238">
        <f t="shared" si="5"/>
        <v>0</v>
      </c>
      <c r="I28" s="2238">
        <f t="shared" ca="1" si="5"/>
        <v>425422.29000000004</v>
      </c>
      <c r="J28" s="2238">
        <f t="shared" si="5"/>
        <v>716484.8844000001</v>
      </c>
      <c r="K28" s="2238">
        <f t="shared" si="5"/>
        <v>0</v>
      </c>
      <c r="L28" s="2238">
        <f t="shared" ca="1" si="4"/>
        <v>2677392.6212472217</v>
      </c>
      <c r="M28" s="612"/>
      <c r="N28" s="612"/>
      <c r="O28" s="612"/>
      <c r="P28" s="612"/>
      <c r="Q28" s="612"/>
      <c r="R28" s="612"/>
      <c r="S28" s="612"/>
      <c r="T28" s="612"/>
      <c r="U28" s="612"/>
      <c r="V28" s="612"/>
      <c r="W28" s="612"/>
      <c r="X28" s="612"/>
      <c r="Y28" s="612"/>
      <c r="AA28" s="209">
        <v>24</v>
      </c>
      <c r="AB28" s="209" t="s">
        <v>7055</v>
      </c>
      <c r="AC28" s="1230" t="str">
        <f>UPPER(Definitions_FlowLang!D65)</f>
        <v>ОБЩЕЕ ПОТРЕБЛЕНИЕ</v>
      </c>
      <c r="AD28" s="1230" t="str">
        <f>UPPER(Definitions_FlowLang!E65)</f>
        <v>终端消费量</v>
      </c>
      <c r="AE28" s="209" t="s">
        <v>322</v>
      </c>
    </row>
    <row r="29" spans="1:31" x14ac:dyDescent="0.15">
      <c r="A29" s="609" t="str">
        <f t="shared" si="0"/>
        <v>INDUSTRY</v>
      </c>
      <c r="B29" s="2239">
        <f ca="1">SUM(B30:B42)</f>
        <v>530349.58198600006</v>
      </c>
      <c r="C29" s="2239">
        <f t="shared" ref="C29:K29" ca="1" si="6">SUM(C30:C42)</f>
        <v>0</v>
      </c>
      <c r="D29" s="2239">
        <f t="shared" ca="1" si="6"/>
        <v>74681.106849156553</v>
      </c>
      <c r="E29" s="2239">
        <f t="shared" ca="1" si="6"/>
        <v>69571.799121093762</v>
      </c>
      <c r="F29" s="2239">
        <f t="shared" si="6"/>
        <v>0</v>
      </c>
      <c r="G29" s="2239">
        <f t="shared" si="6"/>
        <v>0</v>
      </c>
      <c r="H29" s="2239">
        <f t="shared" si="6"/>
        <v>0</v>
      </c>
      <c r="I29" s="2239">
        <f t="shared" ca="1" si="6"/>
        <v>81176.2</v>
      </c>
      <c r="J29" s="2239">
        <f t="shared" si="6"/>
        <v>372905.17920000001</v>
      </c>
      <c r="K29" s="2239">
        <f t="shared" si="6"/>
        <v>0</v>
      </c>
      <c r="L29" s="2239">
        <f t="shared" ca="1" si="4"/>
        <v>1128683.8671562504</v>
      </c>
      <c r="M29" s="612"/>
      <c r="N29" s="612"/>
      <c r="O29" s="612"/>
      <c r="P29" s="612"/>
      <c r="Q29" s="612"/>
      <c r="R29" s="612"/>
      <c r="S29" s="612"/>
      <c r="T29" s="612"/>
      <c r="U29" s="612"/>
      <c r="V29" s="612"/>
      <c r="W29" s="612"/>
      <c r="X29" s="612"/>
      <c r="Y29" s="612"/>
      <c r="AA29" s="209">
        <v>25</v>
      </c>
      <c r="AB29" s="1230" t="str">
        <f>UPPER(Definitions_FlowLang!C66)</f>
        <v>INDUSTRY</v>
      </c>
      <c r="AC29" s="1230" t="str">
        <f>UPPER(Definitions_FlowLang!D66)</f>
        <v>СЕКТОР ПРОМЫШЛЕННОСТИ</v>
      </c>
      <c r="AD29" s="1230" t="str">
        <f>UPPER(Definitions_FlowLang!E66)</f>
        <v>工业部门</v>
      </c>
      <c r="AE29" s="209" t="s">
        <v>322</v>
      </c>
    </row>
    <row r="30" spans="1:31" x14ac:dyDescent="0.15">
      <c r="A30" s="209" t="str">
        <f t="shared" si="0"/>
        <v>Iron and steel</v>
      </c>
      <c r="B30" s="2236">
        <f ca="1">SUM('Aggregated Balance'!B30:D30)</f>
        <v>109100.78983800001</v>
      </c>
      <c r="C30" s="2236">
        <f ca="1">'Aggregated Balance'!E30</f>
        <v>0</v>
      </c>
      <c r="D30" s="2236">
        <f ca="1">'Aggregated Balance'!F30</f>
        <v>573.57222238803092</v>
      </c>
      <c r="E30" s="2236">
        <f ca="1">'Aggregated Balance'!G30</f>
        <v>9000.9</v>
      </c>
      <c r="F30" s="2236">
        <f>'Aggregated Balance'!H30</f>
        <v>0</v>
      </c>
      <c r="G30" s="2236">
        <f>'Aggregated Balance'!I30</f>
        <v>0</v>
      </c>
      <c r="H30" s="2236">
        <f>SUM('Aggregated Balance'!J30,'Aggregated Balance'!K30)</f>
        <v>0</v>
      </c>
      <c r="I30" s="2236">
        <f ca="1">'Aggregated Balance'!L30</f>
        <v>0</v>
      </c>
      <c r="J30" s="2236">
        <f>'Aggregated Balance'!M30</f>
        <v>67765.535999999993</v>
      </c>
      <c r="K30" s="2236">
        <f>'Aggregated Balance'!N30</f>
        <v>0</v>
      </c>
      <c r="L30" s="2236">
        <f t="shared" ca="1" si="4"/>
        <v>186440.79806038801</v>
      </c>
      <c r="M30" s="611"/>
      <c r="N30" s="611"/>
      <c r="O30" s="611"/>
      <c r="P30" s="611"/>
      <c r="Q30" s="611"/>
      <c r="R30" s="611"/>
      <c r="S30" s="611"/>
      <c r="T30" s="611"/>
      <c r="U30" s="611"/>
      <c r="V30" s="611"/>
      <c r="W30" s="611"/>
      <c r="X30" s="611"/>
      <c r="Y30" s="611"/>
      <c r="AA30" s="209">
        <v>26</v>
      </c>
      <c r="AB30" s="1230" t="str">
        <f>Definitions_FlowLang!C67</f>
        <v>Iron and steel</v>
      </c>
      <c r="AC30" s="1230" t="str">
        <f>Definitions_FlowLang!D67</f>
        <v>Черная металлургия</v>
      </c>
      <c r="AD30" s="1230" t="str">
        <f>Definitions_FlowLang!E67</f>
        <v>钢铁</v>
      </c>
      <c r="AE30" s="209" t="s">
        <v>322</v>
      </c>
    </row>
    <row r="31" spans="1:31" x14ac:dyDescent="0.15">
      <c r="A31" s="209" t="str">
        <f t="shared" si="0"/>
        <v>Chemical and petrochemical</v>
      </c>
      <c r="B31" s="2236">
        <f ca="1">SUM('Aggregated Balance'!B31:D31)</f>
        <v>48649.251940000002</v>
      </c>
      <c r="C31" s="2236">
        <f ca="1">'Aggregated Balance'!E31</f>
        <v>0</v>
      </c>
      <c r="D31" s="2236">
        <f ca="1">'Aggregated Balance'!F31</f>
        <v>86.288129159782414</v>
      </c>
      <c r="E31" s="2236">
        <f ca="1">'Aggregated Balance'!G31</f>
        <v>41859</v>
      </c>
      <c r="F31" s="2236">
        <f>'Aggregated Balance'!H31</f>
        <v>0</v>
      </c>
      <c r="G31" s="2236">
        <f>'Aggregated Balance'!I31</f>
        <v>0</v>
      </c>
      <c r="H31" s="2236">
        <f>SUM('Aggregated Balance'!J31,'Aggregated Balance'!K31)</f>
        <v>0</v>
      </c>
      <c r="I31" s="2236">
        <f ca="1">'Aggregated Balance'!L31</f>
        <v>0</v>
      </c>
      <c r="J31" s="2236">
        <f>'Aggregated Balance'!M31</f>
        <v>28702.126800000002</v>
      </c>
      <c r="K31" s="2236">
        <f>'Aggregated Balance'!N31</f>
        <v>0</v>
      </c>
      <c r="L31" s="2236">
        <f t="shared" ca="1" si="4"/>
        <v>119296.66686915979</v>
      </c>
      <c r="M31" s="611"/>
      <c r="N31" s="611"/>
      <c r="O31" s="611"/>
      <c r="P31" s="611"/>
      <c r="Q31" s="611"/>
      <c r="R31" s="611"/>
      <c r="S31" s="611"/>
      <c r="T31" s="611"/>
      <c r="U31" s="611"/>
      <c r="V31" s="611"/>
      <c r="W31" s="611"/>
      <c r="X31" s="611"/>
      <c r="Y31" s="611"/>
      <c r="AA31" s="209">
        <v>27</v>
      </c>
      <c r="AB31" s="1230" t="str">
        <f>Definitions_FlowLang!C68</f>
        <v>Chemical and petrochemical</v>
      </c>
      <c r="AC31" s="1230" t="str">
        <f>Definitions_FlowLang!D68</f>
        <v>Химическая (в т.ч. нефтехимическая) промышленность</v>
      </c>
      <c r="AD31" s="1230" t="str">
        <f>Definitions_FlowLang!E68</f>
        <v>化学和石油化工</v>
      </c>
      <c r="AE31" s="209" t="s">
        <v>322</v>
      </c>
    </row>
    <row r="32" spans="1:31" x14ac:dyDescent="0.15">
      <c r="A32" s="209" t="str">
        <f t="shared" si="0"/>
        <v>Non-ferrous metals</v>
      </c>
      <c r="B32" s="2236">
        <f ca="1">SUM('Aggregated Balance'!B32:D32)</f>
        <v>63789.852151999999</v>
      </c>
      <c r="C32" s="2236">
        <f ca="1">'Aggregated Balance'!E32</f>
        <v>0</v>
      </c>
      <c r="D32" s="2236">
        <f ca="1">'Aggregated Balance'!F32</f>
        <v>0</v>
      </c>
      <c r="E32" s="2236">
        <f ca="1">'Aggregated Balance'!G32</f>
        <v>347.40000000000003</v>
      </c>
      <c r="F32" s="2236">
        <f>'Aggregated Balance'!H32</f>
        <v>0</v>
      </c>
      <c r="G32" s="2236">
        <f>'Aggregated Balance'!I32</f>
        <v>0</v>
      </c>
      <c r="H32" s="2236">
        <f>SUM('Aggregated Balance'!J32,'Aggregated Balance'!K32)</f>
        <v>0</v>
      </c>
      <c r="I32" s="2236">
        <f ca="1">'Aggregated Balance'!L32</f>
        <v>0</v>
      </c>
      <c r="J32" s="2236">
        <f>'Aggregated Balance'!M32</f>
        <v>53784.424800000001</v>
      </c>
      <c r="K32" s="2236">
        <f>'Aggregated Balance'!N32</f>
        <v>0</v>
      </c>
      <c r="L32" s="2236">
        <f t="shared" ca="1" si="4"/>
        <v>117921.67695200001</v>
      </c>
      <c r="M32" s="611"/>
      <c r="N32" s="611"/>
      <c r="O32" s="611"/>
      <c r="P32" s="611"/>
      <c r="Q32" s="611"/>
      <c r="R32" s="611"/>
      <c r="S32" s="611"/>
      <c r="T32" s="611"/>
      <c r="U32" s="611"/>
      <c r="V32" s="611"/>
      <c r="W32" s="611"/>
      <c r="X32" s="611"/>
      <c r="Y32" s="611"/>
      <c r="AA32" s="209">
        <v>28</v>
      </c>
      <c r="AB32" s="1230" t="str">
        <f>Definitions_FlowLang!C69</f>
        <v>Non-ferrous metals</v>
      </c>
      <c r="AC32" s="1230" t="str">
        <f>Definitions_FlowLang!D69</f>
        <v>Цветная металлургия</v>
      </c>
      <c r="AD32" s="1230" t="str">
        <f>Definitions_FlowLang!E69</f>
        <v>有色金属</v>
      </c>
      <c r="AE32" s="209" t="s">
        <v>322</v>
      </c>
    </row>
    <row r="33" spans="1:31" x14ac:dyDescent="0.15">
      <c r="A33" s="209" t="str">
        <f t="shared" si="0"/>
        <v>Non-metallic minerals</v>
      </c>
      <c r="B33" s="2236">
        <f ca="1">SUM('Aggregated Balance'!B33:D33)</f>
        <v>29464.014184</v>
      </c>
      <c r="C33" s="2236">
        <f ca="1">'Aggregated Balance'!E33</f>
        <v>0</v>
      </c>
      <c r="D33" s="2236">
        <f ca="1">'Aggregated Balance'!F33</f>
        <v>380.34262711914062</v>
      </c>
      <c r="E33" s="2236">
        <f ca="1">'Aggregated Balance'!G33</f>
        <v>11222.99912109375</v>
      </c>
      <c r="F33" s="2236">
        <f>'Aggregated Balance'!H33</f>
        <v>0</v>
      </c>
      <c r="G33" s="2236">
        <f>'Aggregated Balance'!I33</f>
        <v>0</v>
      </c>
      <c r="H33" s="2236">
        <f>SUM('Aggregated Balance'!J33,'Aggregated Balance'!K33)</f>
        <v>0</v>
      </c>
      <c r="I33" s="2236">
        <f ca="1">'Aggregated Balance'!L33</f>
        <v>0</v>
      </c>
      <c r="J33" s="2236">
        <f>'Aggregated Balance'!M33</f>
        <v>7549.866</v>
      </c>
      <c r="K33" s="2236">
        <f>'Aggregated Balance'!N33</f>
        <v>0</v>
      </c>
      <c r="L33" s="2236">
        <f t="shared" ca="1" si="4"/>
        <v>48617.221932212895</v>
      </c>
      <c r="M33" s="611"/>
      <c r="N33" s="611"/>
      <c r="O33" s="611"/>
      <c r="P33" s="611"/>
      <c r="Q33" s="611"/>
      <c r="R33" s="611"/>
      <c r="S33" s="611"/>
      <c r="T33" s="611"/>
      <c r="U33" s="611"/>
      <c r="V33" s="611"/>
      <c r="W33" s="611"/>
      <c r="X33" s="611"/>
      <c r="Y33" s="611"/>
      <c r="AA33" s="209">
        <v>29</v>
      </c>
      <c r="AB33" s="1230" t="str">
        <f>Definitions_FlowLang!C70</f>
        <v>Non-metallic minerals</v>
      </c>
      <c r="AC33" s="1230" t="str">
        <f>Definitions_FlowLang!D70</f>
        <v>Неметаллические минеральные продукты</v>
      </c>
      <c r="AD33" s="1230" t="str">
        <f>Definitions_FlowLang!E70</f>
        <v>非金属矿物</v>
      </c>
      <c r="AE33" s="209" t="s">
        <v>322</v>
      </c>
    </row>
    <row r="34" spans="1:31" x14ac:dyDescent="0.15">
      <c r="A34" s="209" t="str">
        <f t="shared" si="0"/>
        <v>Transport equipment</v>
      </c>
      <c r="B34" s="2236">
        <f ca="1">SUM('Aggregated Balance'!B34:D34)</f>
        <v>0</v>
      </c>
      <c r="C34" s="2236">
        <f ca="1">'Aggregated Balance'!E34</f>
        <v>0</v>
      </c>
      <c r="D34" s="2236">
        <f ca="1">'Aggregated Balance'!F34</f>
        <v>213.2483541657715</v>
      </c>
      <c r="E34" s="2236">
        <f ca="1">'Aggregated Balance'!G34</f>
        <v>460.8</v>
      </c>
      <c r="F34" s="2236">
        <f>'Aggregated Balance'!H34</f>
        <v>0</v>
      </c>
      <c r="G34" s="2236">
        <f>'Aggregated Balance'!I34</f>
        <v>0</v>
      </c>
      <c r="H34" s="2236">
        <f>SUM('Aggregated Balance'!J34,'Aggregated Balance'!K34)</f>
        <v>0</v>
      </c>
      <c r="I34" s="2236">
        <f ca="1">'Aggregated Balance'!L34</f>
        <v>0</v>
      </c>
      <c r="J34" s="2236">
        <f>'Aggregated Balance'!M34</f>
        <v>200.7792</v>
      </c>
      <c r="K34" s="2236">
        <f>'Aggregated Balance'!N34</f>
        <v>0</v>
      </c>
      <c r="L34" s="2236">
        <f t="shared" ca="1" si="4"/>
        <v>874.82755416577152</v>
      </c>
      <c r="M34" s="611"/>
      <c r="N34" s="611"/>
      <c r="O34" s="611"/>
      <c r="P34" s="611"/>
      <c r="Q34" s="611"/>
      <c r="R34" s="611"/>
      <c r="S34" s="611"/>
      <c r="T34" s="611"/>
      <c r="U34" s="611"/>
      <c r="V34" s="611"/>
      <c r="W34" s="611"/>
      <c r="X34" s="611"/>
      <c r="Y34" s="611"/>
      <c r="AA34" s="209">
        <v>30</v>
      </c>
      <c r="AB34" s="1230" t="str">
        <f>Definitions_FlowLang!C71</f>
        <v>Transport equipment</v>
      </c>
      <c r="AC34" s="1230" t="str">
        <f>Definitions_FlowLang!D71</f>
        <v>Транспортное оборудование</v>
      </c>
      <c r="AD34" s="1230" t="str">
        <f>Definitions_FlowLang!E71</f>
        <v>交通运输设备</v>
      </c>
      <c r="AE34" s="209" t="s">
        <v>322</v>
      </c>
    </row>
    <row r="35" spans="1:31" x14ac:dyDescent="0.15">
      <c r="A35" s="209" t="str">
        <f t="shared" si="0"/>
        <v>Machinery</v>
      </c>
      <c r="B35" s="2236">
        <f ca="1">SUM('Aggregated Balance'!B35:D35)</f>
        <v>95.4</v>
      </c>
      <c r="C35" s="2236">
        <f ca="1">'Aggregated Balance'!E35</f>
        <v>0</v>
      </c>
      <c r="D35" s="2236">
        <f ca="1">'Aggregated Balance'!F35</f>
        <v>361.09599042236329</v>
      </c>
      <c r="E35" s="2236">
        <f ca="1">'Aggregated Balance'!G35</f>
        <v>747.9</v>
      </c>
      <c r="F35" s="2236">
        <f>'Aggregated Balance'!H35</f>
        <v>0</v>
      </c>
      <c r="G35" s="2236">
        <f>'Aggregated Balance'!I35</f>
        <v>0</v>
      </c>
      <c r="H35" s="2236">
        <f>SUM('Aggregated Balance'!J35,'Aggregated Balance'!K35)</f>
        <v>0</v>
      </c>
      <c r="I35" s="2236">
        <f ca="1">'Aggregated Balance'!L35</f>
        <v>0</v>
      </c>
      <c r="J35" s="2236">
        <f>'Aggregated Balance'!M35</f>
        <v>238.52160000000001</v>
      </c>
      <c r="K35" s="2236">
        <f>'Aggregated Balance'!N35</f>
        <v>0</v>
      </c>
      <c r="L35" s="2236">
        <f t="shared" ca="1" si="4"/>
        <v>1442.9175904223634</v>
      </c>
      <c r="M35" s="611"/>
      <c r="N35" s="611"/>
      <c r="O35" s="611"/>
      <c r="P35" s="611"/>
      <c r="Q35" s="611"/>
      <c r="R35" s="611"/>
      <c r="S35" s="611"/>
      <c r="T35" s="611"/>
      <c r="U35" s="611"/>
      <c r="V35" s="611"/>
      <c r="W35" s="611"/>
      <c r="X35" s="611"/>
      <c r="Y35" s="611"/>
      <c r="AA35" s="209">
        <v>31</v>
      </c>
      <c r="AB35" s="1230" t="str">
        <f>Definitions_FlowLang!C72</f>
        <v>Machinery</v>
      </c>
      <c r="AC35" s="1230" t="str">
        <f>Definitions_FlowLang!D72</f>
        <v>Машиностроение</v>
      </c>
      <c r="AD35" s="1230" t="str">
        <f>Definitions_FlowLang!E72</f>
        <v>机器设备</v>
      </c>
      <c r="AE35" s="209" t="s">
        <v>322</v>
      </c>
    </row>
    <row r="36" spans="1:31" x14ac:dyDescent="0.15">
      <c r="A36" s="209" t="str">
        <f t="shared" si="0"/>
        <v>Mining and quarrying</v>
      </c>
      <c r="B36" s="2236">
        <f ca="1">SUM('Aggregated Balance'!B36:D36)</f>
        <v>11199.879651999998</v>
      </c>
      <c r="C36" s="2236">
        <f ca="1">'Aggregated Balance'!E36</f>
        <v>0</v>
      </c>
      <c r="D36" s="2236">
        <f ca="1">'Aggregated Balance'!F36</f>
        <v>61139.098060204429</v>
      </c>
      <c r="E36" s="2236">
        <f ca="1">'Aggregated Balance'!G36</f>
        <v>0</v>
      </c>
      <c r="F36" s="2236">
        <f>'Aggregated Balance'!H36</f>
        <v>0</v>
      </c>
      <c r="G36" s="2236">
        <f>'Aggregated Balance'!I36</f>
        <v>0</v>
      </c>
      <c r="H36" s="2236">
        <f>SUM('Aggregated Balance'!J36,'Aggregated Balance'!K36)</f>
        <v>0</v>
      </c>
      <c r="I36" s="2236">
        <f ca="1">'Aggregated Balance'!L36</f>
        <v>0</v>
      </c>
      <c r="J36" s="2236">
        <f>'Aggregated Balance'!M36</f>
        <v>103375.18800000001</v>
      </c>
      <c r="K36" s="2236">
        <f>'Aggregated Balance'!N36</f>
        <v>0</v>
      </c>
      <c r="L36" s="2236">
        <f t="shared" ca="1" si="4"/>
        <v>175714.16571220444</v>
      </c>
      <c r="M36" s="611"/>
      <c r="N36" s="611"/>
      <c r="O36" s="611"/>
      <c r="P36" s="611"/>
      <c r="Q36" s="611"/>
      <c r="R36" s="611"/>
      <c r="S36" s="611"/>
      <c r="T36" s="611"/>
      <c r="U36" s="611"/>
      <c r="V36" s="611"/>
      <c r="W36" s="611"/>
      <c r="X36" s="611"/>
      <c r="Y36" s="611"/>
      <c r="AA36" s="209">
        <v>32</v>
      </c>
      <c r="AB36" s="1230" t="str">
        <f>Definitions_FlowLang!C73</f>
        <v>Mining and quarrying</v>
      </c>
      <c r="AC36" s="1230" t="str">
        <f>Definitions_FlowLang!D73</f>
        <v>Горнодобыв. промышленность и разраб. карьеров</v>
      </c>
      <c r="AD36" s="1230" t="str">
        <f>Definitions_FlowLang!E73</f>
        <v>采矿和采石</v>
      </c>
      <c r="AE36" s="209" t="s">
        <v>322</v>
      </c>
    </row>
    <row r="37" spans="1:31" x14ac:dyDescent="0.15">
      <c r="A37" s="209" t="str">
        <f t="shared" ref="A37:A67" si="7">HLOOKUP(LangChoice,$AB$4:$AD$67,$AA37+1)</f>
        <v>Food and tobacco</v>
      </c>
      <c r="B37" s="2236">
        <f ca="1">SUM('Aggregated Balance'!B37:D37)</f>
        <v>932.4</v>
      </c>
      <c r="C37" s="2236">
        <f ca="1">'Aggregated Balance'!E37</f>
        <v>0</v>
      </c>
      <c r="D37" s="2236">
        <f ca="1">'Aggregated Balance'!F37</f>
        <v>2761.5806781868896</v>
      </c>
      <c r="E37" s="2236">
        <f ca="1">'Aggregated Balance'!G37</f>
        <v>2640.6</v>
      </c>
      <c r="F37" s="2236">
        <f>'Aggregated Balance'!H37</f>
        <v>0</v>
      </c>
      <c r="G37" s="2236">
        <f>'Aggregated Balance'!I37</f>
        <v>0</v>
      </c>
      <c r="H37" s="2236">
        <f>SUM('Aggregated Balance'!J37,'Aggregated Balance'!K37)</f>
        <v>0</v>
      </c>
      <c r="I37" s="2236">
        <f ca="1">'Aggregated Balance'!L37</f>
        <v>0</v>
      </c>
      <c r="J37" s="2236">
        <f>'Aggregated Balance'!M37</f>
        <v>2569.1543999999999</v>
      </c>
      <c r="K37" s="2236">
        <f>'Aggregated Balance'!N37</f>
        <v>0</v>
      </c>
      <c r="L37" s="2236">
        <f t="shared" ca="1" si="4"/>
        <v>8903.73507818689</v>
      </c>
      <c r="M37" s="611"/>
      <c r="N37" s="611"/>
      <c r="O37" s="611"/>
      <c r="P37" s="611"/>
      <c r="Q37" s="611"/>
      <c r="R37" s="611"/>
      <c r="S37" s="611"/>
      <c r="T37" s="611"/>
      <c r="U37" s="611"/>
      <c r="V37" s="611"/>
      <c r="W37" s="611"/>
      <c r="X37" s="611"/>
      <c r="Y37" s="611"/>
      <c r="AA37" s="209">
        <v>33</v>
      </c>
      <c r="AB37" s="209" t="s">
        <v>7010</v>
      </c>
      <c r="AC37" s="1230" t="str">
        <f>Definitions_FlowLang!D74</f>
        <v>Пищевая промышленность, производство напитков и табачных изделий</v>
      </c>
      <c r="AD37" s="1230" t="str">
        <f>Definitions_FlowLang!E74</f>
        <v>食品和烟草</v>
      </c>
      <c r="AE37" s="209" t="s">
        <v>322</v>
      </c>
    </row>
    <row r="38" spans="1:31" x14ac:dyDescent="0.15">
      <c r="A38" s="209" t="str">
        <f t="shared" si="7"/>
        <v>Paper, pulp and printing</v>
      </c>
      <c r="B38" s="2236">
        <f ca="1">SUM('Aggregated Balance'!B38:D38)</f>
        <v>3549.6</v>
      </c>
      <c r="C38" s="2236">
        <f ca="1">'Aggregated Balance'!E38</f>
        <v>0</v>
      </c>
      <c r="D38" s="2236">
        <f ca="1">'Aggregated Balance'!F38</f>
        <v>194.17335494716264</v>
      </c>
      <c r="E38" s="2236">
        <f ca="1">'Aggregated Balance'!G38</f>
        <v>748.80000000000007</v>
      </c>
      <c r="F38" s="2236">
        <f>'Aggregated Balance'!H38</f>
        <v>0</v>
      </c>
      <c r="G38" s="2236">
        <f>'Aggregated Balance'!I38</f>
        <v>0</v>
      </c>
      <c r="H38" s="2236">
        <f>SUM('Aggregated Balance'!J38,'Aggregated Balance'!K38)</f>
        <v>0</v>
      </c>
      <c r="I38" s="2236">
        <f ca="1">'Aggregated Balance'!L38</f>
        <v>0</v>
      </c>
      <c r="J38" s="2236">
        <f>'Aggregated Balance'!M38</f>
        <v>4285.6596</v>
      </c>
      <c r="K38" s="2236">
        <f>'Aggregated Balance'!N38</f>
        <v>0</v>
      </c>
      <c r="L38" s="2236">
        <f t="shared" ca="1" si="4"/>
        <v>8778.2329549471615</v>
      </c>
      <c r="M38" s="611"/>
      <c r="N38" s="611"/>
      <c r="O38" s="611"/>
      <c r="P38" s="611"/>
      <c r="Q38" s="611"/>
      <c r="R38" s="611"/>
      <c r="S38" s="611"/>
      <c r="T38" s="611"/>
      <c r="U38" s="611"/>
      <c r="V38" s="611"/>
      <c r="W38" s="611"/>
      <c r="X38" s="611"/>
      <c r="Y38" s="611"/>
      <c r="AA38" s="209">
        <v>34</v>
      </c>
      <c r="AB38" s="209" t="s">
        <v>7056</v>
      </c>
      <c r="AC38" s="1230" t="str">
        <f>Definitions_FlowLang!D75</f>
        <v>Целлюлозно-бумажная и полиграфическая промышленность</v>
      </c>
      <c r="AD38" s="1230" t="str">
        <f>Definitions_FlowLang!E75</f>
        <v>纸、纸浆和印刷</v>
      </c>
      <c r="AE38" s="209" t="s">
        <v>322</v>
      </c>
    </row>
    <row r="39" spans="1:31" x14ac:dyDescent="0.15">
      <c r="A39" s="209" t="str">
        <f t="shared" si="7"/>
        <v>Wood and wood products</v>
      </c>
      <c r="B39" s="2236">
        <f ca="1">SUM('Aggregated Balance'!B39:D39)</f>
        <v>0</v>
      </c>
      <c r="C39" s="2236">
        <f ca="1">'Aggregated Balance'!E39</f>
        <v>0</v>
      </c>
      <c r="D39" s="2236">
        <f ca="1">'Aggregated Balance'!F39</f>
        <v>383.51447780856756</v>
      </c>
      <c r="E39" s="2236">
        <f ca="1">'Aggregated Balance'!G39</f>
        <v>0</v>
      </c>
      <c r="F39" s="2236">
        <f>'Aggregated Balance'!H39</f>
        <v>0</v>
      </c>
      <c r="G39" s="2236">
        <f>'Aggregated Balance'!I39</f>
        <v>0</v>
      </c>
      <c r="H39" s="2236">
        <f>SUM('Aggregated Balance'!J39,'Aggregated Balance'!K39)</f>
        <v>0</v>
      </c>
      <c r="I39" s="2236">
        <f ca="1">'Aggregated Balance'!L39</f>
        <v>0</v>
      </c>
      <c r="J39" s="2236">
        <f>'Aggregated Balance'!M39</f>
        <v>1143.0324000000001</v>
      </c>
      <c r="K39" s="2236">
        <f>'Aggregated Balance'!N39</f>
        <v>0</v>
      </c>
      <c r="L39" s="2236">
        <f t="shared" ca="1" si="4"/>
        <v>1526.5468778085676</v>
      </c>
      <c r="M39" s="611"/>
      <c r="N39" s="611"/>
      <c r="O39" s="611"/>
      <c r="P39" s="611"/>
      <c r="Q39" s="611"/>
      <c r="R39" s="611"/>
      <c r="S39" s="611"/>
      <c r="T39" s="611"/>
      <c r="U39" s="611"/>
      <c r="V39" s="611"/>
      <c r="W39" s="611"/>
      <c r="X39" s="611"/>
      <c r="Y39" s="611"/>
      <c r="AA39" s="209">
        <v>35</v>
      </c>
      <c r="AB39" s="1230" t="str">
        <f>Definitions_FlowLang!C76</f>
        <v>Wood and wood products</v>
      </c>
      <c r="AC39" s="1230" t="str">
        <f>Definitions_FlowLang!D76</f>
        <v>Производство древесины и деревянных изделий</v>
      </c>
      <c r="AD39" s="1230" t="str">
        <f>Definitions_FlowLang!E76</f>
        <v>木材和木材制品</v>
      </c>
      <c r="AE39" s="209" t="s">
        <v>322</v>
      </c>
    </row>
    <row r="40" spans="1:31" x14ac:dyDescent="0.15">
      <c r="A40" s="209" t="str">
        <f t="shared" si="7"/>
        <v>Construction</v>
      </c>
      <c r="B40" s="2236">
        <f ca="1">SUM('Aggregated Balance'!B40:D40)</f>
        <v>0</v>
      </c>
      <c r="C40" s="2236">
        <f ca="1">'Aggregated Balance'!E40</f>
        <v>0</v>
      </c>
      <c r="D40" s="2236">
        <f ca="1">'Aggregated Balance'!F40</f>
        <v>133.22895122991943</v>
      </c>
      <c r="E40" s="2236">
        <f ca="1">'Aggregated Balance'!G40</f>
        <v>0</v>
      </c>
      <c r="F40" s="2236">
        <f>'Aggregated Balance'!H40</f>
        <v>0</v>
      </c>
      <c r="G40" s="2236">
        <f>'Aggregated Balance'!I40</f>
        <v>0</v>
      </c>
      <c r="H40" s="2236">
        <f>SUM('Aggregated Balance'!J40,'Aggregated Balance'!K40)</f>
        <v>0</v>
      </c>
      <c r="I40" s="2236">
        <f ca="1">'Aggregated Balance'!L40</f>
        <v>0</v>
      </c>
      <c r="J40" s="2236">
        <f>'Aggregated Balance'!M40</f>
        <v>826.27559999999994</v>
      </c>
      <c r="K40" s="2236">
        <f>'Aggregated Balance'!N40</f>
        <v>0</v>
      </c>
      <c r="L40" s="2236">
        <f t="shared" ca="1" si="4"/>
        <v>959.50455122991934</v>
      </c>
      <c r="M40" s="611"/>
      <c r="N40" s="611"/>
      <c r="O40" s="611"/>
      <c r="P40" s="611"/>
      <c r="Q40" s="611"/>
      <c r="R40" s="611"/>
      <c r="S40" s="611"/>
      <c r="T40" s="611"/>
      <c r="U40" s="611"/>
      <c r="V40" s="611"/>
      <c r="W40" s="611"/>
      <c r="X40" s="611"/>
      <c r="Y40" s="611"/>
      <c r="AA40" s="209">
        <v>36</v>
      </c>
      <c r="AB40" s="1230" t="str">
        <f>Definitions_FlowLang!C77</f>
        <v>Construction</v>
      </c>
      <c r="AC40" s="1230" t="str">
        <f>Definitions_FlowLang!D77</f>
        <v>Строительство</v>
      </c>
      <c r="AD40" s="1230" t="str">
        <f>Definitions_FlowLang!E77</f>
        <v>建筑</v>
      </c>
      <c r="AE40" s="209" t="s">
        <v>322</v>
      </c>
    </row>
    <row r="41" spans="1:31" x14ac:dyDescent="0.15">
      <c r="A41" s="209" t="str">
        <f t="shared" si="7"/>
        <v>Textile and leather</v>
      </c>
      <c r="B41" s="2236">
        <f ca="1">SUM('Aggregated Balance'!B41:D41)</f>
        <v>0</v>
      </c>
      <c r="C41" s="2236">
        <f ca="1">'Aggregated Balance'!E41</f>
        <v>0</v>
      </c>
      <c r="D41" s="2236">
        <f ca="1">'Aggregated Balance'!F41</f>
        <v>1671.1296062256774</v>
      </c>
      <c r="E41" s="2236">
        <f ca="1">'Aggregated Balance'!G41</f>
        <v>9</v>
      </c>
      <c r="F41" s="2236">
        <f>'Aggregated Balance'!H41</f>
        <v>0</v>
      </c>
      <c r="G41" s="2236">
        <f>'Aggregated Balance'!I41</f>
        <v>0</v>
      </c>
      <c r="H41" s="2236">
        <f>SUM('Aggregated Balance'!J41,'Aggregated Balance'!K41)</f>
        <v>0</v>
      </c>
      <c r="I41" s="2236">
        <f ca="1">'Aggregated Balance'!L41</f>
        <v>0</v>
      </c>
      <c r="J41" s="2236">
        <f>'Aggregated Balance'!M41</f>
        <v>562.58280000000002</v>
      </c>
      <c r="K41" s="2236">
        <f>'Aggregated Balance'!N41</f>
        <v>0</v>
      </c>
      <c r="L41" s="2236">
        <f t="shared" ca="1" si="4"/>
        <v>2242.7124062256776</v>
      </c>
      <c r="M41" s="611"/>
      <c r="N41" s="611"/>
      <c r="O41" s="611"/>
      <c r="P41" s="611"/>
      <c r="Q41" s="611"/>
      <c r="R41" s="611"/>
      <c r="S41" s="611"/>
      <c r="T41" s="611"/>
      <c r="U41" s="611"/>
      <c r="V41" s="611"/>
      <c r="W41" s="611"/>
      <c r="X41" s="611"/>
      <c r="Y41" s="611"/>
      <c r="AA41" s="209">
        <v>37</v>
      </c>
      <c r="AB41" s="209" t="s">
        <v>7011</v>
      </c>
      <c r="AC41" s="1230" t="str">
        <f>Definitions_FlowLang!D78</f>
        <v>Текстильная и кожевенная промышленность</v>
      </c>
      <c r="AD41" s="1230" t="str">
        <f>Definitions_FlowLang!E78</f>
        <v>纺织品和皮革</v>
      </c>
      <c r="AE41" s="209" t="s">
        <v>322</v>
      </c>
    </row>
    <row r="42" spans="1:31" x14ac:dyDescent="0.15">
      <c r="A42" s="209" t="str">
        <f t="shared" si="7"/>
        <v>Non-specified</v>
      </c>
      <c r="B42" s="2236">
        <f ca="1">SUM('Aggregated Balance'!B42:D42)</f>
        <v>263568.39422000002</v>
      </c>
      <c r="C42" s="2236">
        <f ca="1">'Aggregated Balance'!E42</f>
        <v>0</v>
      </c>
      <c r="D42" s="2236">
        <f ca="1">'Aggregated Balance'!F42</f>
        <v>6783.8343972988278</v>
      </c>
      <c r="E42" s="2236">
        <f ca="1">'Aggregated Balance'!G42</f>
        <v>2534.4</v>
      </c>
      <c r="F42" s="2236">
        <f>'Aggregated Balance'!H42</f>
        <v>0</v>
      </c>
      <c r="G42" s="2236">
        <f>'Aggregated Balance'!I42</f>
        <v>0</v>
      </c>
      <c r="H42" s="2236">
        <f>SUM('Aggregated Balance'!J42,'Aggregated Balance'!K42)</f>
        <v>0</v>
      </c>
      <c r="I42" s="2236">
        <f ca="1">'Aggregated Balance'!L42</f>
        <v>81176.2</v>
      </c>
      <c r="J42" s="2236">
        <f>'Aggregated Balance'!M42</f>
        <v>101902.03199999999</v>
      </c>
      <c r="K42" s="2236">
        <f>'Aggregated Balance'!N42</f>
        <v>0</v>
      </c>
      <c r="L42" s="2236">
        <f t="shared" ca="1" si="4"/>
        <v>455964.86061729887</v>
      </c>
      <c r="M42" s="611"/>
      <c r="N42" s="611"/>
      <c r="O42" s="611"/>
      <c r="P42" s="611"/>
      <c r="Q42" s="611"/>
      <c r="R42" s="611"/>
      <c r="S42" s="611"/>
      <c r="T42" s="611"/>
      <c r="U42" s="611"/>
      <c r="V42" s="611"/>
      <c r="W42" s="611"/>
      <c r="X42" s="611"/>
      <c r="Y42" s="611"/>
      <c r="AA42" s="209">
        <v>38</v>
      </c>
      <c r="AB42" s="209" t="s">
        <v>7057</v>
      </c>
      <c r="AC42" s="209" t="s">
        <v>7058</v>
      </c>
      <c r="AD42" s="209" t="s">
        <v>1293</v>
      </c>
      <c r="AE42" s="209" t="s">
        <v>322</v>
      </c>
    </row>
    <row r="43" spans="1:31" x14ac:dyDescent="0.15">
      <c r="A43" s="609" t="str">
        <f t="shared" si="7"/>
        <v>TRANSPORT</v>
      </c>
      <c r="B43" s="2239">
        <f t="shared" ref="B43:K43" ca="1" si="8">SUM(B44:B49)</f>
        <v>0</v>
      </c>
      <c r="C43" s="2239">
        <f t="shared" ca="1" si="8"/>
        <v>0</v>
      </c>
      <c r="D43" s="2239">
        <f t="shared" ca="1" si="8"/>
        <v>535085.34830595774</v>
      </c>
      <c r="E43" s="2239">
        <f t="shared" ca="1" si="8"/>
        <v>0</v>
      </c>
      <c r="F43" s="2239">
        <f t="shared" si="8"/>
        <v>0</v>
      </c>
      <c r="G43" s="2239">
        <f t="shared" si="8"/>
        <v>0</v>
      </c>
      <c r="H43" s="2239">
        <f t="shared" si="8"/>
        <v>0</v>
      </c>
      <c r="I43" s="2239">
        <f t="shared" ca="1" si="8"/>
        <v>0</v>
      </c>
      <c r="J43" s="2239">
        <f t="shared" si="8"/>
        <v>11526.505200000001</v>
      </c>
      <c r="K43" s="2239">
        <f t="shared" si="8"/>
        <v>0</v>
      </c>
      <c r="L43" s="2239">
        <f t="shared" ca="1" si="4"/>
        <v>546611.85350595776</v>
      </c>
      <c r="M43" s="612"/>
      <c r="N43" s="612"/>
      <c r="O43" s="612"/>
      <c r="P43" s="612"/>
      <c r="Q43" s="612"/>
      <c r="R43" s="612"/>
      <c r="S43" s="612"/>
      <c r="T43" s="612"/>
      <c r="U43" s="612"/>
      <c r="V43" s="612"/>
      <c r="W43" s="612"/>
      <c r="X43" s="612"/>
      <c r="Y43" s="612"/>
      <c r="AA43" s="209">
        <v>39</v>
      </c>
      <c r="AB43" s="1230" t="str">
        <f>UPPER(Definitions_FlowLang!C80)</f>
        <v>TRANSPORT</v>
      </c>
      <c r="AC43" s="1230" t="str">
        <f>UPPER(Definitions_FlowLang!D80)</f>
        <v>СЕКТОР ТРАНСПОРТА</v>
      </c>
      <c r="AD43" s="1230" t="str">
        <f>UPPER(Definitions_FlowLang!E80)</f>
        <v>交通运输部门</v>
      </c>
      <c r="AE43" s="209" t="s">
        <v>322</v>
      </c>
    </row>
    <row r="44" spans="1:31" x14ac:dyDescent="0.15">
      <c r="A44" s="209" t="str">
        <f t="shared" si="7"/>
        <v>Domestic aviation</v>
      </c>
      <c r="B44" s="2236">
        <f ca="1">SUM('Aggregated Balance'!B45:D45)</f>
        <v>0</v>
      </c>
      <c r="C44" s="2236">
        <f ca="1">'Aggregated Balance'!E45</f>
        <v>0</v>
      </c>
      <c r="D44" s="2236">
        <f ca="1">'Aggregated Balance'!F45</f>
        <v>15841.303018075439</v>
      </c>
      <c r="E44" s="2236">
        <f ca="1">'Aggregated Balance'!G45</f>
        <v>0</v>
      </c>
      <c r="F44" s="2236">
        <f>'Aggregated Balance'!H45</f>
        <v>0</v>
      </c>
      <c r="G44" s="2236">
        <f>'Aggregated Balance'!I45</f>
        <v>0</v>
      </c>
      <c r="H44" s="2236">
        <f>SUM('Aggregated Balance'!J45,'Aggregated Balance'!K45)</f>
        <v>0</v>
      </c>
      <c r="I44" s="2236">
        <f ca="1">'Aggregated Balance'!L45</f>
        <v>0</v>
      </c>
      <c r="J44" s="2236">
        <f>'Aggregated Balance'!M45</f>
        <v>246.96360000000001</v>
      </c>
      <c r="K44" s="2236">
        <f>'Aggregated Balance'!N45</f>
        <v>0</v>
      </c>
      <c r="L44" s="2236">
        <f t="shared" ca="1" si="4"/>
        <v>16088.266618075439</v>
      </c>
      <c r="M44" s="611"/>
      <c r="N44" s="611"/>
      <c r="O44" s="611"/>
      <c r="P44" s="611"/>
      <c r="Q44" s="611"/>
      <c r="R44" s="611"/>
      <c r="S44" s="611"/>
      <c r="T44" s="611"/>
      <c r="U44" s="611"/>
      <c r="V44" s="611"/>
      <c r="W44" s="611"/>
      <c r="X44" s="611"/>
      <c r="Y44" s="611"/>
      <c r="AA44" s="209">
        <v>40</v>
      </c>
      <c r="AB44" s="1230" t="str">
        <f>Definitions_FlowLang!C81</f>
        <v>Domestic aviation</v>
      </c>
      <c r="AC44" s="1230" t="str">
        <f>Definitions_FlowLang!D81</f>
        <v>Внутренний воздушный транспорт</v>
      </c>
      <c r="AD44" s="1230" t="str">
        <f>Definitions_FlowLang!E81</f>
        <v>国内航空</v>
      </c>
      <c r="AE44" s="209" t="s">
        <v>322</v>
      </c>
    </row>
    <row r="45" spans="1:31" x14ac:dyDescent="0.15">
      <c r="A45" s="209" t="str">
        <f t="shared" si="7"/>
        <v>Road</v>
      </c>
      <c r="B45" s="2236">
        <f ca="1">SUM('Aggregated Balance'!B44:D44)</f>
        <v>0</v>
      </c>
      <c r="C45" s="2236">
        <f ca="1">'Aggregated Balance'!E44</f>
        <v>0</v>
      </c>
      <c r="D45" s="2236">
        <f ca="1">'Aggregated Balance'!F44</f>
        <v>465010.64517630468</v>
      </c>
      <c r="E45" s="2236">
        <f ca="1">'Aggregated Balance'!G44</f>
        <v>0</v>
      </c>
      <c r="F45" s="2236">
        <f>'Aggregated Balance'!H44</f>
        <v>0</v>
      </c>
      <c r="G45" s="2236">
        <f>'Aggregated Balance'!I44</f>
        <v>0</v>
      </c>
      <c r="H45" s="2236">
        <f>SUM('Aggregated Balance'!J44,'Aggregated Balance'!K44)</f>
        <v>0</v>
      </c>
      <c r="I45" s="2236">
        <f ca="1">'Aggregated Balance'!L44</f>
        <v>0</v>
      </c>
      <c r="J45" s="2236">
        <f>'Aggregated Balance'!M44</f>
        <v>193.34880000000001</v>
      </c>
      <c r="K45" s="2236">
        <f>'Aggregated Balance'!N44</f>
        <v>0</v>
      </c>
      <c r="L45" s="2236">
        <f t="shared" ca="1" si="4"/>
        <v>465203.99397630466</v>
      </c>
      <c r="M45" s="611"/>
      <c r="N45" s="611"/>
      <c r="O45" s="611"/>
      <c r="P45" s="611"/>
      <c r="Q45" s="611"/>
      <c r="R45" s="611"/>
      <c r="S45" s="611"/>
      <c r="T45" s="611"/>
      <c r="U45" s="611"/>
      <c r="V45" s="611"/>
      <c r="W45" s="611"/>
      <c r="X45" s="611"/>
      <c r="Y45" s="611"/>
      <c r="AA45" s="209">
        <v>41</v>
      </c>
      <c r="AB45" s="1230" t="str">
        <f>Definitions_FlowLang!C82</f>
        <v>Road</v>
      </c>
      <c r="AC45" s="1230" t="str">
        <f>Definitions_FlowLang!D82</f>
        <v>Автоперевозки</v>
      </c>
      <c r="AD45" s="1230" t="str">
        <f>Definitions_FlowLang!E82</f>
        <v>公路</v>
      </c>
      <c r="AE45" s="209" t="s">
        <v>322</v>
      </c>
    </row>
    <row r="46" spans="1:31" x14ac:dyDescent="0.15">
      <c r="A46" s="209" t="str">
        <f t="shared" si="7"/>
        <v>Rail</v>
      </c>
      <c r="B46" s="2236">
        <f ca="1">SUM('Aggregated Balance'!B46:D46)</f>
        <v>0</v>
      </c>
      <c r="C46" s="2236">
        <f ca="1">'Aggregated Balance'!E46</f>
        <v>0</v>
      </c>
      <c r="D46" s="2236">
        <f ca="1">'Aggregated Balance'!F46</f>
        <v>4226.3008983973386</v>
      </c>
      <c r="E46" s="2236">
        <f ca="1">'Aggregated Balance'!G46</f>
        <v>0</v>
      </c>
      <c r="F46" s="2236">
        <f>'Aggregated Balance'!H46</f>
        <v>0</v>
      </c>
      <c r="G46" s="2236">
        <f>'Aggregated Balance'!I46</f>
        <v>0</v>
      </c>
      <c r="H46" s="2236">
        <f>SUM('Aggregated Balance'!J46,'Aggregated Balance'!K46)</f>
        <v>0</v>
      </c>
      <c r="I46" s="2236">
        <f ca="1">'Aggregated Balance'!L46</f>
        <v>0</v>
      </c>
      <c r="J46" s="2236">
        <f>'Aggregated Balance'!M46</f>
        <v>9580.8780000000006</v>
      </c>
      <c r="K46" s="2236">
        <f>'Aggregated Balance'!N46</f>
        <v>0</v>
      </c>
      <c r="L46" s="2236">
        <f t="shared" ca="1" si="4"/>
        <v>13807.178898397338</v>
      </c>
      <c r="M46" s="611"/>
      <c r="N46" s="611"/>
      <c r="O46" s="611"/>
      <c r="P46" s="611"/>
      <c r="Q46" s="611"/>
      <c r="R46" s="611"/>
      <c r="S46" s="611"/>
      <c r="T46" s="611"/>
      <c r="U46" s="611"/>
      <c r="V46" s="611"/>
      <c r="W46" s="611"/>
      <c r="X46" s="611"/>
      <c r="Y46" s="611"/>
      <c r="AA46" s="209">
        <v>42</v>
      </c>
      <c r="AB46" s="1230" t="str">
        <f>Definitions_FlowLang!C83</f>
        <v>Rail</v>
      </c>
      <c r="AC46" s="1230" t="str">
        <f>Definitions_FlowLang!D83</f>
        <v>Железные дороги</v>
      </c>
      <c r="AD46" s="1230" t="str">
        <f>Definitions_FlowLang!E83</f>
        <v>铁路</v>
      </c>
      <c r="AE46" s="209" t="s">
        <v>322</v>
      </c>
    </row>
    <row r="47" spans="1:31" x14ac:dyDescent="0.15">
      <c r="A47" s="209" t="str">
        <f t="shared" si="7"/>
        <v>Pipeline transport</v>
      </c>
      <c r="B47" s="2236">
        <f ca="1">SUM('Aggregated Balance'!B47:D47)</f>
        <v>0</v>
      </c>
      <c r="C47" s="2236">
        <f ca="1">'Aggregated Balance'!E47</f>
        <v>0</v>
      </c>
      <c r="D47" s="2236">
        <f ca="1">'Aggregated Balance'!F47</f>
        <v>3474.9824073828122</v>
      </c>
      <c r="E47" s="2236">
        <f ca="1">'Aggregated Balance'!G47</f>
        <v>0</v>
      </c>
      <c r="F47" s="2236">
        <f>'Aggregated Balance'!H47</f>
        <v>0</v>
      </c>
      <c r="G47" s="2236">
        <f>'Aggregated Balance'!I47</f>
        <v>0</v>
      </c>
      <c r="H47" s="2236">
        <f>SUM('Aggregated Balance'!J47,'Aggregated Balance'!K47)</f>
        <v>0</v>
      </c>
      <c r="I47" s="2236">
        <f ca="1">'Aggregated Balance'!L47</f>
        <v>0</v>
      </c>
      <c r="J47" s="2236">
        <f>'Aggregated Balance'!M47</f>
        <v>263.99880000000002</v>
      </c>
      <c r="K47" s="2236">
        <f>'Aggregated Balance'!N47</f>
        <v>0</v>
      </c>
      <c r="L47" s="2236">
        <f t="shared" ca="1" si="4"/>
        <v>3738.981207382812</v>
      </c>
      <c r="M47" s="611"/>
      <c r="N47" s="611"/>
      <c r="O47" s="611"/>
      <c r="P47" s="611"/>
      <c r="Q47" s="611"/>
      <c r="R47" s="611"/>
      <c r="S47" s="611"/>
      <c r="T47" s="611"/>
      <c r="U47" s="611"/>
      <c r="V47" s="611"/>
      <c r="W47" s="611"/>
      <c r="X47" s="611"/>
      <c r="Y47" s="611"/>
      <c r="AA47" s="209">
        <v>43</v>
      </c>
      <c r="AB47" s="1230" t="str">
        <f>Definitions_FlowLang!C84</f>
        <v>Pipeline transport</v>
      </c>
      <c r="AC47" s="1230" t="str">
        <f>Definitions_FlowLang!D84</f>
        <v>Транспортировк а по трубопроводам</v>
      </c>
      <c r="AD47" s="1230" t="str">
        <f>Definitions_FlowLang!E84</f>
        <v>管道运输</v>
      </c>
      <c r="AE47" s="209" t="s">
        <v>322</v>
      </c>
    </row>
    <row r="48" spans="1:31" x14ac:dyDescent="0.15">
      <c r="A48" s="209" t="str">
        <f t="shared" si="7"/>
        <v>Domestic navigation</v>
      </c>
      <c r="B48" s="2236">
        <f ca="1">SUM('Aggregated Balance'!B48:D48)</f>
        <v>0</v>
      </c>
      <c r="C48" s="2236">
        <f ca="1">'Aggregated Balance'!E48</f>
        <v>0</v>
      </c>
      <c r="D48" s="2236">
        <f ca="1">'Aggregated Balance'!F48</f>
        <v>43944.467637911555</v>
      </c>
      <c r="E48" s="2236">
        <f ca="1">'Aggregated Balance'!G48</f>
        <v>0</v>
      </c>
      <c r="F48" s="2236">
        <f>'Aggregated Balance'!H48</f>
        <v>0</v>
      </c>
      <c r="G48" s="2236">
        <f>'Aggregated Balance'!I48</f>
        <v>0</v>
      </c>
      <c r="H48" s="2236">
        <f>SUM('Aggregated Balance'!J48,'Aggregated Balance'!K48)</f>
        <v>0</v>
      </c>
      <c r="I48" s="2236">
        <f ca="1">'Aggregated Balance'!L48</f>
        <v>0</v>
      </c>
      <c r="J48" s="2236">
        <f>'Aggregated Balance'!M48</f>
        <v>0</v>
      </c>
      <c r="K48" s="2236">
        <f>'Aggregated Balance'!N48</f>
        <v>0</v>
      </c>
      <c r="L48" s="2236">
        <f t="shared" ca="1" si="4"/>
        <v>43944.467637911555</v>
      </c>
      <c r="M48" s="611"/>
      <c r="N48" s="611"/>
      <c r="O48" s="611"/>
      <c r="P48" s="611"/>
      <c r="Q48" s="611"/>
      <c r="R48" s="611"/>
      <c r="S48" s="611"/>
      <c r="T48" s="611"/>
      <c r="U48" s="611"/>
      <c r="V48" s="611"/>
      <c r="W48" s="611"/>
      <c r="X48" s="611"/>
      <c r="Y48" s="611"/>
      <c r="AA48" s="209">
        <v>44</v>
      </c>
      <c r="AB48" s="1230" t="str">
        <f>Definitions_FlowLang!C85</f>
        <v>Domestic navigation</v>
      </c>
      <c r="AC48" s="1230" t="str">
        <f>Definitions_FlowLang!D85</f>
        <v>Внутренний водный транспорт</v>
      </c>
      <c r="AD48" s="1230" t="str">
        <f>Definitions_FlowLang!E85</f>
        <v>国内航运</v>
      </c>
      <c r="AE48" s="209" t="s">
        <v>322</v>
      </c>
    </row>
    <row r="49" spans="1:31" x14ac:dyDescent="0.15">
      <c r="A49" s="209" t="str">
        <f t="shared" si="7"/>
        <v>Non-specified</v>
      </c>
      <c r="B49" s="2236">
        <f ca="1">SUM('Aggregated Balance'!B49:D49)</f>
        <v>0</v>
      </c>
      <c r="C49" s="2236">
        <f ca="1">'Aggregated Balance'!E49</f>
        <v>0</v>
      </c>
      <c r="D49" s="2236">
        <f ca="1">'Aggregated Balance'!F49</f>
        <v>2587.649167885922</v>
      </c>
      <c r="E49" s="2236">
        <f ca="1">'Aggregated Balance'!G49</f>
        <v>0</v>
      </c>
      <c r="F49" s="2236">
        <f>'Aggregated Balance'!H49</f>
        <v>0</v>
      </c>
      <c r="G49" s="2236">
        <f>'Aggregated Balance'!I49</f>
        <v>0</v>
      </c>
      <c r="H49" s="2236">
        <f>SUM('Aggregated Balance'!J49,'Aggregated Balance'!K49)</f>
        <v>0</v>
      </c>
      <c r="I49" s="2236">
        <f ca="1">'Aggregated Balance'!L49</f>
        <v>0</v>
      </c>
      <c r="J49" s="2236">
        <f>'Aggregated Balance'!M49</f>
        <v>1241.316</v>
      </c>
      <c r="K49" s="2236">
        <f>'Aggregated Balance'!N49</f>
        <v>0</v>
      </c>
      <c r="L49" s="2236">
        <f t="shared" ca="1" si="4"/>
        <v>3828.9651678859218</v>
      </c>
      <c r="M49" s="611"/>
      <c r="N49" s="611"/>
      <c r="O49" s="611"/>
      <c r="P49" s="611"/>
      <c r="Q49" s="611"/>
      <c r="R49" s="611"/>
      <c r="S49" s="611"/>
      <c r="T49" s="611"/>
      <c r="U49" s="611"/>
      <c r="V49" s="611"/>
      <c r="W49" s="611"/>
      <c r="X49" s="611"/>
      <c r="Y49" s="611"/>
      <c r="AA49" s="209">
        <v>45</v>
      </c>
      <c r="AB49" s="209" t="s">
        <v>7057</v>
      </c>
      <c r="AC49" s="209" t="s">
        <v>7058</v>
      </c>
      <c r="AD49" s="209" t="s">
        <v>1293</v>
      </c>
      <c r="AE49" s="209" t="s">
        <v>322</v>
      </c>
    </row>
    <row r="50" spans="1:31" x14ac:dyDescent="0.15">
      <c r="A50" s="609" t="str">
        <f t="shared" si="7"/>
        <v>OTHER</v>
      </c>
      <c r="B50" s="2239">
        <f t="shared" ref="B50:K50" ca="1" si="9">SUM(B51:B55)</f>
        <v>37953.865372</v>
      </c>
      <c r="C50" s="2239">
        <f t="shared" ca="1" si="9"/>
        <v>0</v>
      </c>
      <c r="D50" s="2239">
        <f t="shared" ca="1" si="9"/>
        <v>234267.12687609403</v>
      </c>
      <c r="E50" s="2239">
        <f t="shared" ca="1" si="9"/>
        <v>1319.3369934082032</v>
      </c>
      <c r="F50" s="2239">
        <f t="shared" si="9"/>
        <v>0</v>
      </c>
      <c r="G50" s="2239">
        <f t="shared" si="9"/>
        <v>0</v>
      </c>
      <c r="H50" s="2239">
        <f t="shared" si="9"/>
        <v>0</v>
      </c>
      <c r="I50" s="2239">
        <f t="shared" ca="1" si="9"/>
        <v>344246.09</v>
      </c>
      <c r="J50" s="2239">
        <f t="shared" si="9"/>
        <v>332053.2</v>
      </c>
      <c r="K50" s="2239">
        <f t="shared" si="9"/>
        <v>0</v>
      </c>
      <c r="L50" s="2239">
        <f t="shared" ca="1" si="4"/>
        <v>949839.61924150237</v>
      </c>
      <c r="M50" s="612"/>
      <c r="N50" s="612"/>
      <c r="O50" s="612"/>
      <c r="P50" s="612"/>
      <c r="Q50" s="612"/>
      <c r="R50" s="612"/>
      <c r="S50" s="612"/>
      <c r="T50" s="612"/>
      <c r="U50" s="612"/>
      <c r="V50" s="612"/>
      <c r="W50" s="612"/>
      <c r="X50" s="612"/>
      <c r="Y50" s="612"/>
      <c r="AA50" s="209">
        <v>46</v>
      </c>
      <c r="AB50" s="1230" t="str">
        <f>UPPER(Definitions_FlowLang!C87)</f>
        <v>OTHER</v>
      </c>
      <c r="AC50" s="1230" t="str">
        <f>UPPER(Definitions_FlowLang!D87)</f>
        <v>ДРУГИЕ</v>
      </c>
      <c r="AD50" s="1230" t="str">
        <f>UPPER(Definitions_FlowLang!E87)</f>
        <v>其他部门</v>
      </c>
      <c r="AE50" s="209" t="s">
        <v>322</v>
      </c>
    </row>
    <row r="51" spans="1:31" x14ac:dyDescent="0.15">
      <c r="A51" s="209" t="str">
        <f t="shared" si="7"/>
        <v>Residential</v>
      </c>
      <c r="B51" s="2236">
        <f ca="1">SUM('Aggregated Balance'!B51:D51)</f>
        <v>18193.927204</v>
      </c>
      <c r="C51" s="2236">
        <f ca="1">'Aggregated Balance'!E51</f>
        <v>0</v>
      </c>
      <c r="D51" s="2236">
        <f ca="1">'Aggregated Balance'!F51</f>
        <v>86.630227810339989</v>
      </c>
      <c r="E51" s="2236">
        <f ca="1">'Aggregated Balance'!G51</f>
        <v>208.73699340820312</v>
      </c>
      <c r="F51" s="2236">
        <f>'Aggregated Balance'!H51</f>
        <v>0</v>
      </c>
      <c r="G51" s="2236">
        <f>'Aggregated Balance'!I51</f>
        <v>0</v>
      </c>
      <c r="H51" s="2236">
        <f>SUM('Aggregated Balance'!J51,'Aggregated Balance'!K51)</f>
        <v>0</v>
      </c>
      <c r="I51" s="2236">
        <f ca="1">'Aggregated Balance'!L51</f>
        <v>344246.09</v>
      </c>
      <c r="J51" s="2236">
        <f>'Aggregated Balance'!M51</f>
        <v>174682.80000000002</v>
      </c>
      <c r="K51" s="2236">
        <f>'Aggregated Balance'!N51</f>
        <v>0</v>
      </c>
      <c r="L51" s="2236">
        <f t="shared" ca="1" si="4"/>
        <v>537418.18442521861</v>
      </c>
      <c r="M51" s="611"/>
      <c r="N51" s="611"/>
      <c r="O51" s="611"/>
      <c r="P51" s="611"/>
      <c r="Q51" s="611"/>
      <c r="R51" s="611"/>
      <c r="S51" s="611"/>
      <c r="T51" s="611"/>
      <c r="U51" s="611"/>
      <c r="V51" s="611"/>
      <c r="W51" s="611"/>
      <c r="X51" s="611"/>
      <c r="Y51" s="611"/>
      <c r="AA51" s="209">
        <v>47</v>
      </c>
      <c r="AB51" s="1230" t="str">
        <f>Definitions_FlowLang!C88</f>
        <v>Residential</v>
      </c>
      <c r="AC51" s="1230" t="str">
        <f>Definitions_FlowLang!D88</f>
        <v>Жилищный сектор</v>
      </c>
      <c r="AD51" s="1230" t="str">
        <f>Definitions_FlowLang!E88</f>
        <v>居民生活</v>
      </c>
      <c r="AE51" s="209" t="s">
        <v>322</v>
      </c>
    </row>
    <row r="52" spans="1:31" x14ac:dyDescent="0.15">
      <c r="A52" s="209" t="str">
        <f t="shared" si="7"/>
        <v>Comm. and public services</v>
      </c>
      <c r="B52" s="2236">
        <f ca="1">SUM('Aggregated Balance'!B52:D52)</f>
        <v>17157.307799999999</v>
      </c>
      <c r="C52" s="2236">
        <f ca="1">'Aggregated Balance'!E52</f>
        <v>0</v>
      </c>
      <c r="D52" s="2236">
        <f ca="1">'Aggregated Balance'!F52</f>
        <v>183246.05159127171</v>
      </c>
      <c r="E52" s="2236">
        <f ca="1">'Aggregated Balance'!G52</f>
        <v>1110.6000000000001</v>
      </c>
      <c r="F52" s="2236">
        <f>'Aggregated Balance'!H52</f>
        <v>0</v>
      </c>
      <c r="G52" s="2236">
        <f>'Aggregated Balance'!I52</f>
        <v>0</v>
      </c>
      <c r="H52" s="2236">
        <f>SUM('Aggregated Balance'!J52,'Aggregated Balance'!K52)</f>
        <v>0</v>
      </c>
      <c r="I52" s="2236">
        <f ca="1">'Aggregated Balance'!L52</f>
        <v>0</v>
      </c>
      <c r="J52" s="2236">
        <f>'Aggregated Balance'!M52</f>
        <v>133200</v>
      </c>
      <c r="K52" s="2236">
        <f>'Aggregated Balance'!N52</f>
        <v>0</v>
      </c>
      <c r="L52" s="2236">
        <f t="shared" ca="1" si="4"/>
        <v>334713.9593912717</v>
      </c>
      <c r="M52" s="611"/>
      <c r="N52" s="611"/>
      <c r="O52" s="611"/>
      <c r="P52" s="611"/>
      <c r="Q52" s="611"/>
      <c r="R52" s="611"/>
      <c r="S52" s="611"/>
      <c r="T52" s="611"/>
      <c r="U52" s="611"/>
      <c r="V52" s="611"/>
      <c r="W52" s="611"/>
      <c r="X52" s="611"/>
      <c r="Y52" s="611"/>
      <c r="AA52" s="209">
        <v>48</v>
      </c>
      <c r="AB52" s="209" t="s">
        <v>7059</v>
      </c>
      <c r="AC52" s="1230" t="str">
        <f>Definitions_FlowLang!D89</f>
        <v>Коммерческие предприятия и государственные учреждения</v>
      </c>
      <c r="AD52" s="1230" t="str">
        <f>Definitions_FlowLang!E89</f>
        <v>商业和公共服务</v>
      </c>
      <c r="AE52" s="209" t="s">
        <v>322</v>
      </c>
    </row>
    <row r="53" spans="1:31" x14ac:dyDescent="0.15">
      <c r="A53" s="209" t="str">
        <f t="shared" si="7"/>
        <v>Agriculture/forestry</v>
      </c>
      <c r="B53" s="2236">
        <f ca="1">SUM('Aggregated Balance'!B53:D53)</f>
        <v>698.87244800000008</v>
      </c>
      <c r="C53" s="2236">
        <f ca="1">'Aggregated Balance'!E53</f>
        <v>0</v>
      </c>
      <c r="D53" s="2236">
        <f ca="1">'Aggregated Balance'!F53</f>
        <v>43950.526668485938</v>
      </c>
      <c r="E53" s="2236">
        <f ca="1">'Aggregated Balance'!G53</f>
        <v>0</v>
      </c>
      <c r="F53" s="2236">
        <f>'Aggregated Balance'!H53</f>
        <v>0</v>
      </c>
      <c r="G53" s="2236">
        <f>'Aggregated Balance'!I53</f>
        <v>0</v>
      </c>
      <c r="H53" s="2236">
        <f>SUM('Aggregated Balance'!J53,'Aggregated Balance'!K53)</f>
        <v>0</v>
      </c>
      <c r="I53" s="2236">
        <f ca="1">'Aggregated Balance'!L53</f>
        <v>0</v>
      </c>
      <c r="J53" s="2236">
        <f>'Aggregated Balance'!M53</f>
        <v>21484.799999999999</v>
      </c>
      <c r="K53" s="2236">
        <f>'Aggregated Balance'!N53</f>
        <v>0</v>
      </c>
      <c r="L53" s="2236">
        <f t="shared" ca="1" si="4"/>
        <v>66134.199116485936</v>
      </c>
      <c r="M53" s="611"/>
      <c r="N53" s="611"/>
      <c r="O53" s="611"/>
      <c r="P53" s="611"/>
      <c r="Q53" s="611"/>
      <c r="R53" s="611"/>
      <c r="S53" s="611"/>
      <c r="T53" s="611"/>
      <c r="U53" s="611"/>
      <c r="V53" s="611"/>
      <c r="W53" s="611"/>
      <c r="X53" s="611"/>
      <c r="Y53" s="611"/>
      <c r="AA53" s="209">
        <v>49</v>
      </c>
      <c r="AB53" s="1230" t="str">
        <f>Definitions_FlowLang!C90</f>
        <v>Agriculture/forestry</v>
      </c>
      <c r="AC53" s="1230" t="str">
        <f>Definitions_FlowLang!D90</f>
        <v>Сельское хозяйство</v>
      </c>
      <c r="AD53" s="1230" t="str">
        <f>Definitions_FlowLang!E90</f>
        <v>农业/林业</v>
      </c>
      <c r="AE53" s="209" t="s">
        <v>322</v>
      </c>
    </row>
    <row r="54" spans="1:31" x14ac:dyDescent="0.15">
      <c r="A54" s="209" t="str">
        <f t="shared" si="7"/>
        <v>Fishing</v>
      </c>
      <c r="B54" s="2236">
        <f ca="1">SUM('Aggregated Balance'!B54:D54)</f>
        <v>0</v>
      </c>
      <c r="C54" s="2236">
        <f ca="1">'Aggregated Balance'!E54</f>
        <v>0</v>
      </c>
      <c r="D54" s="2236">
        <f ca="1">'Aggregated Balance'!F54</f>
        <v>0</v>
      </c>
      <c r="E54" s="2236">
        <f ca="1">'Aggregated Balance'!G54</f>
        <v>0</v>
      </c>
      <c r="F54" s="2236">
        <f>'Aggregated Balance'!H54</f>
        <v>0</v>
      </c>
      <c r="G54" s="2236">
        <f>'Aggregated Balance'!I54</f>
        <v>0</v>
      </c>
      <c r="H54" s="2236">
        <f>SUM('Aggregated Balance'!J54,'Aggregated Balance'!K54)</f>
        <v>0</v>
      </c>
      <c r="I54" s="2236">
        <f ca="1">'Aggregated Balance'!L54</f>
        <v>0</v>
      </c>
      <c r="J54" s="2236">
        <f>'Aggregated Balance'!M54</f>
        <v>0</v>
      </c>
      <c r="K54" s="2236">
        <f>'Aggregated Balance'!N54</f>
        <v>0</v>
      </c>
      <c r="L54" s="2236">
        <f t="shared" ca="1" si="4"/>
        <v>0</v>
      </c>
      <c r="M54" s="611"/>
      <c r="N54" s="611"/>
      <c r="O54" s="611"/>
      <c r="P54" s="611"/>
      <c r="Q54" s="611"/>
      <c r="R54" s="611"/>
      <c r="S54" s="611"/>
      <c r="T54" s="611"/>
      <c r="U54" s="611"/>
      <c r="V54" s="611"/>
      <c r="W54" s="611"/>
      <c r="X54" s="611"/>
      <c r="Y54" s="611"/>
      <c r="AA54" s="209">
        <v>50</v>
      </c>
      <c r="AB54" s="1230" t="str">
        <f>Definitions_FlowLang!C91</f>
        <v>Fishing</v>
      </c>
      <c r="AC54" s="1230" t="str">
        <f>Definitions_FlowLang!D91</f>
        <v>Рыболовство</v>
      </c>
      <c r="AD54" s="1230" t="str">
        <f>Definitions_FlowLang!E91</f>
        <v>渔业</v>
      </c>
      <c r="AE54" s="209" t="s">
        <v>322</v>
      </c>
    </row>
    <row r="55" spans="1:31" x14ac:dyDescent="0.15">
      <c r="A55" s="209" t="str">
        <f t="shared" si="7"/>
        <v>Non-specified</v>
      </c>
      <c r="B55" s="2236">
        <f ca="1">SUM('Aggregated Balance'!B55:D55)</f>
        <v>1903.75792</v>
      </c>
      <c r="C55" s="2236">
        <f ca="1">'Aggregated Balance'!E55</f>
        <v>0</v>
      </c>
      <c r="D55" s="2236">
        <f ca="1">'Aggregated Balance'!F55</f>
        <v>6983.9183885260009</v>
      </c>
      <c r="E55" s="2236">
        <f ca="1">'Aggregated Balance'!G55</f>
        <v>0</v>
      </c>
      <c r="F55" s="2236">
        <f>'Aggregated Balance'!H55</f>
        <v>0</v>
      </c>
      <c r="G55" s="2236">
        <f>'Aggregated Balance'!I55</f>
        <v>0</v>
      </c>
      <c r="H55" s="2236">
        <f>SUM('Aggregated Balance'!J55,'Aggregated Balance'!K55)</f>
        <v>0</v>
      </c>
      <c r="I55" s="2236">
        <f ca="1">'Aggregated Balance'!L55</f>
        <v>0</v>
      </c>
      <c r="J55" s="2236">
        <f>'Aggregated Balance'!M55</f>
        <v>2685.6</v>
      </c>
      <c r="K55" s="2236">
        <f>'Aggregated Balance'!N55</f>
        <v>0</v>
      </c>
      <c r="L55" s="2236">
        <f t="shared" ca="1" si="4"/>
        <v>11573.276308526001</v>
      </c>
      <c r="M55" s="611"/>
      <c r="N55" s="611"/>
      <c r="O55" s="611"/>
      <c r="P55" s="611"/>
      <c r="Q55" s="611"/>
      <c r="R55" s="611"/>
      <c r="S55" s="611"/>
      <c r="T55" s="611"/>
      <c r="U55" s="611"/>
      <c r="V55" s="611"/>
      <c r="W55" s="611"/>
      <c r="X55" s="611"/>
      <c r="Y55" s="611"/>
      <c r="AA55" s="209">
        <v>51</v>
      </c>
      <c r="AB55" s="209" t="s">
        <v>7057</v>
      </c>
      <c r="AC55" s="209" t="s">
        <v>7058</v>
      </c>
      <c r="AD55" s="209" t="s">
        <v>1293</v>
      </c>
      <c r="AE55" s="209" t="s">
        <v>322</v>
      </c>
    </row>
    <row r="56" spans="1:31" x14ac:dyDescent="0.15">
      <c r="A56" s="609" t="str">
        <f t="shared" si="7"/>
        <v>NON-ENERGY USE</v>
      </c>
      <c r="B56" s="2239">
        <f t="shared" ref="B56:K56" ca="1" si="10">SUM(B57:B60)-B58</f>
        <v>0</v>
      </c>
      <c r="C56" s="2239">
        <f t="shared" ca="1" si="10"/>
        <v>0</v>
      </c>
      <c r="D56" s="2239">
        <f t="shared" ca="1" si="10"/>
        <v>52257.281343511517</v>
      </c>
      <c r="E56" s="2239">
        <f t="shared" ca="1" si="10"/>
        <v>0</v>
      </c>
      <c r="F56" s="2239">
        <f t="shared" si="10"/>
        <v>0</v>
      </c>
      <c r="G56" s="2239">
        <f t="shared" si="10"/>
        <v>0</v>
      </c>
      <c r="H56" s="2239">
        <f t="shared" si="10"/>
        <v>0</v>
      </c>
      <c r="I56" s="2239">
        <f t="shared" ca="1" si="10"/>
        <v>0</v>
      </c>
      <c r="J56" s="2239">
        <f t="shared" si="10"/>
        <v>0</v>
      </c>
      <c r="K56" s="2239">
        <f t="shared" si="10"/>
        <v>0</v>
      </c>
      <c r="L56" s="2239">
        <f t="shared" ca="1" si="4"/>
        <v>52257.281343511517</v>
      </c>
      <c r="M56" s="612"/>
      <c r="N56" s="612"/>
      <c r="O56" s="612"/>
      <c r="P56" s="612"/>
      <c r="Q56" s="612"/>
      <c r="R56" s="612"/>
      <c r="S56" s="612"/>
      <c r="T56" s="612"/>
      <c r="U56" s="612"/>
      <c r="V56" s="612"/>
      <c r="W56" s="612"/>
      <c r="X56" s="612"/>
      <c r="Y56" s="612"/>
      <c r="AA56" s="209">
        <v>52</v>
      </c>
      <c r="AB56" s="1230" t="str">
        <f>UPPER(Definitions_FlowLang!C93)</f>
        <v>NON-ENERGY USE</v>
      </c>
      <c r="AC56" s="1230" t="str">
        <f>UPPER(Definitions_FlowLang!D93)</f>
        <v>НЕЭНЕРГЕТИЧЕСКОЕ ИСПОЛЬЗОВАНИЕ</v>
      </c>
      <c r="AD56" s="1230" t="str">
        <f>UPPER(Definitions_FlowLang!E93)</f>
        <v>非能源使用</v>
      </c>
      <c r="AE56" s="209" t="s">
        <v>322</v>
      </c>
    </row>
    <row r="57" spans="1:31" x14ac:dyDescent="0.15">
      <c r="A57" s="209" t="str">
        <f t="shared" si="7"/>
        <v>in industry/transf./energy</v>
      </c>
      <c r="B57" s="2236">
        <f ca="1">SUM('Aggregated Balance'!B57:D57)</f>
        <v>0</v>
      </c>
      <c r="C57" s="2236">
        <f ca="1">'Aggregated Balance'!E57</f>
        <v>0</v>
      </c>
      <c r="D57" s="2236">
        <f ca="1">'Aggregated Balance'!F57</f>
        <v>15741.500843663378</v>
      </c>
      <c r="E57" s="2236">
        <f ca="1">'Aggregated Balance'!G57</f>
        <v>0</v>
      </c>
      <c r="F57" s="2236">
        <f>'Aggregated Balance'!H57</f>
        <v>0</v>
      </c>
      <c r="G57" s="2236">
        <f>'Aggregated Balance'!I57</f>
        <v>0</v>
      </c>
      <c r="H57" s="2236">
        <f>SUM('Aggregated Balance'!J57,'Aggregated Balance'!K57)</f>
        <v>0</v>
      </c>
      <c r="I57" s="2236">
        <f ca="1">'Aggregated Balance'!L57</f>
        <v>0</v>
      </c>
      <c r="J57" s="2236">
        <f>'Aggregated Balance'!M57</f>
        <v>0</v>
      </c>
      <c r="K57" s="2236">
        <f>'Aggregated Balance'!N57</f>
        <v>0</v>
      </c>
      <c r="L57" s="2236">
        <f t="shared" ca="1" si="4"/>
        <v>15741.500843663378</v>
      </c>
      <c r="M57" s="611"/>
      <c r="N57" s="611"/>
      <c r="O57" s="611"/>
      <c r="P57" s="611"/>
      <c r="Q57" s="611"/>
      <c r="R57" s="611"/>
      <c r="S57" s="611"/>
      <c r="T57" s="611"/>
      <c r="U57" s="611"/>
      <c r="V57" s="611"/>
      <c r="W57" s="611"/>
      <c r="X57" s="611"/>
      <c r="Y57" s="611"/>
      <c r="AA57" s="209">
        <v>53</v>
      </c>
      <c r="AB57" s="209" t="s">
        <v>7060</v>
      </c>
      <c r="AC57" s="1230" t="str">
        <f>Definitions_FlowLang!D94</f>
        <v>в промышленности/преобраз.-переработке/топл. энергетике</v>
      </c>
      <c r="AD57" s="1230" t="str">
        <f>Definitions_FlowLang!E94</f>
        <v>工业/转换/能源部门非能源使用</v>
      </c>
      <c r="AE57" s="209" t="s">
        <v>322</v>
      </c>
    </row>
    <row r="58" spans="1:31" x14ac:dyDescent="0.15">
      <c r="A58" s="1155" t="str">
        <f t="shared" si="7"/>
        <v>of which: chem./petrochem.</v>
      </c>
      <c r="B58" s="2236">
        <f ca="1">SUM('Aggregated Balance'!B60:D60)</f>
        <v>445434</v>
      </c>
      <c r="C58" s="2236">
        <f ca="1">'Aggregated Balance'!E60</f>
        <v>0</v>
      </c>
      <c r="D58" s="2236">
        <f ca="1">'Aggregated Balance'!F60</f>
        <v>0</v>
      </c>
      <c r="E58" s="2236">
        <f ca="1">'Aggregated Balance'!G60</f>
        <v>0</v>
      </c>
      <c r="F58" s="2236">
        <f>'Aggregated Balance'!H60</f>
        <v>0</v>
      </c>
      <c r="G58" s="2236">
        <f>'Aggregated Balance'!I60</f>
        <v>0</v>
      </c>
      <c r="H58" s="2236">
        <f>SUM('Aggregated Balance'!J60,'Aggregated Balance'!K60)</f>
        <v>0</v>
      </c>
      <c r="I58" s="2236">
        <f ca="1">'Aggregated Balance'!L60</f>
        <v>0</v>
      </c>
      <c r="J58" s="2236">
        <f>'Aggregated Balance'!M60</f>
        <v>0</v>
      </c>
      <c r="K58" s="2236">
        <f>'Aggregated Balance'!N60</f>
        <v>0</v>
      </c>
      <c r="L58" s="2236">
        <f t="shared" ca="1" si="4"/>
        <v>445434</v>
      </c>
      <c r="M58" s="611"/>
      <c r="N58" s="611"/>
      <c r="O58" s="611"/>
      <c r="P58" s="611"/>
      <c r="Q58" s="611"/>
      <c r="R58" s="611"/>
      <c r="S58" s="611"/>
      <c r="T58" s="611"/>
      <c r="U58" s="611"/>
      <c r="V58" s="611"/>
      <c r="W58" s="611"/>
      <c r="X58" s="611"/>
      <c r="Y58" s="611"/>
      <c r="AA58" s="209">
        <v>54</v>
      </c>
      <c r="AB58" s="209" t="s">
        <v>7061</v>
      </c>
      <c r="AC58" s="1230" t="str">
        <f>Definitions_FlowLang!D97</f>
        <v>в т.ч. химикаты / нефтехимия</v>
      </c>
      <c r="AD58" s="1230" t="str">
        <f>Definitions_FlowLang!E97</f>
        <v xml:space="preserve">备忘项化学/石化产业非能源使用 </v>
      </c>
      <c r="AE58" s="209" t="s">
        <v>322</v>
      </c>
    </row>
    <row r="59" spans="1:31" x14ac:dyDescent="0.15">
      <c r="A59" s="209" t="str">
        <f t="shared" si="7"/>
        <v>in transport</v>
      </c>
      <c r="B59" s="2236">
        <f ca="1">SUM('Aggregated Balance'!B58:D58)</f>
        <v>0</v>
      </c>
      <c r="C59" s="2236">
        <f ca="1">'Aggregated Balance'!E58</f>
        <v>0</v>
      </c>
      <c r="D59" s="2236">
        <f ca="1">'Aggregated Balance'!F58</f>
        <v>25685.392827137242</v>
      </c>
      <c r="E59" s="2236">
        <f ca="1">'Aggregated Balance'!G58</f>
        <v>0</v>
      </c>
      <c r="F59" s="2236">
        <f>'Aggregated Balance'!H58</f>
        <v>0</v>
      </c>
      <c r="G59" s="2236">
        <f>'Aggregated Balance'!I58</f>
        <v>0</v>
      </c>
      <c r="H59" s="2236">
        <f>SUM('Aggregated Balance'!J58,'Aggregated Balance'!K58)</f>
        <v>0</v>
      </c>
      <c r="I59" s="2236">
        <f ca="1">'Aggregated Balance'!L58</f>
        <v>0</v>
      </c>
      <c r="J59" s="2236">
        <f>'Aggregated Balance'!M58</f>
        <v>0</v>
      </c>
      <c r="K59" s="2236">
        <f>'Aggregated Balance'!N58</f>
        <v>0</v>
      </c>
      <c r="L59" s="2236">
        <f t="shared" ca="1" si="4"/>
        <v>25685.392827137242</v>
      </c>
      <c r="M59" s="611"/>
      <c r="N59" s="611"/>
      <c r="O59" s="611"/>
      <c r="P59" s="611"/>
      <c r="Q59" s="611"/>
      <c r="R59" s="611"/>
      <c r="S59" s="611"/>
      <c r="T59" s="611"/>
      <c r="U59" s="611"/>
      <c r="V59" s="611"/>
      <c r="W59" s="611"/>
      <c r="X59" s="611"/>
      <c r="Y59" s="611"/>
      <c r="AA59" s="209">
        <v>55</v>
      </c>
      <c r="AB59" s="209" t="s">
        <v>7062</v>
      </c>
      <c r="AC59" s="1230" t="str">
        <f>Definitions_FlowLang!D95</f>
        <v>в транспорте</v>
      </c>
      <c r="AD59" s="1230" t="str">
        <f>Definitions_FlowLang!E95</f>
        <v xml:space="preserve">交通运输部门非能源用途            </v>
      </c>
      <c r="AE59" s="209" t="s">
        <v>322</v>
      </c>
    </row>
    <row r="60" spans="1:31" x14ac:dyDescent="0.15">
      <c r="A60" s="1153" t="str">
        <f t="shared" si="7"/>
        <v>in other</v>
      </c>
      <c r="B60" s="2237">
        <f ca="1">SUM('Aggregated Balance'!B59:D59)</f>
        <v>0</v>
      </c>
      <c r="C60" s="2237">
        <f ca="1">'Aggregated Balance'!E59</f>
        <v>0</v>
      </c>
      <c r="D60" s="2237">
        <f ca="1">'Aggregated Balance'!F59</f>
        <v>10830.387672710895</v>
      </c>
      <c r="E60" s="2237">
        <f ca="1">'Aggregated Balance'!G59</f>
        <v>0</v>
      </c>
      <c r="F60" s="2237">
        <f>'Aggregated Balance'!H59</f>
        <v>0</v>
      </c>
      <c r="G60" s="2237">
        <f>'Aggregated Balance'!I59</f>
        <v>0</v>
      </c>
      <c r="H60" s="2237">
        <f>SUM('Aggregated Balance'!J59,'Aggregated Balance'!K59)</f>
        <v>0</v>
      </c>
      <c r="I60" s="2237">
        <f ca="1">'Aggregated Balance'!L59</f>
        <v>0</v>
      </c>
      <c r="J60" s="2237">
        <f>'Aggregated Balance'!M59</f>
        <v>0</v>
      </c>
      <c r="K60" s="2237">
        <f>'Aggregated Balance'!N59</f>
        <v>0</v>
      </c>
      <c r="L60" s="2237">
        <f t="shared" ca="1" si="4"/>
        <v>10830.387672710895</v>
      </c>
      <c r="M60" s="611"/>
      <c r="N60" s="611"/>
      <c r="O60" s="611"/>
      <c r="P60" s="611"/>
      <c r="Q60" s="611"/>
      <c r="R60" s="611"/>
      <c r="S60" s="611"/>
      <c r="T60" s="611"/>
      <c r="U60" s="611"/>
      <c r="V60" s="611"/>
      <c r="W60" s="611"/>
      <c r="X60" s="611"/>
      <c r="Y60" s="611"/>
      <c r="AA60" s="209">
        <v>56</v>
      </c>
      <c r="AB60" s="209" t="s">
        <v>7063</v>
      </c>
      <c r="AC60" s="1230" t="str">
        <f>Definitions_FlowLang!D96</f>
        <v>в других секторах</v>
      </c>
      <c r="AD60" s="1230" t="str">
        <f>Definitions_FlowLang!E96</f>
        <v xml:space="preserve">其他部门的非能源用途             </v>
      </c>
      <c r="AE60" s="209" t="s">
        <v>322</v>
      </c>
    </row>
    <row r="61" spans="1:31" x14ac:dyDescent="0.15">
      <c r="A61" s="2310" t="str">
        <f t="shared" si="7"/>
        <v>Electricity and heat output</v>
      </c>
      <c r="B61" s="2310" t="str">
        <f t="shared" ref="B61:L61" si="11">HLOOKUP(LangChoice,$AB$4:$AD$67,$AA61+1)</f>
        <v>Electricity and heat output</v>
      </c>
      <c r="C61" s="2310" t="str">
        <f t="shared" si="11"/>
        <v>Electricity and heat output</v>
      </c>
      <c r="D61" s="2310" t="str">
        <f t="shared" si="11"/>
        <v>Electricity and heat output</v>
      </c>
      <c r="E61" s="2310" t="str">
        <f t="shared" si="11"/>
        <v>Electricity and heat output</v>
      </c>
      <c r="F61" s="2310" t="str">
        <f t="shared" si="11"/>
        <v>Electricity and heat output</v>
      </c>
      <c r="G61" s="2310" t="str">
        <f t="shared" si="11"/>
        <v>Electricity and heat output</v>
      </c>
      <c r="H61" s="2310" t="str">
        <f t="shared" si="11"/>
        <v>Electricity and heat output</v>
      </c>
      <c r="I61" s="2310" t="str">
        <f t="shared" si="11"/>
        <v>Electricity and heat output</v>
      </c>
      <c r="J61" s="2310" t="str">
        <f t="shared" si="11"/>
        <v>Electricity and heat output</v>
      </c>
      <c r="K61" s="2310" t="str">
        <f t="shared" si="11"/>
        <v>Electricity and heat output</v>
      </c>
      <c r="L61" s="2310" t="str">
        <f t="shared" si="11"/>
        <v>Electricity and heat output</v>
      </c>
      <c r="M61" s="614"/>
      <c r="N61" s="614"/>
      <c r="O61" s="614"/>
      <c r="P61" s="614"/>
      <c r="Q61" s="614"/>
      <c r="R61" s="614"/>
      <c r="S61" s="614"/>
      <c r="T61" s="614"/>
      <c r="U61" s="614"/>
      <c r="V61" s="614"/>
      <c r="W61" s="614"/>
      <c r="X61" s="614"/>
      <c r="Y61" s="614"/>
      <c r="AA61" s="209">
        <v>57</v>
      </c>
      <c r="AB61" s="1230" t="str">
        <f>Definitions_FlowLang!C98</f>
        <v>Electricity and heat output</v>
      </c>
      <c r="AC61" s="1230" t="str">
        <f>Definitions_FlowLang!D98</f>
        <v>Производство электроэнерги и тепла</v>
      </c>
      <c r="AD61" s="1230" t="str">
        <f>Definitions_FlowLang!E98</f>
        <v>电力和热力产量</v>
      </c>
      <c r="AE61" s="1230" t="s">
        <v>322</v>
      </c>
    </row>
    <row r="62" spans="1:31" x14ac:dyDescent="0.15">
      <c r="A62" s="609" t="str">
        <f t="shared" si="7"/>
        <v>Electr. Generated - GWh</v>
      </c>
      <c r="B62" s="2239">
        <f t="shared" ref="B62:K62" si="12">SUM(B63:B64)</f>
        <v>200341.94</v>
      </c>
      <c r="C62" s="2239">
        <f t="shared" si="12"/>
        <v>0</v>
      </c>
      <c r="D62" s="2239">
        <f t="shared" si="12"/>
        <v>0</v>
      </c>
      <c r="E62" s="2239">
        <f t="shared" si="12"/>
        <v>0</v>
      </c>
      <c r="F62" s="2239">
        <f t="shared" si="12"/>
        <v>14214</v>
      </c>
      <c r="G62" s="2239">
        <f t="shared" si="12"/>
        <v>-16036.450999999999</v>
      </c>
      <c r="H62" s="2239">
        <f t="shared" si="12"/>
        <v>9507.7000000000007</v>
      </c>
      <c r="I62" s="2239">
        <f t="shared" si="12"/>
        <v>309.06</v>
      </c>
      <c r="J62" s="2239">
        <f t="shared" si="12"/>
        <v>0</v>
      </c>
      <c r="K62" s="2239">
        <f t="shared" si="12"/>
        <v>0</v>
      </c>
      <c r="L62" s="2239">
        <f t="shared" ref="L62:L67" si="13">SUM(B62:K62)</f>
        <v>208336.24900000001</v>
      </c>
      <c r="M62" s="612"/>
      <c r="N62" s="612"/>
      <c r="O62" s="612"/>
      <c r="P62" s="612"/>
      <c r="Q62" s="612"/>
      <c r="R62" s="612"/>
      <c r="S62" s="612"/>
      <c r="T62" s="612"/>
      <c r="U62" s="612"/>
      <c r="V62" s="612"/>
      <c r="W62" s="612"/>
      <c r="X62" s="612"/>
      <c r="Y62" s="612"/>
      <c r="AA62" s="209">
        <v>58</v>
      </c>
      <c r="AB62" s="209" t="s">
        <v>7064</v>
      </c>
      <c r="AC62" s="1230" t="str">
        <f>Definitions_FlowLang!D99</f>
        <v>Производство электроэнергии ● ГВт-ч</v>
      </c>
      <c r="AD62" s="1230" t="str">
        <f>Definitions_FlowLang!E99</f>
        <v>电力产量（单位：吉瓦时）</v>
      </c>
      <c r="AE62" s="209" t="s">
        <v>322</v>
      </c>
    </row>
    <row r="63" spans="1:31" x14ac:dyDescent="0.15">
      <c r="A63" s="1155" t="str">
        <f t="shared" si="7"/>
        <v>Electricity plants</v>
      </c>
      <c r="B63" s="2240">
        <f>SUM('Aggregated Balance'!B62:D63)</f>
        <v>200341.94</v>
      </c>
      <c r="C63" s="2240">
        <f>SUM('Aggregated Balance'!E62:E63)</f>
        <v>0</v>
      </c>
      <c r="D63" s="2240">
        <f>SUM('Aggregated Balance'!F62:F63)</f>
        <v>0</v>
      </c>
      <c r="E63" s="2240">
        <f>SUM('Aggregated Balance'!G62:G63)</f>
        <v>0</v>
      </c>
      <c r="F63" s="2240">
        <f>SUM('Aggregated Balance'!H62:H63)</f>
        <v>14214</v>
      </c>
      <c r="G63" s="2240">
        <f>SUM('Aggregated Balance'!I62:I63)</f>
        <v>-16036.450999999999</v>
      </c>
      <c r="H63" s="2240">
        <f>SUM('Aggregated Balance'!J62:K63)</f>
        <v>9507.7000000000007</v>
      </c>
      <c r="I63" s="2240">
        <f>SUM('Aggregated Balance'!L62:L63)</f>
        <v>309.06</v>
      </c>
      <c r="J63" s="2240">
        <f>SUM('Aggregated Balance'!M62:M63)</f>
        <v>0</v>
      </c>
      <c r="K63" s="2240">
        <f>SUM('Aggregated Balance'!N62:N63)</f>
        <v>0</v>
      </c>
      <c r="L63" s="2240">
        <f t="shared" si="13"/>
        <v>208336.24900000001</v>
      </c>
      <c r="M63" s="614"/>
      <c r="N63" s="614"/>
      <c r="O63" s="614"/>
      <c r="P63" s="614"/>
      <c r="Q63" s="614"/>
      <c r="R63" s="614"/>
      <c r="S63" s="614"/>
      <c r="T63" s="614"/>
      <c r="U63" s="614"/>
      <c r="V63" s="614"/>
      <c r="W63" s="614"/>
      <c r="X63" s="614"/>
      <c r="Y63" s="614"/>
      <c r="AA63" s="209">
        <v>59</v>
      </c>
      <c r="AB63" s="209" t="s">
        <v>7040</v>
      </c>
      <c r="AC63" s="209" t="s">
        <v>7041</v>
      </c>
      <c r="AD63" s="209" t="s">
        <v>7065</v>
      </c>
      <c r="AE63" s="209" t="s">
        <v>322</v>
      </c>
    </row>
    <row r="64" spans="1:31" x14ac:dyDescent="0.15">
      <c r="A64" s="1155" t="str">
        <f t="shared" si="7"/>
        <v>CHP plants</v>
      </c>
      <c r="B64" s="2240">
        <f>SUM('Aggregated Balance'!B64:D65)</f>
        <v>0</v>
      </c>
      <c r="C64" s="2240">
        <f>SUM('Aggregated Balance'!E64:E65)</f>
        <v>0</v>
      </c>
      <c r="D64" s="2240">
        <f>SUM('Aggregated Balance'!F64:F65)</f>
        <v>0</v>
      </c>
      <c r="E64" s="2240">
        <f>SUM('Aggregated Balance'!G64:G65)</f>
        <v>0</v>
      </c>
      <c r="F64" s="2240">
        <f>SUM('Aggregated Balance'!H64:H65)</f>
        <v>0</v>
      </c>
      <c r="G64" s="2240">
        <f>SUM('Aggregated Balance'!I64:I65)</f>
        <v>0</v>
      </c>
      <c r="H64" s="2240">
        <f>SUM('Aggregated Balance'!J64:K65)</f>
        <v>0</v>
      </c>
      <c r="I64" s="2240">
        <f>SUM('Aggregated Balance'!L64:L65)</f>
        <v>0</v>
      </c>
      <c r="J64" s="2240">
        <f>SUM('Aggregated Balance'!M64:M65)</f>
        <v>0</v>
      </c>
      <c r="K64" s="2240">
        <f>SUM('Aggregated Balance'!N64:N65)</f>
        <v>0</v>
      </c>
      <c r="L64" s="2240">
        <f t="shared" si="13"/>
        <v>0</v>
      </c>
      <c r="M64" s="614"/>
      <c r="N64" s="614"/>
      <c r="O64" s="614"/>
      <c r="P64" s="614"/>
      <c r="Q64" s="614"/>
      <c r="R64" s="614"/>
      <c r="S64" s="614"/>
      <c r="T64" s="614"/>
      <c r="U64" s="614"/>
      <c r="V64" s="614"/>
      <c r="W64" s="614"/>
      <c r="X64" s="614"/>
      <c r="Y64" s="614"/>
      <c r="AA64" s="209">
        <v>60</v>
      </c>
      <c r="AB64" s="209" t="s">
        <v>7043</v>
      </c>
      <c r="AC64" s="209" t="s">
        <v>7044</v>
      </c>
      <c r="AD64" s="209" t="s">
        <v>7066</v>
      </c>
      <c r="AE64" s="209" t="s">
        <v>322</v>
      </c>
    </row>
    <row r="65" spans="1:32" x14ac:dyDescent="0.15">
      <c r="A65" s="609" t="str">
        <f t="shared" si="7"/>
        <v>Heat generated - TJ</v>
      </c>
      <c r="B65" s="2239">
        <f t="shared" ref="B65:K65" si="14">SUM(B66:B67)</f>
        <v>0</v>
      </c>
      <c r="C65" s="2239">
        <f t="shared" si="14"/>
        <v>0</v>
      </c>
      <c r="D65" s="2239">
        <f t="shared" si="14"/>
        <v>0</v>
      </c>
      <c r="E65" s="2239">
        <f t="shared" si="14"/>
        <v>0</v>
      </c>
      <c r="F65" s="2239">
        <f t="shared" si="14"/>
        <v>0</v>
      </c>
      <c r="G65" s="2239">
        <f t="shared" si="14"/>
        <v>0</v>
      </c>
      <c r="H65" s="2239">
        <f t="shared" si="14"/>
        <v>0</v>
      </c>
      <c r="I65" s="2239">
        <f t="shared" si="14"/>
        <v>0</v>
      </c>
      <c r="J65" s="2239">
        <f t="shared" si="14"/>
        <v>0</v>
      </c>
      <c r="K65" s="2239">
        <f t="shared" si="14"/>
        <v>0</v>
      </c>
      <c r="L65" s="2239">
        <f t="shared" si="13"/>
        <v>0</v>
      </c>
      <c r="M65" s="612"/>
      <c r="N65" s="612"/>
      <c r="O65" s="612"/>
      <c r="P65" s="612"/>
      <c r="Q65" s="612"/>
      <c r="R65" s="612"/>
      <c r="S65" s="612"/>
      <c r="T65" s="612"/>
      <c r="U65" s="612"/>
      <c r="V65" s="612"/>
      <c r="W65" s="612"/>
      <c r="X65" s="612"/>
      <c r="Y65" s="612"/>
      <c r="AA65" s="209">
        <v>61</v>
      </c>
      <c r="AB65" s="209" t="s">
        <v>7067</v>
      </c>
      <c r="AC65" s="1230" t="str">
        <f>Definitions_FlowLang!D108</f>
        <v>Производство тепла ● ТДж</v>
      </c>
      <c r="AD65" s="1230" t="str">
        <f>Definitions_FlowLang!E108</f>
        <v>热力产量（单位：太焦耳）</v>
      </c>
      <c r="AE65" s="209" t="s">
        <v>322</v>
      </c>
    </row>
    <row r="66" spans="1:32" x14ac:dyDescent="0.15">
      <c r="A66" s="1155" t="str">
        <f t="shared" si="7"/>
        <v>CHP plants</v>
      </c>
      <c r="B66" s="2240">
        <f>SUM('Aggregated Balance'!B66:D67)</f>
        <v>0</v>
      </c>
      <c r="C66" s="2240">
        <f>SUM('Aggregated Balance'!E66:E67)</f>
        <v>0</v>
      </c>
      <c r="D66" s="2240">
        <f>SUM('Aggregated Balance'!F66:F67)</f>
        <v>0</v>
      </c>
      <c r="E66" s="2240">
        <f>SUM('Aggregated Balance'!G66:G67)</f>
        <v>0</v>
      </c>
      <c r="F66" s="2240">
        <f>SUM('Aggregated Balance'!H66:H67)</f>
        <v>0</v>
      </c>
      <c r="G66" s="2240">
        <f>SUM('Aggregated Balance'!I66:I67)</f>
        <v>0</v>
      </c>
      <c r="H66" s="2240">
        <f>SUM('Aggregated Balance'!J66:K67)</f>
        <v>0</v>
      </c>
      <c r="I66" s="2240">
        <f>SUM('Aggregated Balance'!L66:L67)</f>
        <v>0</v>
      </c>
      <c r="J66" s="2240">
        <f>SUM('Aggregated Balance'!M66:M67)</f>
        <v>0</v>
      </c>
      <c r="K66" s="2240">
        <f>SUM('Aggregated Balance'!N66:N67)</f>
        <v>0</v>
      </c>
      <c r="L66" s="2240">
        <f t="shared" si="13"/>
        <v>0</v>
      </c>
      <c r="M66" s="614"/>
      <c r="N66" s="614"/>
      <c r="O66" s="614"/>
      <c r="P66" s="614"/>
      <c r="Q66" s="614"/>
      <c r="R66" s="614"/>
      <c r="S66" s="614"/>
      <c r="T66" s="614"/>
      <c r="U66" s="614"/>
      <c r="V66" s="614"/>
      <c r="W66" s="614"/>
      <c r="X66" s="614"/>
      <c r="Y66" s="614"/>
      <c r="AA66" s="209">
        <v>62</v>
      </c>
      <c r="AB66" s="209" t="s">
        <v>7043</v>
      </c>
      <c r="AC66" s="209" t="s">
        <v>7044</v>
      </c>
      <c r="AD66" s="209" t="s">
        <v>7066</v>
      </c>
      <c r="AE66" s="209" t="s">
        <v>322</v>
      </c>
    </row>
    <row r="67" spans="1:32" x14ac:dyDescent="0.15">
      <c r="A67" s="1155" t="str">
        <f t="shared" si="7"/>
        <v>Heat plants</v>
      </c>
      <c r="B67" s="2240">
        <f>SUM('Aggregated Balance'!B68:D69)</f>
        <v>0</v>
      </c>
      <c r="C67" s="2240">
        <f>SUM('Aggregated Balance'!E68:E69)</f>
        <v>0</v>
      </c>
      <c r="D67" s="2240">
        <f>SUM('Aggregated Balance'!F68:F69)</f>
        <v>0</v>
      </c>
      <c r="E67" s="2240">
        <f>SUM('Aggregated Balance'!G68:G69)</f>
        <v>0</v>
      </c>
      <c r="F67" s="2240">
        <f>SUM('Aggregated Balance'!H68:H69)</f>
        <v>0</v>
      </c>
      <c r="G67" s="2240">
        <f>SUM('Aggregated Balance'!I68:I69)</f>
        <v>0</v>
      </c>
      <c r="H67" s="2240">
        <f>SUM('Aggregated Balance'!J68:K69)</f>
        <v>0</v>
      </c>
      <c r="I67" s="2240">
        <f>SUM('Aggregated Balance'!L68:L69)</f>
        <v>0</v>
      </c>
      <c r="J67" s="2240">
        <f>SUM('Aggregated Balance'!M68:M69)</f>
        <v>0</v>
      </c>
      <c r="K67" s="2240">
        <f>SUM('Aggregated Balance'!N68:N69)</f>
        <v>0</v>
      </c>
      <c r="L67" s="2240">
        <f t="shared" si="13"/>
        <v>0</v>
      </c>
      <c r="M67" s="614"/>
      <c r="N67" s="614"/>
      <c r="O67" s="614"/>
      <c r="P67" s="614"/>
      <c r="Q67" s="614"/>
      <c r="R67" s="614"/>
      <c r="S67" s="614"/>
      <c r="T67" s="614"/>
      <c r="U67" s="614"/>
      <c r="V67" s="614"/>
      <c r="W67" s="614"/>
      <c r="X67" s="614"/>
      <c r="Y67" s="614"/>
      <c r="AA67" s="209">
        <v>63</v>
      </c>
      <c r="AB67" s="209" t="s">
        <v>7046</v>
      </c>
      <c r="AC67" s="209" t="s">
        <v>7047</v>
      </c>
      <c r="AD67" s="209" t="s">
        <v>7068</v>
      </c>
      <c r="AE67" s="209" t="s">
        <v>322</v>
      </c>
      <c r="AF67" s="609"/>
    </row>
    <row r="68" spans="1:32" x14ac:dyDescent="0.15">
      <c r="AA68" s="209">
        <v>64</v>
      </c>
      <c r="AE68" s="209" t="s">
        <v>322</v>
      </c>
    </row>
    <row r="69" spans="1:32" x14ac:dyDescent="0.15">
      <c r="AA69" s="209">
        <v>65</v>
      </c>
      <c r="AE69" s="209" t="s">
        <v>322</v>
      </c>
      <c r="AF69" s="995"/>
    </row>
    <row r="70" spans="1:32" x14ac:dyDescent="0.15">
      <c r="AA70" s="209">
        <v>66</v>
      </c>
      <c r="AE70" s="209" t="s">
        <v>322</v>
      </c>
      <c r="AF70" s="611"/>
    </row>
    <row r="71" spans="1:32" ht="11.25" x14ac:dyDescent="0.2">
      <c r="M71" s="555"/>
      <c r="N71" s="555"/>
      <c r="O71" s="555"/>
      <c r="P71" s="555"/>
      <c r="Q71" s="555"/>
      <c r="R71" s="555"/>
      <c r="S71" s="555"/>
      <c r="T71" s="555"/>
      <c r="U71" s="555"/>
      <c r="V71" s="555"/>
      <c r="W71" s="555"/>
      <c r="X71" s="555"/>
      <c r="Y71" s="555"/>
      <c r="AA71" s="209">
        <v>67</v>
      </c>
      <c r="AE71" s="209" t="s">
        <v>322</v>
      </c>
      <c r="AF71" s="996"/>
    </row>
    <row r="72" spans="1:32" x14ac:dyDescent="0.15">
      <c r="AA72" s="209">
        <v>68</v>
      </c>
      <c r="AE72" s="209" t="s">
        <v>322</v>
      </c>
    </row>
    <row r="73" spans="1:32" x14ac:dyDescent="0.15">
      <c r="AA73" s="209">
        <v>69</v>
      </c>
      <c r="AE73" s="209" t="s">
        <v>322</v>
      </c>
    </row>
    <row r="74" spans="1:32" x14ac:dyDescent="0.15">
      <c r="AA74" s="209">
        <v>70</v>
      </c>
      <c r="AB74" s="209" t="s">
        <v>7069</v>
      </c>
      <c r="AC74" s="209" t="s">
        <v>7070</v>
      </c>
      <c r="AD74" s="209" t="s">
        <v>148</v>
      </c>
      <c r="AE74" s="209" t="s">
        <v>322</v>
      </c>
    </row>
    <row r="75" spans="1:32" x14ac:dyDescent="0.15">
      <c r="AA75" s="209">
        <v>71</v>
      </c>
      <c r="AB75" s="209" t="s">
        <v>161</v>
      </c>
      <c r="AC75" s="209" t="s">
        <v>162</v>
      </c>
      <c r="AE75" s="209" t="s">
        <v>322</v>
      </c>
    </row>
  </sheetData>
  <sheetProtection algorithmName="SHA-512" hashValue="yGvsBKXYJzX9x/vsYQ9SrG5siMtbKroRUyU522sT0roN5tzKEVjFVF90AON6NJ/ZF7G1KDO0lUmckAGaEfSHBQ==" saltValue="H8wdI3SUALPv+Yi89TfCHA==" spinCount="100000" sheet="1" objects="1" scenarios="1"/>
  <mergeCells count="5">
    <mergeCell ref="A1:L1"/>
    <mergeCell ref="A3:L3"/>
    <mergeCell ref="A5:L5"/>
    <mergeCell ref="AB3:AD3"/>
    <mergeCell ref="A61:L61"/>
  </mergeCells>
  <pageMargins left="0.51181102362204722" right="0.51181102362204722" top="0.74803149606299213" bottom="0.74803149606299213" header="0.31496062992125984" footer="0.31496062992125984"/>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tabColor theme="1"/>
  </sheetPr>
  <dimension ref="A1:AK60"/>
  <sheetViews>
    <sheetView showGridLines="0" topLeftCell="B1" zoomScaleNormal="100" workbookViewId="0">
      <selection activeCell="B1" sqref="B1"/>
    </sheetView>
  </sheetViews>
  <sheetFormatPr defaultColWidth="9.140625" defaultRowHeight="11.25" x14ac:dyDescent="0.2"/>
  <cols>
    <col min="1" max="1" width="2.7109375" style="20" hidden="1" customWidth="1"/>
    <col min="2" max="2" width="3" style="20" customWidth="1"/>
    <col min="3" max="3" width="73.85546875" style="20" customWidth="1"/>
    <col min="4" max="4" width="12.42578125" style="20" customWidth="1"/>
    <col min="5" max="5" width="17.140625" style="20" hidden="1" customWidth="1"/>
    <col min="6" max="6" width="5.5703125" style="20" customWidth="1"/>
    <col min="7" max="7" width="7.85546875" style="20" customWidth="1"/>
    <col min="8" max="23" width="8.7109375" style="20" customWidth="1"/>
    <col min="24" max="26" width="5.5703125" style="20" customWidth="1"/>
    <col min="27" max="31" width="7" style="20" customWidth="1"/>
    <col min="32" max="32" width="14.7109375" style="20" customWidth="1"/>
    <col min="33" max="33" width="4.42578125" style="20" customWidth="1"/>
    <col min="34" max="36" width="14.5703125" style="20" customWidth="1"/>
    <col min="37" max="37" width="9.140625" style="20" customWidth="1"/>
    <col min="38" max="16384" width="9.140625" style="20"/>
  </cols>
  <sheetData>
    <row r="1" spans="1:37" ht="30" customHeight="1" x14ac:dyDescent="0.2">
      <c r="A1" s="617">
        <v>1</v>
      </c>
      <c r="B1" s="1135" t="str">
        <f>HLOOKUP(LangChoice,$AH$2:$AJ$63,$A1+1)</f>
        <v>WHAT CAN WE LEARN FROM AN ENERGY BALANCE?</v>
      </c>
      <c r="C1" s="1073"/>
      <c r="D1" s="1136" t="s">
        <v>7071</v>
      </c>
      <c r="E1" s="975" t="s">
        <v>74</v>
      </c>
      <c r="AA1" s="617" t="s">
        <v>74</v>
      </c>
      <c r="AB1" s="617"/>
      <c r="AC1" s="617"/>
      <c r="AD1" s="617"/>
      <c r="AE1" s="617"/>
      <c r="AF1" s="1077" t="s">
        <v>7072</v>
      </c>
      <c r="AG1" s="617"/>
      <c r="AH1" s="617" t="s">
        <v>7071</v>
      </c>
      <c r="AI1" s="617" t="s">
        <v>7073</v>
      </c>
      <c r="AJ1" s="617"/>
      <c r="AK1" s="617" t="s">
        <v>74</v>
      </c>
    </row>
    <row r="2" spans="1:37" ht="12.75" x14ac:dyDescent="0.2">
      <c r="A2" s="20">
        <v>2</v>
      </c>
      <c r="B2" s="1075" t="str">
        <f>HLOOKUP(LangChoice,$AH$2:$AJ$63,$A2+1)&amp; CountryName</f>
        <v>Country: South Africa</v>
      </c>
      <c r="D2" s="1075"/>
      <c r="AG2" s="259" t="s">
        <v>7074</v>
      </c>
      <c r="AH2" s="1072" t="s">
        <v>7</v>
      </c>
      <c r="AI2" s="1072" t="s">
        <v>8</v>
      </c>
      <c r="AJ2" s="1072" t="s">
        <v>9</v>
      </c>
    </row>
    <row r="3" spans="1:37" ht="12.75" x14ac:dyDescent="0.2">
      <c r="A3" s="20">
        <v>3</v>
      </c>
      <c r="B3" s="1075" t="str">
        <f>HLOOKUP(LangChoice,$AH$2:$AJ$63,$A3+1)&amp; DataYear</f>
        <v>Year: 2019</v>
      </c>
      <c r="D3" s="539"/>
      <c r="AG3" s="20">
        <v>1</v>
      </c>
      <c r="AH3" s="20" t="s">
        <v>7075</v>
      </c>
      <c r="AI3" s="20" t="s">
        <v>7076</v>
      </c>
    </row>
    <row r="4" spans="1:37" x14ac:dyDescent="0.2">
      <c r="A4" s="20">
        <v>4</v>
      </c>
      <c r="B4" s="1076" t="str">
        <f>HLOOKUP(LangChoice,$AH$2:$AJ$63,$A4+1) &amp; "IEA (2017), World Energy Statistics and Balances 2017, www.iea.org/statistics/."</f>
        <v>Source: IEA (2017), World Energy Statistics and Balances 2017, www.iea.org/statistics/.</v>
      </c>
      <c r="D4" s="1076"/>
      <c r="AG4" s="20">
        <v>2</v>
      </c>
      <c r="AH4" s="20" t="s">
        <v>7077</v>
      </c>
      <c r="AI4" s="20" t="s">
        <v>7078</v>
      </c>
    </row>
    <row r="5" spans="1:37" x14ac:dyDescent="0.2">
      <c r="A5" s="20">
        <v>5</v>
      </c>
      <c r="AG5" s="20">
        <v>3</v>
      </c>
      <c r="AH5" s="20" t="s">
        <v>7079</v>
      </c>
      <c r="AI5" s="20" t="s">
        <v>7080</v>
      </c>
    </row>
    <row r="6" spans="1:37" ht="15" x14ac:dyDescent="0.2">
      <c r="A6" s="20">
        <v>6</v>
      </c>
      <c r="B6" s="1074"/>
      <c r="C6" s="1073"/>
      <c r="D6" s="1073"/>
      <c r="E6" s="617"/>
      <c r="AG6" s="20">
        <v>4</v>
      </c>
      <c r="AH6" s="20" t="s">
        <v>7081</v>
      </c>
      <c r="AI6" s="20" t="s">
        <v>7082</v>
      </c>
    </row>
    <row r="7" spans="1:37" x14ac:dyDescent="0.2">
      <c r="A7" s="20">
        <v>7</v>
      </c>
      <c r="C7" s="1080"/>
      <c r="D7" s="1039" t="str">
        <f t="shared" ref="D7" si="0">IF($D$1=$AI$1,$E7,"")</f>
        <v/>
      </c>
      <c r="E7" s="240" t="s">
        <v>7083</v>
      </c>
      <c r="AG7" s="20">
        <v>5</v>
      </c>
    </row>
    <row r="8" spans="1:37" ht="27" customHeight="1" x14ac:dyDescent="0.2">
      <c r="A8" s="20">
        <v>8</v>
      </c>
      <c r="B8" s="1079">
        <v>1</v>
      </c>
      <c r="C8" s="207" t="str">
        <f t="shared" ref="C8:C18" si="1">HLOOKUP(LangChoice,$AH$2:$AJ$63,$A8+1)</f>
        <v>What is the total energy demand of this country (measured by TPES)?</v>
      </c>
      <c r="D8" s="1085" t="str">
        <f>IF($D$1=$AI$1,$E8,"")</f>
        <v/>
      </c>
      <c r="E8" s="1134" t="str">
        <f ca="1">ROUND('Published Balance'!L13/1000,)&amp; " Mtoe"</f>
        <v>6090 Mtoe</v>
      </c>
      <c r="AG8" s="259">
        <v>6</v>
      </c>
      <c r="AH8" s="259"/>
      <c r="AI8" s="259"/>
    </row>
    <row r="9" spans="1:37" ht="27" customHeight="1" x14ac:dyDescent="0.2">
      <c r="A9" s="20">
        <v>9</v>
      </c>
      <c r="B9" s="1079">
        <v>2</v>
      </c>
      <c r="C9" s="207" t="str">
        <f t="shared" si="1"/>
        <v>How large is the energy demand in this country (measured by TPES) compared to:</v>
      </c>
      <c r="D9" s="1085"/>
      <c r="E9" s="1134"/>
      <c r="AG9" s="259">
        <v>7</v>
      </c>
      <c r="AH9" s="259"/>
      <c r="AI9" s="259"/>
    </row>
    <row r="10" spans="1:37" ht="27" customHeight="1" x14ac:dyDescent="0.2">
      <c r="A10" s="20">
        <v>10</v>
      </c>
      <c r="B10" s="1081" t="s">
        <v>7084</v>
      </c>
      <c r="C10" s="1083" t="str">
        <f t="shared" si="1"/>
        <v>World total? (13647 Mtoe in 2019)</v>
      </c>
      <c r="D10" s="1086" t="str">
        <f t="shared" ref="D10:D13" si="2">IF($D$1=$AI$1,$E10,"")</f>
        <v/>
      </c>
      <c r="E10" s="1133">
        <f ca="1">'Published Balance'!$L$13/1000/AF12</f>
        <v>0.44624872420997153</v>
      </c>
      <c r="AG10" s="20">
        <v>8</v>
      </c>
      <c r="AH10" s="20" t="s">
        <v>7085</v>
      </c>
      <c r="AI10" s="20" t="s">
        <v>7086</v>
      </c>
    </row>
    <row r="11" spans="1:37" ht="27" customHeight="1" x14ac:dyDescent="0.2">
      <c r="A11" s="20">
        <v>11</v>
      </c>
      <c r="B11" s="1081" t="s">
        <v>7087</v>
      </c>
      <c r="C11" s="1083" t="str">
        <f t="shared" si="1"/>
        <v>China? (2973 Mtoe in 2019)</v>
      </c>
      <c r="D11" s="1086" t="str">
        <f t="shared" si="2"/>
        <v/>
      </c>
      <c r="E11" s="1133">
        <f ca="1">'Published Balance'!$L$13/1000/AF13</f>
        <v>2.0484212375692841</v>
      </c>
      <c r="AG11" s="20">
        <v>9</v>
      </c>
      <c r="AH11" s="20" t="s">
        <v>7088</v>
      </c>
      <c r="AI11" s="20" t="s">
        <v>7089</v>
      </c>
    </row>
    <row r="12" spans="1:37" ht="27" customHeight="1" x14ac:dyDescent="0.2">
      <c r="A12" s="20">
        <v>12</v>
      </c>
      <c r="B12" s="1081" t="s">
        <v>7090</v>
      </c>
      <c r="C12" s="1083" t="str">
        <f t="shared" si="1"/>
        <v>Ukraine? (90 Mtoe in 2019)</v>
      </c>
      <c r="D12" s="1086" t="str">
        <f t="shared" si="2"/>
        <v/>
      </c>
      <c r="E12" s="1133">
        <f ca="1">'Published Balance'!$L$13/1000/AF14</f>
        <v>67.666181547705349</v>
      </c>
      <c r="AF12" s="892">
        <v>13647</v>
      </c>
      <c r="AG12" s="20">
        <v>10</v>
      </c>
      <c r="AH12" s="20" t="str">
        <f>"World total? ("&amp; $AF12 &amp; " Mtoe in " &amp; DataYear &amp; ")"</f>
        <v>World total? (13647 Mtoe in 2019)</v>
      </c>
      <c r="AI12" s="20" t="str">
        <f>"С потребностью во всем мире? (" &amp; $AF12 &amp;" Мтнэ в " &amp; DataYear &amp; " году)"</f>
        <v>С потребностью во всем мире? (13647 Мтнэ в 2019 году)</v>
      </c>
    </row>
    <row r="13" spans="1:37" ht="27" customHeight="1" x14ac:dyDescent="0.2">
      <c r="A13" s="20">
        <v>13</v>
      </c>
      <c r="B13" s="1079">
        <v>3</v>
      </c>
      <c r="C13" s="207" t="str">
        <f t="shared" si="1"/>
        <v>Can the production cover the energy demand of the country (measured by TPES)? ¹</v>
      </c>
      <c r="D13" s="1086" t="str">
        <f t="shared" si="2"/>
        <v/>
      </c>
      <c r="E13" s="1133">
        <f ca="1">IFERROR('Published Balance'!L7/'Published Balance'!L13,"..")</f>
        <v>1.1155883108582438</v>
      </c>
      <c r="AF13" s="682">
        <v>2973</v>
      </c>
      <c r="AG13" s="20">
        <v>11</v>
      </c>
      <c r="AH13" s="20" t="str">
        <f>"China? ("&amp; $AF13 &amp; " Mtoe in " &amp; DataYear &amp; ")"</f>
        <v>China? (2973 Mtoe in 2019)</v>
      </c>
      <c r="AI13" s="20" t="str">
        <f>"Китем? (" &amp; $AF13 &amp;" Мтнэ в " &amp; DataYear &amp; " году)"</f>
        <v>Китем? (2973 Мтнэ в 2019 году)</v>
      </c>
    </row>
    <row r="14" spans="1:37" ht="27" customHeight="1" x14ac:dyDescent="0.2">
      <c r="A14" s="20">
        <v>14</v>
      </c>
      <c r="B14" s="1079">
        <v>4</v>
      </c>
      <c r="C14" s="207" t="str">
        <f t="shared" si="1"/>
        <v xml:space="preserve">What is the energy source most used in this country (measured by TPES)? </v>
      </c>
      <c r="D14" s="678" t="str">
        <f>IF($D$1=$AI$1,$E14,"")</f>
        <v/>
      </c>
      <c r="E14" s="576" t="str">
        <f ca="1">INDEX('Balance Summary'!$AH$3:$AH$8,MATCH(MAX('Balance Summary'!$AJ$3:$AJ$8),'Balance Summary'!$AJ$3:$AJ$8,0))</f>
        <v>Coal</v>
      </c>
      <c r="AF14" s="1078">
        <v>90</v>
      </c>
      <c r="AG14" s="20">
        <v>12</v>
      </c>
      <c r="AH14" s="20" t="str">
        <f>"Ukraine? ("&amp; $AF14 &amp; " Mtoe in " &amp; DataYear &amp; ")"</f>
        <v>Ukraine? (90 Mtoe in 2019)</v>
      </c>
      <c r="AI14" s="20" t="str">
        <f>"Украиной? (" &amp; $AF14 &amp;" Мтнэ в " &amp; DataYear &amp; " году)"</f>
        <v>Украиной? (90 Мтнэ в 2019 году)</v>
      </c>
    </row>
    <row r="15" spans="1:37" ht="27" customHeight="1" x14ac:dyDescent="0.2">
      <c r="A15" s="20">
        <v>15</v>
      </c>
      <c r="B15" s="1079">
        <v>5</v>
      </c>
      <c r="C15" s="207" t="str">
        <f t="shared" si="1"/>
        <v>What is the share of this energy source in the energy mix (measured by TPES)?</v>
      </c>
      <c r="D15" s="1086" t="str">
        <f t="shared" ref="D15:D18" si="3">IF($D$1=$AI$1,$E15,"")</f>
        <v/>
      </c>
      <c r="E15" s="1134">
        <f ca="1">IFERROR(MAX('Balance Summary'!AJ3:AJ9)/'Balance Summary'!AJ13,"..")</f>
        <v>0.67126843178916173</v>
      </c>
      <c r="AG15" s="20">
        <v>13</v>
      </c>
      <c r="AH15" s="20" t="s">
        <v>7091</v>
      </c>
      <c r="AI15" s="20" t="s">
        <v>7092</v>
      </c>
    </row>
    <row r="16" spans="1:37" ht="27" customHeight="1" x14ac:dyDescent="0.2">
      <c r="A16" s="20">
        <v>16</v>
      </c>
      <c r="B16" s="1079">
        <v>6</v>
      </c>
      <c r="C16" s="207" t="str">
        <f t="shared" si="1"/>
        <v>Which sector has the largest share in the total final consumption (TFC)?</v>
      </c>
      <c r="D16" s="678" t="str">
        <f t="shared" si="3"/>
        <v/>
      </c>
      <c r="E16" s="1134" t="str">
        <f ca="1">IFERROR(PROPER(INDEX('Published Balance'!$A$29:$A$56,MATCH(MAX('Published Balance'!L29,'Published Balance'!L43,'Published Balance'!L51:L56),'Published Balance'!L29:L56,0),1))&amp; ", " &amp;TEXT(MAX('Published Balance'!L29,'Published Balance'!L43,'Published Balance'!L51:L56)/'Published Balance'!L28,"0%"),"..")</f>
        <v>Industry, 42%</v>
      </c>
      <c r="AG16" s="20">
        <v>14</v>
      </c>
      <c r="AH16" s="20" t="s">
        <v>7093</v>
      </c>
      <c r="AI16" s="20" t="s">
        <v>7094</v>
      </c>
    </row>
    <row r="17" spans="1:36" ht="27" customHeight="1" x14ac:dyDescent="0.2">
      <c r="A17" s="20">
        <v>17</v>
      </c>
      <c r="B17" s="1079">
        <v>7</v>
      </c>
      <c r="C17" s="207" t="str">
        <f t="shared" si="1"/>
        <v>Which sectors are the biggest consumers of natural gas?</v>
      </c>
      <c r="D17" s="678" t="str">
        <f t="shared" si="3"/>
        <v/>
      </c>
      <c r="E17" s="1134" t="str">
        <f ca="1">IFERROR(PROPER(INDEX('Published Balance'!$A$29:$A$56,MATCH(MAX('Published Balance'!E29,'Published Balance'!E43,'Published Balance'!E51:E56),'Published Balance'!E29:E56,0),1))&amp; ", " &amp;TEXT(MAX('Published Balance'!E29,'Published Balance'!E43,'Published Balance'!E51:E56)/'Published Balance'!E28,"0%"),"..")</f>
        <v>Industry, 98%</v>
      </c>
      <c r="AG17" s="20">
        <v>15</v>
      </c>
      <c r="AH17" s="20" t="s">
        <v>7095</v>
      </c>
      <c r="AI17" s="20" t="s">
        <v>7096</v>
      </c>
    </row>
    <row r="18" spans="1:36" ht="27" customHeight="1" x14ac:dyDescent="0.2">
      <c r="A18" s="20">
        <v>18</v>
      </c>
      <c r="B18" s="1079">
        <v>8</v>
      </c>
      <c r="C18" s="207" t="str">
        <f t="shared" si="1"/>
        <v>What is the main source for electricity in the country? ²</v>
      </c>
      <c r="D18" s="678" t="str">
        <f t="shared" si="3"/>
        <v/>
      </c>
      <c r="E18" s="1134" t="str">
        <f>INDEX('Published Balance'!B$6:K$6,1,MATCH(MAX('Published Balance'!B62:I62),'Published Balance'!B62:I62,0))&amp;" ("&amp;IFERROR(TEXT(MAX('Published Balance'!B62:I62)/'Published Balance'!L62,"0%"),"..")&amp;")"</f>
        <v>Coal (96%)</v>
      </c>
      <c r="AG18" s="20">
        <v>16</v>
      </c>
      <c r="AH18" s="20" t="s">
        <v>7097</v>
      </c>
      <c r="AI18" s="20" t="s">
        <v>7098</v>
      </c>
    </row>
    <row r="19" spans="1:36" ht="27" customHeight="1" x14ac:dyDescent="0.2">
      <c r="A19" s="20">
        <v>19</v>
      </c>
      <c r="B19" s="1079"/>
      <c r="C19" s="207"/>
      <c r="AG19" s="20">
        <v>17</v>
      </c>
      <c r="AH19" s="20" t="s">
        <v>7099</v>
      </c>
      <c r="AI19" s="20" t="s">
        <v>7100</v>
      </c>
    </row>
    <row r="20" spans="1:36" ht="27" customHeight="1" x14ac:dyDescent="0.2">
      <c r="A20" s="20">
        <v>20</v>
      </c>
      <c r="B20" s="1038" t="str">
        <f>HLOOKUP(LangChoice,$AH$2:$AJ$63,$A40+1)</f>
        <v>Notes:</v>
      </c>
      <c r="C20" s="560"/>
      <c r="AG20" s="20">
        <v>18</v>
      </c>
      <c r="AH20" s="20" t="s">
        <v>7101</v>
      </c>
      <c r="AI20" s="20" t="s">
        <v>7102</v>
      </c>
    </row>
    <row r="21" spans="1:36" ht="27" customHeight="1" x14ac:dyDescent="0.2">
      <c r="A21" s="20">
        <v>21</v>
      </c>
      <c r="B21" s="1082">
        <v>1</v>
      </c>
      <c r="C21" s="678" t="str">
        <f>HLOOKUP(LangChoice,$AH$2:$AJ$63,$A41+1)</f>
        <v>Calculate the energy self-sufficiency ratio (production divided by TPES)</v>
      </c>
      <c r="AG21" s="20">
        <v>19</v>
      </c>
    </row>
    <row r="22" spans="1:36" ht="27" customHeight="1" x14ac:dyDescent="0.2">
      <c r="A22" s="20">
        <v>22</v>
      </c>
      <c r="B22" s="1082">
        <v>2</v>
      </c>
      <c r="C22" s="678" t="str">
        <f>HLOOKUP(LangChoice,$AH$2:$AJ$63,$A42+1)</f>
        <v>Largest share of the electricity output</v>
      </c>
      <c r="AG22" s="20">
        <v>20</v>
      </c>
    </row>
    <row r="23" spans="1:36" ht="24.95" customHeight="1" x14ac:dyDescent="0.2">
      <c r="A23" s="20">
        <v>23</v>
      </c>
      <c r="B23" s="1082"/>
      <c r="C23" s="678"/>
      <c r="AG23" s="20">
        <v>21</v>
      </c>
    </row>
    <row r="24" spans="1:36" x14ac:dyDescent="0.2">
      <c r="A24" s="20">
        <v>24</v>
      </c>
      <c r="B24" s="1079"/>
      <c r="C24" s="207"/>
      <c r="AG24" s="20">
        <v>22</v>
      </c>
    </row>
    <row r="25" spans="1:36" x14ac:dyDescent="0.2">
      <c r="A25" s="20">
        <v>25</v>
      </c>
      <c r="B25" s="1079"/>
      <c r="C25" s="207"/>
      <c r="AG25" s="20">
        <v>23</v>
      </c>
    </row>
    <row r="26" spans="1:36" x14ac:dyDescent="0.2">
      <c r="A26" s="20">
        <v>26</v>
      </c>
      <c r="B26" s="1079"/>
      <c r="C26" s="207"/>
      <c r="AG26" s="20">
        <v>24</v>
      </c>
      <c r="AH26" s="259"/>
      <c r="AI26" s="259"/>
      <c r="AJ26" s="259"/>
    </row>
    <row r="27" spans="1:36" x14ac:dyDescent="0.2">
      <c r="A27" s="20">
        <v>27</v>
      </c>
      <c r="B27" s="1079"/>
      <c r="C27" s="207"/>
      <c r="AG27" s="20">
        <v>25</v>
      </c>
      <c r="AH27" s="259"/>
      <c r="AI27" s="259"/>
    </row>
    <row r="28" spans="1:36" x14ac:dyDescent="0.2">
      <c r="A28" s="20">
        <v>28</v>
      </c>
      <c r="B28" s="1079"/>
      <c r="C28" s="207"/>
      <c r="AG28" s="20">
        <v>26</v>
      </c>
    </row>
    <row r="29" spans="1:36" x14ac:dyDescent="0.2">
      <c r="A29" s="20">
        <v>29</v>
      </c>
      <c r="B29" s="1079"/>
      <c r="C29" s="207"/>
      <c r="AG29" s="20">
        <v>27</v>
      </c>
    </row>
    <row r="30" spans="1:36" x14ac:dyDescent="0.2">
      <c r="A30" s="20">
        <v>30</v>
      </c>
      <c r="B30" s="1079"/>
      <c r="C30" s="207"/>
      <c r="AG30" s="20">
        <v>28</v>
      </c>
    </row>
    <row r="31" spans="1:36" x14ac:dyDescent="0.2">
      <c r="A31" s="20">
        <v>31</v>
      </c>
      <c r="AG31" s="20">
        <v>29</v>
      </c>
    </row>
    <row r="32" spans="1:36" x14ac:dyDescent="0.2">
      <c r="A32" s="20">
        <v>32</v>
      </c>
      <c r="AG32" s="20">
        <v>30</v>
      </c>
    </row>
    <row r="33" spans="1:35" x14ac:dyDescent="0.2">
      <c r="A33" s="20">
        <v>33</v>
      </c>
      <c r="D33" s="1085"/>
      <c r="E33" s="1134"/>
      <c r="AG33" s="20">
        <v>31</v>
      </c>
    </row>
    <row r="34" spans="1:35" x14ac:dyDescent="0.2">
      <c r="A34" s="20">
        <v>34</v>
      </c>
      <c r="E34" s="576"/>
      <c r="AG34" s="20">
        <v>32</v>
      </c>
    </row>
    <row r="35" spans="1:35" x14ac:dyDescent="0.2">
      <c r="A35" s="20">
        <v>35</v>
      </c>
      <c r="B35" s="1079"/>
      <c r="C35" s="259"/>
      <c r="E35" s="576"/>
      <c r="AG35" s="20">
        <v>33</v>
      </c>
    </row>
    <row r="36" spans="1:35" x14ac:dyDescent="0.2">
      <c r="A36" s="20">
        <v>36</v>
      </c>
      <c r="B36" s="1079"/>
      <c r="AG36" s="20">
        <v>34</v>
      </c>
    </row>
    <row r="37" spans="1:35" x14ac:dyDescent="0.2">
      <c r="A37" s="20">
        <v>37</v>
      </c>
      <c r="B37" s="1079"/>
      <c r="D37" s="259"/>
      <c r="AG37" s="20">
        <v>35</v>
      </c>
      <c r="AH37" s="259"/>
      <c r="AI37" s="259"/>
    </row>
    <row r="38" spans="1:35" x14ac:dyDescent="0.2">
      <c r="A38" s="20">
        <v>38</v>
      </c>
      <c r="B38" s="1079"/>
      <c r="AG38" s="20">
        <v>36</v>
      </c>
    </row>
    <row r="39" spans="1:35" x14ac:dyDescent="0.2">
      <c r="A39" s="20">
        <v>39</v>
      </c>
      <c r="AG39" s="20">
        <v>37</v>
      </c>
    </row>
    <row r="40" spans="1:35" x14ac:dyDescent="0.2">
      <c r="A40" s="20">
        <v>40</v>
      </c>
      <c r="AG40" s="20">
        <v>38</v>
      </c>
    </row>
    <row r="41" spans="1:35" x14ac:dyDescent="0.2">
      <c r="A41" s="20">
        <v>41</v>
      </c>
      <c r="AG41" s="20">
        <v>39</v>
      </c>
    </row>
    <row r="42" spans="1:35" x14ac:dyDescent="0.2">
      <c r="A42" s="20">
        <v>42</v>
      </c>
      <c r="AG42" s="259">
        <v>40</v>
      </c>
      <c r="AH42" s="259" t="s">
        <v>7103</v>
      </c>
      <c r="AI42" s="259" t="s">
        <v>7104</v>
      </c>
    </row>
    <row r="43" spans="1:35" x14ac:dyDescent="0.2">
      <c r="A43" s="20">
        <v>43</v>
      </c>
      <c r="AG43" s="20">
        <v>41</v>
      </c>
      <c r="AH43" s="20" t="s">
        <v>7105</v>
      </c>
      <c r="AI43" s="20" t="s">
        <v>7106</v>
      </c>
    </row>
    <row r="44" spans="1:35" x14ac:dyDescent="0.2">
      <c r="A44" s="20">
        <v>44</v>
      </c>
      <c r="AG44" s="20">
        <v>42</v>
      </c>
      <c r="AH44" s="20" t="s">
        <v>7107</v>
      </c>
      <c r="AI44" s="20" t="s">
        <v>7108</v>
      </c>
    </row>
    <row r="45" spans="1:35" x14ac:dyDescent="0.2">
      <c r="A45" s="20">
        <v>45</v>
      </c>
      <c r="AG45" s="20">
        <v>43</v>
      </c>
    </row>
    <row r="46" spans="1:35" x14ac:dyDescent="0.2">
      <c r="A46" s="20">
        <v>46</v>
      </c>
      <c r="AG46" s="20">
        <v>44</v>
      </c>
    </row>
    <row r="47" spans="1:35" x14ac:dyDescent="0.2">
      <c r="A47" s="20">
        <v>47</v>
      </c>
      <c r="AG47" s="20">
        <v>45</v>
      </c>
    </row>
    <row r="48" spans="1:35" x14ac:dyDescent="0.2">
      <c r="A48" s="20">
        <v>48</v>
      </c>
      <c r="AG48" s="20">
        <v>46</v>
      </c>
    </row>
    <row r="49" spans="1:33" x14ac:dyDescent="0.2">
      <c r="A49" s="20">
        <v>49</v>
      </c>
      <c r="AG49" s="20">
        <v>47</v>
      </c>
    </row>
    <row r="50" spans="1:33" x14ac:dyDescent="0.2">
      <c r="A50" s="20">
        <v>50</v>
      </c>
      <c r="AG50" s="20">
        <v>48</v>
      </c>
    </row>
    <row r="51" spans="1:33" x14ac:dyDescent="0.2">
      <c r="A51" s="20">
        <v>51</v>
      </c>
      <c r="AG51" s="20">
        <v>49</v>
      </c>
    </row>
    <row r="52" spans="1:33" x14ac:dyDescent="0.2">
      <c r="A52" s="20">
        <v>52</v>
      </c>
      <c r="AG52" s="20">
        <v>50</v>
      </c>
    </row>
    <row r="53" spans="1:33" x14ac:dyDescent="0.2">
      <c r="A53" s="20">
        <v>53</v>
      </c>
      <c r="AG53" s="20">
        <v>51</v>
      </c>
    </row>
    <row r="54" spans="1:33" x14ac:dyDescent="0.2">
      <c r="A54" s="20">
        <v>54</v>
      </c>
      <c r="AG54" s="20">
        <v>52</v>
      </c>
    </row>
    <row r="55" spans="1:33" x14ac:dyDescent="0.2">
      <c r="A55" s="20">
        <v>55</v>
      </c>
      <c r="AG55" s="20">
        <v>53</v>
      </c>
    </row>
    <row r="56" spans="1:33" x14ac:dyDescent="0.2">
      <c r="A56" s="20">
        <v>56</v>
      </c>
      <c r="AG56" s="20">
        <v>54</v>
      </c>
    </row>
    <row r="57" spans="1:33" x14ac:dyDescent="0.2">
      <c r="A57" s="20">
        <v>57</v>
      </c>
    </row>
    <row r="58" spans="1:33" x14ac:dyDescent="0.2">
      <c r="A58" s="20">
        <v>58</v>
      </c>
    </row>
    <row r="59" spans="1:33" x14ac:dyDescent="0.2">
      <c r="A59" s="20">
        <v>59</v>
      </c>
    </row>
    <row r="60" spans="1:33" x14ac:dyDescent="0.2">
      <c r="A60" s="20">
        <v>60</v>
      </c>
    </row>
  </sheetData>
  <dataValidations count="1">
    <dataValidation type="list" allowBlank="1" showInputMessage="1" showErrorMessage="1" sqref="D1" xr:uid="{00000000-0002-0000-0E00-000000000000}">
      <formula1>$AH$1:$AI$1</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1">
    <tabColor theme="1"/>
  </sheetPr>
  <dimension ref="A1:BM71"/>
  <sheetViews>
    <sheetView showGridLines="0" zoomScale="115" zoomScaleNormal="115" workbookViewId="0">
      <pane xSplit="1" ySplit="6" topLeftCell="B7" activePane="bottomRight" state="frozen"/>
      <selection pane="topRight" activeCell="B1" sqref="B1"/>
      <selection pane="bottomLeft" activeCell="A7" sqref="A7"/>
      <selection pane="bottomRight" activeCell="A18" sqref="A18"/>
    </sheetView>
  </sheetViews>
  <sheetFormatPr defaultColWidth="9.140625" defaultRowHeight="9" x14ac:dyDescent="0.15"/>
  <cols>
    <col min="1" max="1" width="28" style="209" customWidth="1"/>
    <col min="2" max="3" width="5.140625" style="209" customWidth="1"/>
    <col min="4" max="4" width="6.28515625" style="209" customWidth="1"/>
    <col min="5" max="5" width="5.42578125" style="209" customWidth="1"/>
    <col min="6" max="6" width="5.85546875" style="209" customWidth="1"/>
    <col min="7" max="7" width="5.140625" style="209" customWidth="1"/>
    <col min="8" max="8" width="6.42578125" style="209" customWidth="1"/>
    <col min="9" max="9" width="5.42578125" style="209" customWidth="1"/>
    <col min="10" max="10" width="5.7109375" style="209" customWidth="1"/>
    <col min="11" max="11" width="5.140625" style="209" customWidth="1"/>
    <col min="12" max="12" width="5.42578125" style="209" customWidth="1"/>
    <col min="13" max="13" width="1.7109375" style="209" customWidth="1"/>
    <col min="14" max="14" width="87.28515625" style="209" customWidth="1"/>
    <col min="15" max="15" width="10.42578125" style="209" hidden="1" customWidth="1"/>
    <col min="16" max="27" width="6.140625" style="209" customWidth="1"/>
    <col min="28" max="28" width="24.28515625" style="209" customWidth="1"/>
    <col min="29" max="29" width="23.42578125" style="209" customWidth="1"/>
    <col min="30" max="30" width="15.7109375" style="209" customWidth="1"/>
    <col min="31" max="31" width="6.140625" style="209" customWidth="1"/>
    <col min="32" max="32" width="12.140625" style="209" customWidth="1"/>
    <col min="33" max="65" width="5.28515625" style="209" customWidth="1"/>
    <col min="66" max="16384" width="9.140625" style="209"/>
  </cols>
  <sheetData>
    <row r="1" spans="1:65" ht="30" customHeight="1" x14ac:dyDescent="0.15">
      <c r="A1" s="1084" t="str">
        <f>HLOOKUP(LangChoice,$AB$3:$AD$49,$AA4+1)</f>
        <v>HOW TO CHECK AN ENERGY BALANCE?</v>
      </c>
      <c r="B1" s="1084"/>
      <c r="C1" s="1084"/>
      <c r="D1" s="1084"/>
      <c r="E1" s="1084"/>
      <c r="F1" s="1084"/>
      <c r="G1" s="1084"/>
      <c r="H1" s="1084"/>
      <c r="I1" s="1084"/>
      <c r="J1" s="1084"/>
      <c r="K1" s="1084"/>
      <c r="L1" s="1084"/>
      <c r="M1" s="802"/>
      <c r="N1" s="1084" t="str">
        <f>HLOOKUP(LangChoice,$AB$3:$AD$49,$AA5+1)</f>
        <v>Instructions</v>
      </c>
      <c r="O1" s="1111" t="s">
        <v>74</v>
      </c>
      <c r="P1" s="802"/>
      <c r="Q1" s="802"/>
      <c r="R1" s="802"/>
      <c r="S1" s="802"/>
      <c r="T1" s="802"/>
      <c r="U1" s="802"/>
      <c r="V1" s="802"/>
      <c r="W1" s="802"/>
      <c r="X1" s="802"/>
      <c r="Y1" s="802"/>
      <c r="Z1" s="802"/>
      <c r="AA1" s="1111"/>
      <c r="AB1" s="1111" t="s">
        <v>7071</v>
      </c>
      <c r="AC1" s="1111" t="s">
        <v>7073</v>
      </c>
      <c r="AD1" s="1111"/>
      <c r="AE1" s="1111"/>
      <c r="AF1" s="1111"/>
      <c r="AG1" s="1111"/>
      <c r="AH1" s="1111"/>
      <c r="AI1" s="615"/>
      <c r="AJ1" s="615"/>
      <c r="AK1" s="615"/>
      <c r="AL1" s="615"/>
      <c r="AM1" s="615"/>
      <c r="AN1" s="615"/>
      <c r="AO1" s="615"/>
      <c r="AP1" s="615"/>
      <c r="AQ1" s="615"/>
      <c r="AR1" s="615"/>
      <c r="AS1" s="615"/>
      <c r="AT1" s="615"/>
      <c r="AU1" s="615"/>
      <c r="AV1" s="615"/>
      <c r="AW1" s="615"/>
      <c r="AX1" s="615"/>
      <c r="AY1" s="615"/>
      <c r="AZ1" s="615"/>
      <c r="BA1" s="615"/>
      <c r="BB1" s="615"/>
      <c r="BC1" s="615"/>
      <c r="BD1" s="615"/>
      <c r="BE1" s="615"/>
      <c r="BF1" s="615"/>
      <c r="BG1" s="615"/>
      <c r="BH1" s="615"/>
      <c r="BI1" s="615"/>
      <c r="BJ1" s="615"/>
      <c r="BK1" s="615"/>
      <c r="BL1" s="615"/>
      <c r="BM1" s="615"/>
    </row>
    <row r="2" spans="1:65" ht="12" customHeight="1" x14ac:dyDescent="0.15">
      <c r="A2" s="2317" t="s">
        <v>7109</v>
      </c>
      <c r="B2" s="2318"/>
      <c r="C2" s="2318"/>
      <c r="D2" s="2318"/>
      <c r="E2" s="2318"/>
      <c r="F2" s="2318"/>
      <c r="G2" s="2318"/>
      <c r="H2" s="2318"/>
      <c r="I2" s="2318"/>
      <c r="J2" s="2318"/>
      <c r="K2" s="2318"/>
      <c r="L2" s="2319"/>
      <c r="N2" s="1143" t="s">
        <v>7071</v>
      </c>
      <c r="AG2" s="1099" t="s">
        <v>7109</v>
      </c>
      <c r="AH2" s="1099" t="s">
        <v>7110</v>
      </c>
      <c r="AI2" s="802" t="s">
        <v>7111</v>
      </c>
    </row>
    <row r="3" spans="1:65" ht="15" x14ac:dyDescent="0.2">
      <c r="A3" s="2305" t="s">
        <v>145</v>
      </c>
      <c r="B3" s="2305"/>
      <c r="C3" s="2305"/>
      <c r="D3" s="2305"/>
      <c r="E3" s="2305"/>
      <c r="F3" s="2305"/>
      <c r="G3" s="2305"/>
      <c r="H3" s="2305"/>
      <c r="I3" s="2305"/>
      <c r="J3" s="2305"/>
      <c r="K3" s="2305"/>
      <c r="L3" s="2305"/>
      <c r="M3" s="786"/>
      <c r="N3" s="2311" t="str">
        <f>HLOOKUP(LangChoice,$AB$3:$AD$49,$AA6+1)</f>
        <v>Reply to questions for each scenario. You can change the scenario from the drop-down menu on top of the energy balance table (click the yellow cell in the row 2).</v>
      </c>
      <c r="O3" s="786"/>
      <c r="P3" s="786"/>
      <c r="Q3" s="786"/>
      <c r="R3" s="786"/>
      <c r="S3" s="786"/>
      <c r="T3" s="786"/>
      <c r="U3" s="786"/>
      <c r="V3" s="786"/>
      <c r="W3" s="786"/>
      <c r="X3" s="786"/>
      <c r="Y3" s="786"/>
      <c r="Z3" s="786"/>
      <c r="AA3" s="259" t="s">
        <v>7074</v>
      </c>
      <c r="AB3" s="1072" t="s">
        <v>7</v>
      </c>
      <c r="AC3" s="1072" t="s">
        <v>8</v>
      </c>
      <c r="AD3" s="1072" t="s">
        <v>9</v>
      </c>
      <c r="AE3" s="786"/>
      <c r="AF3" s="786"/>
      <c r="AM3" s="609" t="s">
        <v>7112</v>
      </c>
      <c r="AO3" s="995"/>
      <c r="AP3" s="1116"/>
      <c r="AV3" s="995"/>
    </row>
    <row r="4" spans="1:65" ht="15" x14ac:dyDescent="0.2">
      <c r="A4" s="825">
        <f>DataYear</f>
        <v>2019</v>
      </c>
      <c r="B4" s="826"/>
      <c r="C4" s="826"/>
      <c r="D4" s="826"/>
      <c r="E4" s="826"/>
      <c r="F4" s="826"/>
      <c r="G4" s="826"/>
      <c r="H4" s="826"/>
      <c r="I4" s="826"/>
      <c r="J4" s="826"/>
      <c r="K4" s="826"/>
      <c r="L4" s="826"/>
      <c r="M4" s="803"/>
      <c r="N4" s="2311"/>
      <c r="O4" s="803"/>
      <c r="P4" s="803"/>
      <c r="Q4" s="803"/>
      <c r="R4" s="803"/>
      <c r="S4" s="803"/>
      <c r="T4" s="803"/>
      <c r="U4" s="803"/>
      <c r="V4" s="803"/>
      <c r="W4" s="803"/>
      <c r="X4" s="803"/>
      <c r="Y4" s="803"/>
      <c r="Z4" s="803"/>
      <c r="AA4" s="20">
        <v>1</v>
      </c>
      <c r="AB4" s="20" t="s">
        <v>7113</v>
      </c>
      <c r="AC4" s="20" t="s">
        <v>7114</v>
      </c>
      <c r="AD4" s="20"/>
      <c r="AE4" s="803"/>
      <c r="AF4" s="1118">
        <f>MATCH(A2,AG2:AI2,0)</f>
        <v>1</v>
      </c>
      <c r="AG4" s="1099" t="str">
        <f>AG2</f>
        <v>Scenario 1: High statistical difference</v>
      </c>
      <c r="AH4" s="803"/>
      <c r="AR4" s="1099" t="str">
        <f>AH2</f>
        <v>Scenario 2: Transformation efficiencies</v>
      </c>
      <c r="BC4" s="1112" t="str">
        <f>AI2</f>
        <v>Scenario 3: Unusual data points</v>
      </c>
    </row>
    <row r="5" spans="1:65" ht="15" customHeight="1" x14ac:dyDescent="0.2">
      <c r="A5" s="2306" t="str">
        <f>'Published Balance'!A5:L5</f>
        <v>Terajoules (TJ)</v>
      </c>
      <c r="B5" s="2306"/>
      <c r="C5" s="2306"/>
      <c r="D5" s="2306"/>
      <c r="E5" s="2306"/>
      <c r="F5" s="2306"/>
      <c r="G5" s="2306"/>
      <c r="H5" s="2306"/>
      <c r="I5" s="2306"/>
      <c r="J5" s="2306"/>
      <c r="K5" s="2306"/>
      <c r="L5" s="2306"/>
      <c r="M5" s="636"/>
      <c r="N5" s="2311"/>
      <c r="O5" s="636"/>
      <c r="P5" s="636"/>
      <c r="Q5" s="636"/>
      <c r="R5" s="636"/>
      <c r="S5" s="636"/>
      <c r="T5" s="636"/>
      <c r="U5" s="636"/>
      <c r="V5" s="636"/>
      <c r="W5" s="636"/>
      <c r="X5" s="636"/>
      <c r="Y5" s="636"/>
      <c r="Z5" s="636"/>
      <c r="AA5" s="209">
        <v>2</v>
      </c>
      <c r="AB5" s="209" t="s">
        <v>7115</v>
      </c>
      <c r="AC5" s="20" t="s">
        <v>7116</v>
      </c>
      <c r="AD5" s="20"/>
      <c r="AE5" s="636"/>
      <c r="AF5" s="1119" t="s">
        <v>7117</v>
      </c>
      <c r="AG5" s="1120">
        <v>1</v>
      </c>
      <c r="AH5" s="1120">
        <v>2</v>
      </c>
      <c r="AI5" s="1120">
        <v>3</v>
      </c>
      <c r="AJ5" s="1120">
        <v>4</v>
      </c>
      <c r="AK5" s="1120">
        <v>5</v>
      </c>
      <c r="AL5" s="1120">
        <v>6</v>
      </c>
      <c r="AM5" s="1120">
        <v>7</v>
      </c>
      <c r="AN5" s="1120">
        <v>8</v>
      </c>
      <c r="AO5" s="1120">
        <v>9</v>
      </c>
      <c r="AP5" s="1120">
        <v>10</v>
      </c>
      <c r="AQ5" s="1120">
        <v>11</v>
      </c>
      <c r="AR5" s="1122"/>
      <c r="BB5" s="1100"/>
      <c r="BC5" s="1129" t="s">
        <v>7118</v>
      </c>
      <c r="BH5" s="1130" t="s">
        <v>7119</v>
      </c>
      <c r="BM5" s="1100"/>
    </row>
    <row r="6" spans="1:65" ht="40.5" customHeight="1" x14ac:dyDescent="0.2">
      <c r="A6" s="828" t="str">
        <f>'Published Balance'!A6</f>
        <v>SUPPLY AND
CONSUMPTION</v>
      </c>
      <c r="B6" s="829" t="str">
        <f>'Published Balance'!B6</f>
        <v>Coal</v>
      </c>
      <c r="C6" s="827" t="str">
        <f>'Published Balance'!C6</f>
        <v>Crude oil</v>
      </c>
      <c r="D6" s="827" t="str">
        <f>'Published Balance'!D6</f>
        <v>Oil
products</v>
      </c>
      <c r="E6" s="827" t="str">
        <f>'Published Balance'!E6</f>
        <v>Natural gas</v>
      </c>
      <c r="F6" s="827" t="str">
        <f>'Published Balance'!F6</f>
        <v>Nuclear</v>
      </c>
      <c r="G6" s="827" t="str">
        <f>'Published Balance'!G6</f>
        <v>Hydro</v>
      </c>
      <c r="H6" s="1098" t="str">
        <f>'Published Balance'!H6</f>
        <v>Geo-therm./
Solar/
etc.</v>
      </c>
      <c r="I6" s="827" t="str">
        <f>'Published Balance'!I6</f>
        <v>Biofuels/
Waste</v>
      </c>
      <c r="J6" s="827" t="str">
        <f>'Published Balance'!J6</f>
        <v>Electri-city</v>
      </c>
      <c r="K6" s="827" t="str">
        <f>'Published Balance'!K6</f>
        <v>Heat</v>
      </c>
      <c r="L6" s="827" t="str">
        <f>'Published Balance'!L6</f>
        <v>Total</v>
      </c>
      <c r="M6" s="804"/>
      <c r="N6" s="804"/>
      <c r="O6" s="804"/>
      <c r="P6" s="804"/>
      <c r="Q6" s="804"/>
      <c r="R6" s="804"/>
      <c r="S6" s="804"/>
      <c r="X6" s="804"/>
      <c r="Y6" s="804"/>
      <c r="Z6" s="804"/>
      <c r="AA6" s="20">
        <v>3</v>
      </c>
      <c r="AB6" s="209" t="s">
        <v>7120</v>
      </c>
      <c r="AC6" s="20" t="s">
        <v>7121</v>
      </c>
      <c r="AD6" s="20"/>
      <c r="AE6" s="804"/>
      <c r="AF6" s="1121" t="s">
        <v>7122</v>
      </c>
      <c r="AG6" s="804" t="str">
        <f t="shared" ref="AG6:AQ6" si="0">B6</f>
        <v>Coal</v>
      </c>
      <c r="AH6" s="804" t="str">
        <f t="shared" si="0"/>
        <v>Crude oil</v>
      </c>
      <c r="AI6" s="804" t="str">
        <f t="shared" si="0"/>
        <v>Oil
products</v>
      </c>
      <c r="AJ6" s="804" t="str">
        <f t="shared" si="0"/>
        <v>Natural gas</v>
      </c>
      <c r="AK6" s="804" t="str">
        <f t="shared" si="0"/>
        <v>Nuclear</v>
      </c>
      <c r="AL6" s="804" t="str">
        <f t="shared" si="0"/>
        <v>Hydro</v>
      </c>
      <c r="AM6" s="804" t="str">
        <f t="shared" si="0"/>
        <v>Geo-therm./
Solar/
etc.</v>
      </c>
      <c r="AN6" s="804" t="str">
        <f t="shared" si="0"/>
        <v>Biofuels/
Waste</v>
      </c>
      <c r="AO6" s="804" t="str">
        <f t="shared" si="0"/>
        <v>Electri-city</v>
      </c>
      <c r="AP6" s="804" t="str">
        <f t="shared" si="0"/>
        <v>Heat</v>
      </c>
      <c r="AQ6" s="1101" t="str">
        <f t="shared" si="0"/>
        <v>Total</v>
      </c>
      <c r="AR6" s="804" t="str">
        <f>AG6</f>
        <v>Coal</v>
      </c>
      <c r="AS6" s="804" t="str">
        <f t="shared" ref="AS6:BE6" si="1">AH6</f>
        <v>Crude oil</v>
      </c>
      <c r="AT6" s="804" t="str">
        <f t="shared" si="1"/>
        <v>Oil
products</v>
      </c>
      <c r="AU6" s="804" t="str">
        <f t="shared" si="1"/>
        <v>Natural gas</v>
      </c>
      <c r="AV6" s="804" t="str">
        <f t="shared" si="1"/>
        <v>Nuclear</v>
      </c>
      <c r="AW6" s="804" t="str">
        <f t="shared" si="1"/>
        <v>Hydro</v>
      </c>
      <c r="AX6" s="804" t="str">
        <f t="shared" si="1"/>
        <v>Geo-therm./
Solar/
etc.</v>
      </c>
      <c r="AY6" s="804" t="str">
        <f t="shared" si="1"/>
        <v>Biofuels/
Waste</v>
      </c>
      <c r="AZ6" s="804" t="str">
        <f t="shared" si="1"/>
        <v>Electri-city</v>
      </c>
      <c r="BA6" s="804" t="str">
        <f t="shared" si="1"/>
        <v>Heat</v>
      </c>
      <c r="BB6" s="1101" t="str">
        <f t="shared" si="1"/>
        <v>Total</v>
      </c>
      <c r="BC6" s="804" t="str">
        <f t="shared" si="1"/>
        <v>Coal</v>
      </c>
      <c r="BD6" s="804" t="str">
        <f t="shared" si="1"/>
        <v>Crude oil</v>
      </c>
      <c r="BE6" s="804" t="str">
        <f t="shared" si="1"/>
        <v>Oil
products</v>
      </c>
      <c r="BF6" s="804" t="str">
        <f t="shared" ref="BF6" si="2">AU6</f>
        <v>Natural gas</v>
      </c>
      <c r="BG6" s="804" t="str">
        <f t="shared" ref="BG6" si="3">AV6</f>
        <v>Nuclear</v>
      </c>
      <c r="BH6" s="804" t="str">
        <f t="shared" ref="BH6" si="4">AW6</f>
        <v>Hydro</v>
      </c>
      <c r="BI6" s="804" t="str">
        <f t="shared" ref="BI6" si="5">AX6</f>
        <v>Geo-therm./
Solar/
etc.</v>
      </c>
      <c r="BJ6" s="804" t="str">
        <f t="shared" ref="BJ6" si="6">AY6</f>
        <v>Biofuels/
Waste</v>
      </c>
      <c r="BK6" s="804" t="str">
        <f t="shared" ref="BK6" si="7">AZ6</f>
        <v>Electri-city</v>
      </c>
      <c r="BL6" s="804" t="str">
        <f t="shared" ref="BL6:BM6" si="8">BA6</f>
        <v>Heat</v>
      </c>
      <c r="BM6" s="1101" t="str">
        <f t="shared" si="8"/>
        <v>Total</v>
      </c>
    </row>
    <row r="7" spans="1:65" ht="9" customHeight="1" x14ac:dyDescent="0.2">
      <c r="A7" s="611" t="str">
        <f>'Published Balance'!A7</f>
        <v>Production</v>
      </c>
      <c r="B7" s="611">
        <f t="shared" ref="B7:B38" ca="1" si="9">OFFSET($AF7,0,($AF$4-1)*$AQ$5+AG$5)</f>
        <v>15000</v>
      </c>
      <c r="C7" s="611">
        <f t="shared" ref="C7:C38" ca="1" si="10">OFFSET($AF7,0,($AF$4-1)*$AQ$5+AH$5)</f>
        <v>1000</v>
      </c>
      <c r="D7" s="611">
        <f t="shared" ref="D7:D38" ca="1" si="11">OFFSET($AF7,0,($AF$4-1)*$AQ$5+AI$5)</f>
        <v>0</v>
      </c>
      <c r="E7" s="611">
        <f t="shared" ref="E7:E38" ca="1" si="12">OFFSET($AF7,0,($AF$4-1)*$AQ$5+AJ$5)</f>
        <v>0</v>
      </c>
      <c r="F7" s="611">
        <f t="shared" ref="F7:F38" ca="1" si="13">OFFSET($AF7,0,($AF$4-1)*$AQ$5+AK$5)</f>
        <v>0</v>
      </c>
      <c r="G7" s="611">
        <f t="shared" ref="G7:G38" ca="1" si="14">OFFSET($AF7,0,($AF$4-1)*$AQ$5+AL$5)</f>
        <v>0</v>
      </c>
      <c r="H7" s="611">
        <f t="shared" ref="H7:H38" ca="1" si="15">OFFSET($AF7,0,($AF$4-1)*$AQ$5+AM$5)</f>
        <v>0</v>
      </c>
      <c r="I7" s="611">
        <f t="shared" ref="I7:I38" ca="1" si="16">OFFSET($AF7,0,($AF$4-1)*$AQ$5+AN$5)</f>
        <v>0</v>
      </c>
      <c r="J7" s="611">
        <f t="shared" ref="J7:J38" ca="1" si="17">OFFSET($AF7,0,($AF$4-1)*$AQ$5+AO$5)</f>
        <v>0</v>
      </c>
      <c r="K7" s="611">
        <f t="shared" ref="K7:K38" ca="1" si="18">OFFSET($AF7,0,($AF$4-1)*$AQ$5+AP$5)</f>
        <v>0</v>
      </c>
      <c r="L7" s="611">
        <f t="shared" ref="L7:L38" ca="1" si="19">OFFSET($AF7,0,($AF$4-1)*$AQ$5+AQ$5)</f>
        <v>16000</v>
      </c>
      <c r="M7" s="611"/>
      <c r="N7" s="2315" t="str">
        <f>HLOOKUP(LangChoice,$AB$3:$AD$49,$AA15+1)</f>
        <v>Scenario 1: High statistical difference</v>
      </c>
      <c r="P7" s="611"/>
      <c r="Q7" s="611"/>
      <c r="R7" s="611"/>
      <c r="S7" s="611"/>
      <c r="X7" s="611"/>
      <c r="Y7" s="611"/>
      <c r="Z7" s="611"/>
      <c r="AA7" s="209">
        <v>4</v>
      </c>
      <c r="AC7" s="20"/>
      <c r="AD7" s="20"/>
      <c r="AE7" s="611"/>
      <c r="AF7" s="611"/>
      <c r="AG7" s="612">
        <v>15000</v>
      </c>
      <c r="AH7" s="612">
        <v>1000</v>
      </c>
      <c r="AI7" s="611">
        <v>0</v>
      </c>
      <c r="AJ7" s="1115">
        <v>0</v>
      </c>
      <c r="AK7" s="611">
        <v>0</v>
      </c>
      <c r="AL7" s="611">
        <v>0</v>
      </c>
      <c r="AM7" s="611">
        <v>0</v>
      </c>
      <c r="AN7" s="611">
        <v>0</v>
      </c>
      <c r="AO7" s="611">
        <v>0</v>
      </c>
      <c r="AP7" s="611">
        <v>0</v>
      </c>
      <c r="AQ7" s="1127">
        <f>SUM(AG7:AP7)</f>
        <v>16000</v>
      </c>
      <c r="AR7" s="1124">
        <v>30000</v>
      </c>
      <c r="AS7" s="612">
        <v>10000</v>
      </c>
      <c r="AT7" s="611">
        <v>0</v>
      </c>
      <c r="AU7" s="612">
        <v>7000</v>
      </c>
      <c r="AV7" s="611">
        <v>0</v>
      </c>
      <c r="AW7" s="611">
        <v>0</v>
      </c>
      <c r="AX7" s="611">
        <v>0</v>
      </c>
      <c r="AY7" s="611">
        <v>0</v>
      </c>
      <c r="AZ7" s="611">
        <v>0</v>
      </c>
      <c r="BA7" s="611">
        <v>0</v>
      </c>
      <c r="BB7" s="1102">
        <f>SUM(AR7:BA7)</f>
        <v>47000</v>
      </c>
      <c r="BC7" s="612">
        <v>15550</v>
      </c>
      <c r="BD7" s="612">
        <v>10600</v>
      </c>
      <c r="BE7" s="611">
        <v>0</v>
      </c>
      <c r="BF7" s="612">
        <v>7000</v>
      </c>
      <c r="BG7" s="611">
        <v>0</v>
      </c>
      <c r="BH7" s="611">
        <v>0</v>
      </c>
      <c r="BI7" s="611">
        <v>0</v>
      </c>
      <c r="BJ7" s="612">
        <v>100</v>
      </c>
      <c r="BK7" s="611">
        <v>0</v>
      </c>
      <c r="BL7" s="611">
        <v>0</v>
      </c>
      <c r="BM7" s="1102">
        <f>SUM(BC7:BL7)</f>
        <v>33250</v>
      </c>
    </row>
    <row r="8" spans="1:65" ht="9" customHeight="1" x14ac:dyDescent="0.2">
      <c r="A8" s="611" t="str">
        <f>'Published Balance'!A8</f>
        <v>Imports</v>
      </c>
      <c r="B8" s="611">
        <f t="shared" ca="1" si="9"/>
        <v>0</v>
      </c>
      <c r="C8" s="611">
        <f t="shared" ca="1" si="10"/>
        <v>0</v>
      </c>
      <c r="D8" s="611">
        <f t="shared" ca="1" si="11"/>
        <v>10000</v>
      </c>
      <c r="E8" s="611">
        <f t="shared" ca="1" si="12"/>
        <v>5000</v>
      </c>
      <c r="F8" s="611">
        <f t="shared" ca="1" si="13"/>
        <v>0</v>
      </c>
      <c r="G8" s="611">
        <f t="shared" ca="1" si="14"/>
        <v>0</v>
      </c>
      <c r="H8" s="611">
        <f t="shared" ca="1" si="15"/>
        <v>0</v>
      </c>
      <c r="I8" s="611">
        <f t="shared" ca="1" si="16"/>
        <v>0</v>
      </c>
      <c r="J8" s="611">
        <f t="shared" ca="1" si="17"/>
        <v>2000</v>
      </c>
      <c r="K8" s="611">
        <f t="shared" ca="1" si="18"/>
        <v>0</v>
      </c>
      <c r="L8" s="611">
        <f t="shared" ca="1" si="19"/>
        <v>17000</v>
      </c>
      <c r="M8" s="611"/>
      <c r="N8" s="2316"/>
      <c r="O8" s="611"/>
      <c r="P8" s="611"/>
      <c r="Q8" s="611"/>
      <c r="R8" s="611"/>
      <c r="S8" s="611"/>
      <c r="X8" s="611"/>
      <c r="Y8" s="611"/>
      <c r="Z8" s="611"/>
      <c r="AA8" s="20">
        <v>5</v>
      </c>
      <c r="AC8" s="20"/>
      <c r="AD8" s="20"/>
      <c r="AE8" s="611"/>
      <c r="AF8" s="611"/>
      <c r="AG8" s="611">
        <v>0</v>
      </c>
      <c r="AH8" s="611">
        <v>0</v>
      </c>
      <c r="AI8" s="612">
        <v>10000</v>
      </c>
      <c r="AJ8" s="612">
        <v>5000</v>
      </c>
      <c r="AK8" s="611">
        <v>0</v>
      </c>
      <c r="AL8" s="611">
        <v>0</v>
      </c>
      <c r="AM8" s="611">
        <v>0</v>
      </c>
      <c r="AN8" s="611">
        <v>0</v>
      </c>
      <c r="AO8" s="612">
        <v>2000</v>
      </c>
      <c r="AP8" s="611">
        <v>0</v>
      </c>
      <c r="AQ8" s="1102">
        <f t="shared" ref="AQ8:AQ12" si="20">SUM(AG8:AP8)</f>
        <v>17000</v>
      </c>
      <c r="AR8" s="611">
        <v>0</v>
      </c>
      <c r="AS8" s="611">
        <v>0</v>
      </c>
      <c r="AT8" s="612">
        <v>950</v>
      </c>
      <c r="AU8" s="612">
        <v>5000</v>
      </c>
      <c r="AV8" s="611">
        <v>0</v>
      </c>
      <c r="AW8" s="611">
        <v>0</v>
      </c>
      <c r="AX8" s="611">
        <v>0</v>
      </c>
      <c r="AY8" s="611">
        <v>0</v>
      </c>
      <c r="AZ8" s="612">
        <v>2000</v>
      </c>
      <c r="BA8" s="611">
        <v>0</v>
      </c>
      <c r="BB8" s="1102">
        <f t="shared" ref="BB8:BB12" si="21">SUM(AR8:BA8)</f>
        <v>7950</v>
      </c>
      <c r="BC8" s="611">
        <v>0</v>
      </c>
      <c r="BD8" s="1125">
        <v>2000</v>
      </c>
      <c r="BE8" s="612">
        <v>1950</v>
      </c>
      <c r="BF8" s="612">
        <v>5000</v>
      </c>
      <c r="BG8" s="611">
        <v>0</v>
      </c>
      <c r="BH8" s="611">
        <v>0</v>
      </c>
      <c r="BI8" s="611">
        <v>0</v>
      </c>
      <c r="BJ8" s="611">
        <v>0</v>
      </c>
      <c r="BK8" s="612">
        <v>2200</v>
      </c>
      <c r="BL8" s="611">
        <v>0</v>
      </c>
      <c r="BM8" s="1102">
        <f t="shared" ref="BM8:BM12" si="22">SUM(BC8:BL8)</f>
        <v>11150</v>
      </c>
    </row>
    <row r="9" spans="1:65" ht="9" customHeight="1" x14ac:dyDescent="0.15">
      <c r="A9" s="611" t="str">
        <f>'Published Balance'!A9</f>
        <v>Exports</v>
      </c>
      <c r="B9" s="611">
        <f t="shared" ca="1" si="9"/>
        <v>0</v>
      </c>
      <c r="C9" s="611">
        <f t="shared" ca="1" si="10"/>
        <v>0</v>
      </c>
      <c r="D9" s="611">
        <f t="shared" ca="1" si="11"/>
        <v>0</v>
      </c>
      <c r="E9" s="611">
        <f t="shared" ca="1" si="12"/>
        <v>0</v>
      </c>
      <c r="F9" s="611">
        <f t="shared" ca="1" si="13"/>
        <v>0</v>
      </c>
      <c r="G9" s="611">
        <f t="shared" ca="1" si="14"/>
        <v>0</v>
      </c>
      <c r="H9" s="611">
        <f t="shared" ca="1" si="15"/>
        <v>0</v>
      </c>
      <c r="I9" s="611">
        <f t="shared" ca="1" si="16"/>
        <v>0</v>
      </c>
      <c r="J9" s="611">
        <f t="shared" ca="1" si="17"/>
        <v>0</v>
      </c>
      <c r="K9" s="611">
        <f t="shared" ca="1" si="18"/>
        <v>0</v>
      </c>
      <c r="L9" s="611">
        <f t="shared" ca="1" si="19"/>
        <v>0</v>
      </c>
      <c r="M9" s="611"/>
      <c r="N9" s="2312" t="str">
        <f>HLOOKUP(LangChoice,$AB$3:$AD$49,$AA16+1)</f>
        <v>Look at the row “Statistical differences”. Can you spot discrepancies? What could explain them?</v>
      </c>
      <c r="O9" s="611"/>
      <c r="P9" s="611"/>
      <c r="Q9" s="611"/>
      <c r="R9" s="611"/>
      <c r="S9" s="611"/>
      <c r="X9" s="611"/>
      <c r="Y9" s="611"/>
      <c r="Z9" s="611"/>
      <c r="AA9" s="209">
        <v>6</v>
      </c>
      <c r="AE9" s="611"/>
      <c r="AF9" s="611"/>
      <c r="AG9" s="611">
        <v>0</v>
      </c>
      <c r="AH9" s="611">
        <v>0</v>
      </c>
      <c r="AI9" s="611">
        <v>0</v>
      </c>
      <c r="AJ9" s="611">
        <v>0</v>
      </c>
      <c r="AK9" s="611">
        <v>0</v>
      </c>
      <c r="AL9" s="611">
        <v>0</v>
      </c>
      <c r="AM9" s="611">
        <v>0</v>
      </c>
      <c r="AN9" s="611">
        <v>0</v>
      </c>
      <c r="AO9" s="611">
        <v>0</v>
      </c>
      <c r="AP9" s="611">
        <v>0</v>
      </c>
      <c r="AQ9" s="1102">
        <f t="shared" si="20"/>
        <v>0</v>
      </c>
      <c r="AR9" s="611">
        <v>0</v>
      </c>
      <c r="AS9" s="611">
        <v>0</v>
      </c>
      <c r="AT9" s="611">
        <v>0</v>
      </c>
      <c r="AU9" s="611">
        <v>0</v>
      </c>
      <c r="AV9" s="611">
        <v>0</v>
      </c>
      <c r="AW9" s="611">
        <v>0</v>
      </c>
      <c r="AX9" s="611">
        <v>0</v>
      </c>
      <c r="AY9" s="611">
        <v>0</v>
      </c>
      <c r="AZ9" s="611">
        <v>0</v>
      </c>
      <c r="BA9" s="611">
        <v>0</v>
      </c>
      <c r="BB9" s="1102">
        <f t="shared" si="21"/>
        <v>0</v>
      </c>
      <c r="BC9" s="611">
        <v>0</v>
      </c>
      <c r="BD9" s="1125">
        <v>-2000</v>
      </c>
      <c r="BE9" s="611">
        <v>0</v>
      </c>
      <c r="BF9" s="611">
        <v>0</v>
      </c>
      <c r="BG9" s="611">
        <v>0</v>
      </c>
      <c r="BH9" s="611">
        <v>0</v>
      </c>
      <c r="BI9" s="611">
        <v>0</v>
      </c>
      <c r="BJ9" s="611">
        <v>0</v>
      </c>
      <c r="BK9" s="611">
        <v>0</v>
      </c>
      <c r="BL9" s="611">
        <v>0</v>
      </c>
      <c r="BM9" s="1102">
        <f t="shared" si="22"/>
        <v>-2000</v>
      </c>
    </row>
    <row r="10" spans="1:65" ht="9" customHeight="1" x14ac:dyDescent="0.2">
      <c r="A10" s="611" t="str">
        <f>'Published Balance'!A10</f>
        <v>Intl. marine bunkers</v>
      </c>
      <c r="B10" s="611">
        <f t="shared" ca="1" si="9"/>
        <v>0</v>
      </c>
      <c r="C10" s="611">
        <f t="shared" ca="1" si="10"/>
        <v>0</v>
      </c>
      <c r="D10" s="611">
        <f t="shared" ca="1" si="11"/>
        <v>0</v>
      </c>
      <c r="E10" s="611">
        <f t="shared" ca="1" si="12"/>
        <v>0</v>
      </c>
      <c r="F10" s="611">
        <f t="shared" ca="1" si="13"/>
        <v>0</v>
      </c>
      <c r="G10" s="611">
        <f t="shared" ca="1" si="14"/>
        <v>0</v>
      </c>
      <c r="H10" s="611">
        <f t="shared" ca="1" si="15"/>
        <v>0</v>
      </c>
      <c r="I10" s="611">
        <f t="shared" ca="1" si="16"/>
        <v>0</v>
      </c>
      <c r="J10" s="611">
        <f t="shared" ca="1" si="17"/>
        <v>0</v>
      </c>
      <c r="K10" s="611">
        <f t="shared" ca="1" si="18"/>
        <v>0</v>
      </c>
      <c r="L10" s="611">
        <f t="shared" ca="1" si="19"/>
        <v>0</v>
      </c>
      <c r="M10" s="611"/>
      <c r="N10" s="2313"/>
      <c r="O10" s="611"/>
      <c r="P10" s="611"/>
      <c r="Q10" s="611"/>
      <c r="R10" s="611"/>
      <c r="S10" s="611"/>
      <c r="X10" s="611"/>
      <c r="Y10" s="611"/>
      <c r="Z10" s="611"/>
      <c r="AA10" s="20">
        <v>7</v>
      </c>
      <c r="AE10" s="611"/>
      <c r="AF10" s="611"/>
      <c r="AG10" s="611">
        <v>0</v>
      </c>
      <c r="AH10" s="611">
        <v>0</v>
      </c>
      <c r="AI10" s="611">
        <v>0</v>
      </c>
      <c r="AJ10" s="611">
        <v>0</v>
      </c>
      <c r="AK10" s="611">
        <v>0</v>
      </c>
      <c r="AL10" s="611">
        <v>0</v>
      </c>
      <c r="AM10" s="611">
        <v>0</v>
      </c>
      <c r="AN10" s="611">
        <v>0</v>
      </c>
      <c r="AO10" s="611">
        <v>0</v>
      </c>
      <c r="AP10" s="611">
        <v>0</v>
      </c>
      <c r="AQ10" s="1102">
        <f t="shared" si="20"/>
        <v>0</v>
      </c>
      <c r="AR10" s="611">
        <v>0</v>
      </c>
      <c r="AS10" s="611">
        <v>0</v>
      </c>
      <c r="AT10" s="611">
        <v>0</v>
      </c>
      <c r="AU10" s="611">
        <v>0</v>
      </c>
      <c r="AV10" s="611">
        <v>0</v>
      </c>
      <c r="AW10" s="611">
        <v>0</v>
      </c>
      <c r="AX10" s="611">
        <v>0</v>
      </c>
      <c r="AY10" s="611">
        <v>0</v>
      </c>
      <c r="AZ10" s="611">
        <v>0</v>
      </c>
      <c r="BA10" s="611">
        <v>0</v>
      </c>
      <c r="BB10" s="1102">
        <f t="shared" si="21"/>
        <v>0</v>
      </c>
      <c r="BC10" s="611">
        <v>0</v>
      </c>
      <c r="BD10" s="611">
        <v>0</v>
      </c>
      <c r="BE10" s="611">
        <v>0</v>
      </c>
      <c r="BF10" s="611">
        <v>0</v>
      </c>
      <c r="BG10" s="611">
        <v>0</v>
      </c>
      <c r="BH10" s="611">
        <v>0</v>
      </c>
      <c r="BI10" s="611">
        <v>0</v>
      </c>
      <c r="BJ10" s="611">
        <v>0</v>
      </c>
      <c r="BK10" s="611">
        <v>0</v>
      </c>
      <c r="BL10" s="611">
        <v>0</v>
      </c>
      <c r="BM10" s="1102">
        <f t="shared" si="22"/>
        <v>0</v>
      </c>
    </row>
    <row r="11" spans="1:65" ht="9" customHeight="1" x14ac:dyDescent="0.15">
      <c r="A11" s="611" t="str">
        <f>'Published Balance'!A11</f>
        <v>Intl. aviation bunkers</v>
      </c>
      <c r="B11" s="611">
        <f t="shared" ca="1" si="9"/>
        <v>0</v>
      </c>
      <c r="C11" s="611">
        <f t="shared" ca="1" si="10"/>
        <v>0</v>
      </c>
      <c r="D11" s="611">
        <f t="shared" ca="1" si="11"/>
        <v>0</v>
      </c>
      <c r="E11" s="611">
        <f t="shared" ca="1" si="12"/>
        <v>0</v>
      </c>
      <c r="F11" s="611">
        <f t="shared" ca="1" si="13"/>
        <v>0</v>
      </c>
      <c r="G11" s="611">
        <f t="shared" ca="1" si="14"/>
        <v>0</v>
      </c>
      <c r="H11" s="611">
        <f t="shared" ca="1" si="15"/>
        <v>0</v>
      </c>
      <c r="I11" s="611">
        <f t="shared" ca="1" si="16"/>
        <v>0</v>
      </c>
      <c r="J11" s="611">
        <f t="shared" ca="1" si="17"/>
        <v>0</v>
      </c>
      <c r="K11" s="611">
        <f t="shared" ca="1" si="18"/>
        <v>0</v>
      </c>
      <c r="L11" s="611">
        <f t="shared" ca="1" si="19"/>
        <v>0</v>
      </c>
      <c r="M11" s="611"/>
      <c r="N11" s="2314"/>
      <c r="O11" s="612" t="s">
        <v>7083</v>
      </c>
      <c r="P11" s="611"/>
      <c r="Q11" s="611"/>
      <c r="R11" s="611"/>
      <c r="S11" s="611"/>
      <c r="X11" s="611"/>
      <c r="Y11" s="611"/>
      <c r="Z11" s="611"/>
      <c r="AA11" s="209">
        <v>8</v>
      </c>
      <c r="AE11" s="611"/>
      <c r="AF11" s="611"/>
      <c r="AG11" s="611">
        <v>0</v>
      </c>
      <c r="AH11" s="611">
        <v>0</v>
      </c>
      <c r="AI11" s="611">
        <v>0</v>
      </c>
      <c r="AJ11" s="611">
        <v>0</v>
      </c>
      <c r="AK11" s="611">
        <v>0</v>
      </c>
      <c r="AL11" s="611">
        <v>0</v>
      </c>
      <c r="AM11" s="611">
        <v>0</v>
      </c>
      <c r="AN11" s="611">
        <v>0</v>
      </c>
      <c r="AO11" s="611">
        <v>0</v>
      </c>
      <c r="AP11" s="611">
        <v>0</v>
      </c>
      <c r="AQ11" s="1102">
        <f t="shared" si="20"/>
        <v>0</v>
      </c>
      <c r="AR11" s="611">
        <v>0</v>
      </c>
      <c r="AS11" s="611">
        <v>0</v>
      </c>
      <c r="AT11" s="611">
        <v>0</v>
      </c>
      <c r="AU11" s="611">
        <v>0</v>
      </c>
      <c r="AV11" s="611">
        <v>0</v>
      </c>
      <c r="AW11" s="611">
        <v>0</v>
      </c>
      <c r="AX11" s="611">
        <v>0</v>
      </c>
      <c r="AY11" s="611">
        <v>0</v>
      </c>
      <c r="AZ11" s="611">
        <v>0</v>
      </c>
      <c r="BA11" s="611">
        <v>0</v>
      </c>
      <c r="BB11" s="1102">
        <f t="shared" si="21"/>
        <v>0</v>
      </c>
      <c r="BC11" s="611">
        <v>0</v>
      </c>
      <c r="BD11" s="611">
        <v>0</v>
      </c>
      <c r="BE11" s="611">
        <v>0</v>
      </c>
      <c r="BF11" s="611">
        <v>0</v>
      </c>
      <c r="BG11" s="611">
        <v>0</v>
      </c>
      <c r="BH11" s="611">
        <v>0</v>
      </c>
      <c r="BI11" s="611">
        <v>0</v>
      </c>
      <c r="BJ11" s="611">
        <v>0</v>
      </c>
      <c r="BK11" s="611">
        <v>0</v>
      </c>
      <c r="BL11" s="611">
        <v>0</v>
      </c>
      <c r="BM11" s="1102">
        <f t="shared" si="22"/>
        <v>0</v>
      </c>
    </row>
    <row r="12" spans="1:65" ht="9" customHeight="1" x14ac:dyDescent="0.2">
      <c r="A12" s="830" t="str">
        <f>'Published Balance'!A12</f>
        <v>Stock changes</v>
      </c>
      <c r="B12" s="611">
        <f t="shared" ca="1" si="9"/>
        <v>0</v>
      </c>
      <c r="C12" s="611">
        <f t="shared" ca="1" si="10"/>
        <v>0</v>
      </c>
      <c r="D12" s="611">
        <f t="shared" ca="1" si="11"/>
        <v>0</v>
      </c>
      <c r="E12" s="611">
        <f t="shared" ca="1" si="12"/>
        <v>250</v>
      </c>
      <c r="F12" s="611">
        <f t="shared" ca="1" si="13"/>
        <v>0</v>
      </c>
      <c r="G12" s="611">
        <f t="shared" ca="1" si="14"/>
        <v>0</v>
      </c>
      <c r="H12" s="611">
        <f t="shared" ca="1" si="15"/>
        <v>0</v>
      </c>
      <c r="I12" s="611">
        <f t="shared" ca="1" si="16"/>
        <v>0</v>
      </c>
      <c r="J12" s="611">
        <f t="shared" ca="1" si="17"/>
        <v>0</v>
      </c>
      <c r="K12" s="611">
        <f t="shared" ca="1" si="18"/>
        <v>0</v>
      </c>
      <c r="L12" s="611">
        <f t="shared" ca="1" si="19"/>
        <v>250</v>
      </c>
      <c r="M12" s="1139" t="str">
        <f>IF($N$2=$AC$1,"    "&amp;$O12,"")</f>
        <v/>
      </c>
      <c r="N12" s="1140"/>
      <c r="O12" s="611" t="s">
        <v>7123</v>
      </c>
      <c r="P12" s="611"/>
      <c r="Q12" s="611"/>
      <c r="R12" s="611"/>
      <c r="S12" s="611"/>
      <c r="T12" s="611"/>
      <c r="U12" s="611"/>
      <c r="V12" s="611"/>
      <c r="W12" s="611"/>
      <c r="X12" s="611"/>
      <c r="Y12" s="611"/>
      <c r="Z12" s="611"/>
      <c r="AA12" s="20">
        <v>9</v>
      </c>
      <c r="AC12" s="611"/>
      <c r="AD12" s="611"/>
      <c r="AE12" s="611"/>
      <c r="AF12" s="611"/>
      <c r="AG12" s="611">
        <v>0</v>
      </c>
      <c r="AH12" s="611">
        <v>0</v>
      </c>
      <c r="AI12" s="611">
        <v>0</v>
      </c>
      <c r="AJ12" s="612">
        <v>250</v>
      </c>
      <c r="AK12" s="611">
        <v>0</v>
      </c>
      <c r="AL12" s="611">
        <v>0</v>
      </c>
      <c r="AM12" s="611">
        <v>0</v>
      </c>
      <c r="AN12" s="611">
        <v>0</v>
      </c>
      <c r="AO12" s="611">
        <v>0</v>
      </c>
      <c r="AP12" s="611">
        <v>0</v>
      </c>
      <c r="AQ12" s="1102">
        <f t="shared" si="20"/>
        <v>250</v>
      </c>
      <c r="AR12" s="611">
        <v>0</v>
      </c>
      <c r="AS12" s="611">
        <v>0</v>
      </c>
      <c r="AT12" s="611">
        <v>0</v>
      </c>
      <c r="AU12" s="612">
        <v>250</v>
      </c>
      <c r="AV12" s="611">
        <v>0</v>
      </c>
      <c r="AW12" s="611">
        <v>0</v>
      </c>
      <c r="AX12" s="611">
        <v>0</v>
      </c>
      <c r="AY12" s="611">
        <v>0</v>
      </c>
      <c r="AZ12" s="611">
        <v>0</v>
      </c>
      <c r="BA12" s="611">
        <v>0</v>
      </c>
      <c r="BB12" s="1102">
        <f t="shared" si="21"/>
        <v>250</v>
      </c>
      <c r="BC12" s="611">
        <v>0</v>
      </c>
      <c r="BD12" s="611">
        <v>0</v>
      </c>
      <c r="BE12" s="611">
        <v>0</v>
      </c>
      <c r="BF12" s="612">
        <v>250</v>
      </c>
      <c r="BG12" s="611">
        <v>0</v>
      </c>
      <c r="BH12" s="611">
        <v>0</v>
      </c>
      <c r="BI12" s="611">
        <v>0</v>
      </c>
      <c r="BJ12" s="611">
        <v>0</v>
      </c>
      <c r="BK12" s="1128">
        <v>-200</v>
      </c>
      <c r="BL12" s="611">
        <v>0</v>
      </c>
      <c r="BM12" s="1102">
        <f t="shared" si="22"/>
        <v>50</v>
      </c>
    </row>
    <row r="13" spans="1:65" ht="9" customHeight="1" x14ac:dyDescent="0.15">
      <c r="A13" s="831" t="str">
        <f>'Published Balance'!A13</f>
        <v>TPES</v>
      </c>
      <c r="B13" s="831">
        <f t="shared" ca="1" si="9"/>
        <v>15000</v>
      </c>
      <c r="C13" s="831">
        <f t="shared" ca="1" si="10"/>
        <v>1000</v>
      </c>
      <c r="D13" s="831">
        <f t="shared" ca="1" si="11"/>
        <v>10000</v>
      </c>
      <c r="E13" s="831">
        <f t="shared" ca="1" si="12"/>
        <v>5250</v>
      </c>
      <c r="F13" s="831">
        <f t="shared" ca="1" si="13"/>
        <v>0</v>
      </c>
      <c r="G13" s="831">
        <f t="shared" ca="1" si="14"/>
        <v>0</v>
      </c>
      <c r="H13" s="831">
        <f t="shared" ca="1" si="15"/>
        <v>0</v>
      </c>
      <c r="I13" s="831">
        <f t="shared" ca="1" si="16"/>
        <v>0</v>
      </c>
      <c r="J13" s="831">
        <f t="shared" ca="1" si="17"/>
        <v>2000</v>
      </c>
      <c r="K13" s="831">
        <f t="shared" ca="1" si="18"/>
        <v>0</v>
      </c>
      <c r="L13" s="831">
        <f t="shared" ca="1" si="19"/>
        <v>33250</v>
      </c>
      <c r="M13" s="1139" t="str">
        <f t="shared" ref="M13:M18" si="23">IF($N$2=$AC$1,"    "&amp;$O13,"")</f>
        <v/>
      </c>
      <c r="N13" s="1140"/>
      <c r="O13" s="611" t="s">
        <v>7124</v>
      </c>
      <c r="P13" s="612"/>
      <c r="Q13" s="612"/>
      <c r="R13" s="612"/>
      <c r="S13" s="612"/>
      <c r="T13" s="612"/>
      <c r="U13" s="612"/>
      <c r="V13" s="612"/>
      <c r="W13" s="612"/>
      <c r="X13" s="612"/>
      <c r="Y13" s="612"/>
      <c r="Z13" s="612"/>
      <c r="AA13" s="209">
        <v>10</v>
      </c>
      <c r="AC13" s="612"/>
      <c r="AD13" s="612"/>
      <c r="AE13" s="612"/>
      <c r="AF13" s="612"/>
      <c r="AG13" s="1108">
        <f>SUM(AG7:AG12)</f>
        <v>15000</v>
      </c>
      <c r="AH13" s="1108">
        <f t="shared" ref="AH13:AQ13" si="24">SUM(AH7:AH12)</f>
        <v>1000</v>
      </c>
      <c r="AI13" s="1108">
        <f t="shared" si="24"/>
        <v>10000</v>
      </c>
      <c r="AJ13" s="1108">
        <f t="shared" si="24"/>
        <v>5250</v>
      </c>
      <c r="AK13" s="1108">
        <f t="shared" si="24"/>
        <v>0</v>
      </c>
      <c r="AL13" s="1108">
        <f t="shared" si="24"/>
        <v>0</v>
      </c>
      <c r="AM13" s="1108">
        <f t="shared" si="24"/>
        <v>0</v>
      </c>
      <c r="AN13" s="1108">
        <f t="shared" si="24"/>
        <v>0</v>
      </c>
      <c r="AO13" s="1108">
        <f t="shared" si="24"/>
        <v>2000</v>
      </c>
      <c r="AP13" s="1108">
        <f t="shared" si="24"/>
        <v>0</v>
      </c>
      <c r="AQ13" s="1109">
        <f t="shared" si="24"/>
        <v>33250</v>
      </c>
      <c r="AR13" s="1108">
        <f>SUM(AR7:AR12)</f>
        <v>30000</v>
      </c>
      <c r="AS13" s="1108">
        <f t="shared" ref="AS13:BB13" si="25">SUM(AS7:AS12)</f>
        <v>10000</v>
      </c>
      <c r="AT13" s="1108">
        <f t="shared" si="25"/>
        <v>950</v>
      </c>
      <c r="AU13" s="1108">
        <f t="shared" si="25"/>
        <v>12250</v>
      </c>
      <c r="AV13" s="1108">
        <f t="shared" si="25"/>
        <v>0</v>
      </c>
      <c r="AW13" s="1108">
        <f t="shared" si="25"/>
        <v>0</v>
      </c>
      <c r="AX13" s="1108">
        <f t="shared" si="25"/>
        <v>0</v>
      </c>
      <c r="AY13" s="1108">
        <f t="shared" si="25"/>
        <v>0</v>
      </c>
      <c r="AZ13" s="1108">
        <f t="shared" si="25"/>
        <v>2000</v>
      </c>
      <c r="BA13" s="1108">
        <f t="shared" si="25"/>
        <v>0</v>
      </c>
      <c r="BB13" s="1109">
        <f t="shared" si="25"/>
        <v>55200</v>
      </c>
      <c r="BC13" s="1108">
        <f>SUM(BC7:BC12)</f>
        <v>15550</v>
      </c>
      <c r="BD13" s="1108">
        <f t="shared" ref="BD13:BM13" si="26">SUM(BD7:BD12)</f>
        <v>10600</v>
      </c>
      <c r="BE13" s="1108">
        <f t="shared" si="26"/>
        <v>1950</v>
      </c>
      <c r="BF13" s="1108">
        <f t="shared" si="26"/>
        <v>12250</v>
      </c>
      <c r="BG13" s="1108">
        <f t="shared" si="26"/>
        <v>0</v>
      </c>
      <c r="BH13" s="1108">
        <f t="shared" si="26"/>
        <v>0</v>
      </c>
      <c r="BI13" s="1108">
        <f t="shared" si="26"/>
        <v>0</v>
      </c>
      <c r="BJ13" s="1108">
        <f t="shared" si="26"/>
        <v>100</v>
      </c>
      <c r="BK13" s="1108">
        <f t="shared" si="26"/>
        <v>2000</v>
      </c>
      <c r="BL13" s="1108">
        <f t="shared" si="26"/>
        <v>0</v>
      </c>
      <c r="BM13" s="1109">
        <f t="shared" si="26"/>
        <v>42450</v>
      </c>
    </row>
    <row r="14" spans="1:65" ht="9" customHeight="1" x14ac:dyDescent="0.2">
      <c r="A14" s="611" t="str">
        <f>'Published Balance'!A14</f>
        <v>Transfers</v>
      </c>
      <c r="B14" s="611">
        <f t="shared" ca="1" si="9"/>
        <v>0</v>
      </c>
      <c r="C14" s="611">
        <f t="shared" ca="1" si="10"/>
        <v>0</v>
      </c>
      <c r="D14" s="611">
        <f t="shared" ca="1" si="11"/>
        <v>0</v>
      </c>
      <c r="E14" s="611">
        <f t="shared" ca="1" si="12"/>
        <v>0</v>
      </c>
      <c r="F14" s="611">
        <f t="shared" ca="1" si="13"/>
        <v>0</v>
      </c>
      <c r="G14" s="611">
        <f t="shared" ca="1" si="14"/>
        <v>0</v>
      </c>
      <c r="H14" s="611">
        <f t="shared" ca="1" si="15"/>
        <v>0</v>
      </c>
      <c r="I14" s="611">
        <f t="shared" ca="1" si="16"/>
        <v>0</v>
      </c>
      <c r="J14" s="611">
        <f t="shared" ca="1" si="17"/>
        <v>0</v>
      </c>
      <c r="K14" s="611">
        <f t="shared" ca="1" si="18"/>
        <v>0</v>
      </c>
      <c r="L14" s="611">
        <f t="shared" ca="1" si="19"/>
        <v>0</v>
      </c>
      <c r="M14" s="1139" t="str">
        <f t="shared" si="23"/>
        <v/>
      </c>
      <c r="N14" s="1140"/>
      <c r="O14" s="611" t="s">
        <v>7125</v>
      </c>
      <c r="P14" s="611"/>
      <c r="Q14" s="611"/>
      <c r="R14" s="611"/>
      <c r="S14" s="611"/>
      <c r="T14" s="611"/>
      <c r="U14" s="611"/>
      <c r="V14" s="611"/>
      <c r="W14" s="611"/>
      <c r="X14" s="611"/>
      <c r="Y14" s="611"/>
      <c r="Z14" s="611"/>
      <c r="AA14" s="20">
        <v>11</v>
      </c>
      <c r="AC14" s="611"/>
      <c r="AD14" s="611"/>
      <c r="AE14" s="611"/>
      <c r="AF14" s="611"/>
      <c r="AG14" s="611">
        <v>0</v>
      </c>
      <c r="AH14" s="611">
        <v>0</v>
      </c>
      <c r="AI14" s="611">
        <v>0</v>
      </c>
      <c r="AJ14" s="611">
        <v>0</v>
      </c>
      <c r="AK14" s="611">
        <v>0</v>
      </c>
      <c r="AL14" s="611">
        <v>0</v>
      </c>
      <c r="AM14" s="611">
        <v>0</v>
      </c>
      <c r="AN14" s="611">
        <v>0</v>
      </c>
      <c r="AO14" s="611">
        <v>0</v>
      </c>
      <c r="AP14" s="611">
        <v>0</v>
      </c>
      <c r="AQ14" s="1103">
        <f>SUM(AG14:AP14)</f>
        <v>0</v>
      </c>
      <c r="AR14" s="611">
        <v>0</v>
      </c>
      <c r="AS14" s="611">
        <v>0</v>
      </c>
      <c r="AT14" s="611">
        <v>0</v>
      </c>
      <c r="AU14" s="611">
        <v>0</v>
      </c>
      <c r="AV14" s="611">
        <v>0</v>
      </c>
      <c r="AW14" s="611">
        <v>0</v>
      </c>
      <c r="AX14" s="611">
        <v>0</v>
      </c>
      <c r="AY14" s="611">
        <v>0</v>
      </c>
      <c r="AZ14" s="611">
        <v>0</v>
      </c>
      <c r="BA14" s="611">
        <v>0</v>
      </c>
      <c r="BB14" s="1103">
        <f>SUM(AR14:BA14)</f>
        <v>0</v>
      </c>
      <c r="BC14" s="611">
        <v>0</v>
      </c>
      <c r="BD14" s="611">
        <v>0</v>
      </c>
      <c r="BE14" s="611">
        <v>0</v>
      </c>
      <c r="BF14" s="611">
        <v>0</v>
      </c>
      <c r="BG14" s="611">
        <v>0</v>
      </c>
      <c r="BH14" s="611">
        <v>0</v>
      </c>
      <c r="BI14" s="611">
        <v>0</v>
      </c>
      <c r="BJ14" s="611">
        <v>0</v>
      </c>
      <c r="BK14" s="611">
        <v>0</v>
      </c>
      <c r="BL14" s="611">
        <v>0</v>
      </c>
      <c r="BM14" s="1103">
        <f>SUM(BC14:BL14)</f>
        <v>0</v>
      </c>
    </row>
    <row r="15" spans="1:65" ht="9" customHeight="1" x14ac:dyDescent="0.2">
      <c r="A15" s="611" t="str">
        <f>'Published Balance'!A15</f>
        <v>Statistical differences</v>
      </c>
      <c r="B15" s="611">
        <f t="shared" ca="1" si="9"/>
        <v>2500</v>
      </c>
      <c r="C15" s="611">
        <f t="shared" ca="1" si="10"/>
        <v>5</v>
      </c>
      <c r="D15" s="611">
        <f t="shared" ca="1" si="11"/>
        <v>5000</v>
      </c>
      <c r="E15" s="611">
        <f t="shared" ca="1" si="12"/>
        <v>-7000</v>
      </c>
      <c r="F15" s="611">
        <f t="shared" ca="1" si="13"/>
        <v>0</v>
      </c>
      <c r="G15" s="611">
        <f t="shared" ca="1" si="14"/>
        <v>0</v>
      </c>
      <c r="H15" s="611">
        <f t="shared" ca="1" si="15"/>
        <v>0</v>
      </c>
      <c r="I15" s="611">
        <f t="shared" ca="1" si="16"/>
        <v>0</v>
      </c>
      <c r="J15" s="611">
        <f t="shared" ca="1" si="17"/>
        <v>700</v>
      </c>
      <c r="K15" s="611">
        <f t="shared" ca="1" si="18"/>
        <v>0</v>
      </c>
      <c r="L15" s="611">
        <f t="shared" ca="1" si="19"/>
        <v>1205</v>
      </c>
      <c r="M15" s="1139" t="str">
        <f t="shared" si="23"/>
        <v/>
      </c>
      <c r="N15" s="1140"/>
      <c r="O15" s="611" t="s">
        <v>7126</v>
      </c>
      <c r="P15" s="611"/>
      <c r="Q15" s="611"/>
      <c r="R15" s="611"/>
      <c r="S15" s="611"/>
      <c r="T15" s="611"/>
      <c r="U15" s="611"/>
      <c r="V15" s="611"/>
      <c r="W15" s="611"/>
      <c r="X15" s="611"/>
      <c r="Y15" s="611"/>
      <c r="Z15" s="611"/>
      <c r="AA15" s="209">
        <v>12</v>
      </c>
      <c r="AB15" s="259" t="s">
        <v>7109</v>
      </c>
      <c r="AC15" s="612" t="str">
        <f>AB15</f>
        <v>Scenario 1: High statistical difference</v>
      </c>
      <c r="AD15" s="611"/>
      <c r="AE15" s="611"/>
      <c r="AF15" s="611"/>
      <c r="AG15" s="1113">
        <f>AG13+SUM(AG14,AG16:AG27)-AG28</f>
        <v>2500</v>
      </c>
      <c r="AH15" s="1113">
        <f t="shared" ref="AH15:AQ15" si="27">AH13+SUM(AH14,AH16:AH27)-AH28</f>
        <v>5</v>
      </c>
      <c r="AI15" s="1113">
        <f t="shared" si="27"/>
        <v>5000</v>
      </c>
      <c r="AJ15" s="1113">
        <f t="shared" si="27"/>
        <v>-7000</v>
      </c>
      <c r="AK15" s="1113">
        <f t="shared" si="27"/>
        <v>0</v>
      </c>
      <c r="AL15" s="1113">
        <f t="shared" si="27"/>
        <v>0</v>
      </c>
      <c r="AM15" s="1113">
        <f t="shared" si="27"/>
        <v>0</v>
      </c>
      <c r="AN15" s="1113">
        <f t="shared" si="27"/>
        <v>0</v>
      </c>
      <c r="AO15" s="1113">
        <f t="shared" si="27"/>
        <v>700</v>
      </c>
      <c r="AP15" s="1113">
        <f t="shared" si="27"/>
        <v>0</v>
      </c>
      <c r="AQ15" s="1114">
        <f t="shared" si="27"/>
        <v>1205</v>
      </c>
      <c r="AR15" s="1113">
        <f>AR13+SUM(AR14,AR16:AR27)-AR28</f>
        <v>0</v>
      </c>
      <c r="AS15" s="1113">
        <f t="shared" ref="AS15" si="28">AS13+SUM(AS14,AS16:AS27)-AS28</f>
        <v>0</v>
      </c>
      <c r="AT15" s="1113">
        <f t="shared" ref="AT15" si="29">AT13+SUM(AT14,AT16:AT27)-AT28</f>
        <v>0</v>
      </c>
      <c r="AU15" s="1113">
        <f t="shared" ref="AU15" si="30">AU13+SUM(AU14,AU16:AU27)-AU28</f>
        <v>0</v>
      </c>
      <c r="AV15" s="1113">
        <f t="shared" ref="AV15" si="31">AV13+SUM(AV14,AV16:AV27)-AV28</f>
        <v>0</v>
      </c>
      <c r="AW15" s="1113">
        <f t="shared" ref="AW15" si="32">AW13+SUM(AW14,AW16:AW27)-AW28</f>
        <v>0</v>
      </c>
      <c r="AX15" s="1113">
        <f t="shared" ref="AX15" si="33">AX13+SUM(AX14,AX16:AX27)-AX28</f>
        <v>0</v>
      </c>
      <c r="AY15" s="1113">
        <f t="shared" ref="AY15" si="34">AY13+SUM(AY14,AY16:AY27)-AY28</f>
        <v>0</v>
      </c>
      <c r="AZ15" s="1113">
        <f t="shared" ref="AZ15" si="35">AZ13+SUM(AZ14,AZ16:AZ27)-AZ28</f>
        <v>1000</v>
      </c>
      <c r="BA15" s="1113">
        <f t="shared" ref="BA15" si="36">BA13+SUM(BA14,BA16:BA27)-BA28</f>
        <v>0</v>
      </c>
      <c r="BB15" s="1114">
        <f t="shared" ref="BB15" si="37">BB13+SUM(BB14,BB16:BB27)-BB28</f>
        <v>1000</v>
      </c>
      <c r="BC15" s="1113">
        <f>BC13+SUM(BC14,BC16:BC27)-BC28</f>
        <v>0</v>
      </c>
      <c r="BD15" s="1113">
        <f t="shared" ref="BD15" si="38">BD13+SUM(BD14,BD16:BD27)-BD28</f>
        <v>0</v>
      </c>
      <c r="BE15" s="1113">
        <f t="shared" ref="BE15" si="39">BE13+SUM(BE14,BE16:BE27)-BE28</f>
        <v>0</v>
      </c>
      <c r="BF15" s="1113">
        <f t="shared" ref="BF15" si="40">BF13+SUM(BF14,BF16:BF27)-BF28</f>
        <v>0</v>
      </c>
      <c r="BG15" s="1113">
        <f t="shared" ref="BG15" si="41">BG13+SUM(BG14,BG16:BG27)-BG28</f>
        <v>0</v>
      </c>
      <c r="BH15" s="1113">
        <f t="shared" ref="BH15" si="42">BH13+SUM(BH14,BH16:BH27)-BH28</f>
        <v>0</v>
      </c>
      <c r="BI15" s="1113">
        <f t="shared" ref="BI15" si="43">BI13+SUM(BI14,BI16:BI27)-BI28</f>
        <v>0</v>
      </c>
      <c r="BJ15" s="1113">
        <f t="shared" ref="BJ15" si="44">BJ13+SUM(BJ14,BJ16:BJ27)-BJ28</f>
        <v>0</v>
      </c>
      <c r="BK15" s="1113">
        <f t="shared" ref="BK15" si="45">BK13+SUM(BK14,BK16:BK27)-BK28</f>
        <v>0</v>
      </c>
      <c r="BL15" s="1113">
        <f t="shared" ref="BL15" si="46">BL13+SUM(BL14,BL16:BL27)-BL28</f>
        <v>0</v>
      </c>
      <c r="BM15" s="1114">
        <f t="shared" ref="BM15" si="47">BM13+SUM(BM14,BM16:BM27)-BM28</f>
        <v>0</v>
      </c>
    </row>
    <row r="16" spans="1:65" ht="9" customHeight="1" x14ac:dyDescent="0.2">
      <c r="A16" s="611" t="str">
        <f>'Published Balance'!A16</f>
        <v>Electricity plants</v>
      </c>
      <c r="B16" s="611">
        <f t="shared" ca="1" si="9"/>
        <v>-7500</v>
      </c>
      <c r="C16" s="611">
        <f t="shared" ca="1" si="10"/>
        <v>0</v>
      </c>
      <c r="D16" s="611">
        <f t="shared" ca="1" si="11"/>
        <v>0</v>
      </c>
      <c r="E16" s="611">
        <f t="shared" ca="1" si="12"/>
        <v>0</v>
      </c>
      <c r="F16" s="611">
        <f t="shared" ca="1" si="13"/>
        <v>0</v>
      </c>
      <c r="G16" s="611">
        <f t="shared" ca="1" si="14"/>
        <v>0</v>
      </c>
      <c r="H16" s="611">
        <f t="shared" ca="1" si="15"/>
        <v>0</v>
      </c>
      <c r="I16" s="611">
        <f t="shared" ca="1" si="16"/>
        <v>0</v>
      </c>
      <c r="J16" s="611">
        <f t="shared" ca="1" si="17"/>
        <v>2500</v>
      </c>
      <c r="K16" s="611">
        <f t="shared" ca="1" si="18"/>
        <v>0</v>
      </c>
      <c r="L16" s="611">
        <f t="shared" ca="1" si="19"/>
        <v>-5000</v>
      </c>
      <c r="M16" s="1139" t="str">
        <f t="shared" si="23"/>
        <v/>
      </c>
      <c r="N16" s="1140"/>
      <c r="O16" s="611"/>
      <c r="P16" s="611"/>
      <c r="Q16" s="611"/>
      <c r="R16" s="611"/>
      <c r="S16" s="611"/>
      <c r="T16" s="611"/>
      <c r="U16" s="611"/>
      <c r="V16" s="611"/>
      <c r="W16" s="611"/>
      <c r="X16" s="611"/>
      <c r="Y16" s="611"/>
      <c r="Z16" s="611"/>
      <c r="AA16" s="20">
        <v>13</v>
      </c>
      <c r="AB16" s="20" t="s">
        <v>7127</v>
      </c>
      <c r="AC16" s="611" t="s">
        <v>7128</v>
      </c>
      <c r="AD16" s="611"/>
      <c r="AE16" s="611"/>
      <c r="AF16" s="611"/>
      <c r="AG16" s="612">
        <v>-7500</v>
      </c>
      <c r="AH16" s="611">
        <v>0</v>
      </c>
      <c r="AI16" s="611">
        <v>0</v>
      </c>
      <c r="AJ16" s="611">
        <v>0</v>
      </c>
      <c r="AK16" s="611">
        <v>0</v>
      </c>
      <c r="AL16" s="611">
        <v>0</v>
      </c>
      <c r="AM16" s="611">
        <v>0</v>
      </c>
      <c r="AN16" s="611">
        <v>0</v>
      </c>
      <c r="AO16" s="612">
        <v>2500</v>
      </c>
      <c r="AP16" s="611">
        <v>0</v>
      </c>
      <c r="AQ16" s="1126">
        <f t="shared" ref="AQ16:AQ67" si="48">SUM(AG16:AP16)</f>
        <v>-5000</v>
      </c>
      <c r="AR16" s="1124">
        <v>-22500</v>
      </c>
      <c r="AS16" s="611">
        <v>0</v>
      </c>
      <c r="AT16" s="611">
        <v>0</v>
      </c>
      <c r="AU16" s="611">
        <v>0</v>
      </c>
      <c r="AV16" s="611">
        <v>0</v>
      </c>
      <c r="AW16" s="611">
        <v>0</v>
      </c>
      <c r="AX16" s="611">
        <v>0</v>
      </c>
      <c r="AY16" s="611">
        <v>0</v>
      </c>
      <c r="AZ16" s="612">
        <v>2500</v>
      </c>
      <c r="BA16" s="611">
        <v>0</v>
      </c>
      <c r="BB16" s="1103">
        <f t="shared" ref="BB16:BB60" si="49">SUM(AR16:BA16)</f>
        <v>-20000</v>
      </c>
      <c r="BC16" s="612">
        <v>-7500</v>
      </c>
      <c r="BD16" s="611">
        <v>0</v>
      </c>
      <c r="BE16" s="611">
        <v>0</v>
      </c>
      <c r="BF16" s="611">
        <v>0</v>
      </c>
      <c r="BG16" s="611">
        <v>0</v>
      </c>
      <c r="BH16" s="611">
        <v>0</v>
      </c>
      <c r="BI16" s="611">
        <v>0</v>
      </c>
      <c r="BJ16" s="611">
        <v>0</v>
      </c>
      <c r="BK16" s="612">
        <v>2500</v>
      </c>
      <c r="BL16" s="611">
        <v>0</v>
      </c>
      <c r="BM16" s="1103">
        <f t="shared" ref="BM16:BM60" si="50">SUM(BC16:BL16)</f>
        <v>-5000</v>
      </c>
    </row>
    <row r="17" spans="1:65" ht="9" customHeight="1" x14ac:dyDescent="0.2">
      <c r="A17" s="611" t="str">
        <f>'Published Balance'!A17</f>
        <v>CHP plants</v>
      </c>
      <c r="B17" s="611">
        <f t="shared" ca="1" si="9"/>
        <v>0</v>
      </c>
      <c r="C17" s="611">
        <f t="shared" ca="1" si="10"/>
        <v>0</v>
      </c>
      <c r="D17" s="611">
        <f t="shared" ca="1" si="11"/>
        <v>0</v>
      </c>
      <c r="E17" s="611">
        <f t="shared" ca="1" si="12"/>
        <v>-5000</v>
      </c>
      <c r="F17" s="611">
        <f t="shared" ca="1" si="13"/>
        <v>0</v>
      </c>
      <c r="G17" s="611">
        <f t="shared" ca="1" si="14"/>
        <v>0</v>
      </c>
      <c r="H17" s="611">
        <f t="shared" ca="1" si="15"/>
        <v>0</v>
      </c>
      <c r="I17" s="611">
        <f t="shared" ca="1" si="16"/>
        <v>0</v>
      </c>
      <c r="J17" s="611">
        <f t="shared" ca="1" si="17"/>
        <v>1300</v>
      </c>
      <c r="K17" s="611">
        <f t="shared" ca="1" si="18"/>
        <v>2700</v>
      </c>
      <c r="L17" s="611">
        <f t="shared" ca="1" si="19"/>
        <v>-1000</v>
      </c>
      <c r="M17" s="1139" t="str">
        <f t="shared" si="23"/>
        <v/>
      </c>
      <c r="N17" s="1140"/>
      <c r="O17" s="611"/>
      <c r="P17" s="611"/>
      <c r="Q17" s="611"/>
      <c r="R17" s="611"/>
      <c r="S17" s="611"/>
      <c r="T17" s="611"/>
      <c r="U17" s="611"/>
      <c r="V17" s="611"/>
      <c r="W17" s="611"/>
      <c r="X17" s="611"/>
      <c r="Y17" s="611"/>
      <c r="Z17" s="611"/>
      <c r="AA17" s="209">
        <v>14</v>
      </c>
      <c r="AB17" s="20" t="s">
        <v>7129</v>
      </c>
      <c r="AC17" s="611" t="s">
        <v>7130</v>
      </c>
      <c r="AD17" s="611"/>
      <c r="AE17" s="611"/>
      <c r="AF17" s="611"/>
      <c r="AG17" s="612">
        <v>0</v>
      </c>
      <c r="AH17" s="611">
        <v>0</v>
      </c>
      <c r="AI17" s="611">
        <v>0</v>
      </c>
      <c r="AJ17" s="612">
        <v>-5000</v>
      </c>
      <c r="AK17" s="611">
        <v>0</v>
      </c>
      <c r="AL17" s="611">
        <v>0</v>
      </c>
      <c r="AM17" s="611">
        <v>0</v>
      </c>
      <c r="AN17" s="611">
        <v>0</v>
      </c>
      <c r="AO17" s="612">
        <v>1300</v>
      </c>
      <c r="AP17" s="612">
        <v>2700</v>
      </c>
      <c r="AQ17" s="1103">
        <f t="shared" si="48"/>
        <v>-1000</v>
      </c>
      <c r="AR17" s="611">
        <v>0</v>
      </c>
      <c r="AS17" s="611">
        <v>0</v>
      </c>
      <c r="AT17" s="611">
        <v>0</v>
      </c>
      <c r="AU17" s="612">
        <v>-5000</v>
      </c>
      <c r="AV17" s="611">
        <v>0</v>
      </c>
      <c r="AW17" s="611">
        <v>0</v>
      </c>
      <c r="AX17" s="611">
        <v>0</v>
      </c>
      <c r="AY17" s="611">
        <v>0</v>
      </c>
      <c r="AZ17" s="1124">
        <v>2300</v>
      </c>
      <c r="BA17" s="612">
        <v>2700</v>
      </c>
      <c r="BB17" s="1103">
        <f t="shared" si="49"/>
        <v>0</v>
      </c>
      <c r="BC17" s="611">
        <v>0</v>
      </c>
      <c r="BD17" s="611">
        <v>0</v>
      </c>
      <c r="BE17" s="611">
        <v>0</v>
      </c>
      <c r="BF17" s="612">
        <v>-5000</v>
      </c>
      <c r="BG17" s="611">
        <v>0</v>
      </c>
      <c r="BH17" s="611">
        <v>0</v>
      </c>
      <c r="BI17" s="611">
        <v>0</v>
      </c>
      <c r="BJ17" s="611">
        <v>0</v>
      </c>
      <c r="BK17" s="612">
        <v>1300</v>
      </c>
      <c r="BL17" s="612">
        <v>2700</v>
      </c>
      <c r="BM17" s="1103">
        <f t="shared" si="50"/>
        <v>-1000</v>
      </c>
    </row>
    <row r="18" spans="1:65" ht="9" customHeight="1" x14ac:dyDescent="0.2">
      <c r="A18" s="611" t="str">
        <f>'Published Balance'!A18</f>
        <v>Heat plants</v>
      </c>
      <c r="B18" s="611">
        <f t="shared" ca="1" si="9"/>
        <v>0</v>
      </c>
      <c r="C18" s="611">
        <f t="shared" ca="1" si="10"/>
        <v>0</v>
      </c>
      <c r="D18" s="611">
        <f t="shared" ca="1" si="11"/>
        <v>0</v>
      </c>
      <c r="E18" s="611">
        <f t="shared" ca="1" si="12"/>
        <v>0</v>
      </c>
      <c r="F18" s="611">
        <f t="shared" ca="1" si="13"/>
        <v>0</v>
      </c>
      <c r="G18" s="611">
        <f t="shared" ca="1" si="14"/>
        <v>0</v>
      </c>
      <c r="H18" s="611">
        <f t="shared" ca="1" si="15"/>
        <v>0</v>
      </c>
      <c r="I18" s="611">
        <f t="shared" ca="1" si="16"/>
        <v>0</v>
      </c>
      <c r="J18" s="611">
        <f t="shared" ca="1" si="17"/>
        <v>0</v>
      </c>
      <c r="K18" s="611">
        <f t="shared" ca="1" si="18"/>
        <v>0</v>
      </c>
      <c r="L18" s="611">
        <f t="shared" ca="1" si="19"/>
        <v>0</v>
      </c>
      <c r="M18" s="1139" t="str">
        <f t="shared" si="23"/>
        <v/>
      </c>
      <c r="N18" s="1141"/>
      <c r="O18" s="611"/>
      <c r="P18" s="611"/>
      <c r="Q18" s="611"/>
      <c r="R18" s="611"/>
      <c r="S18" s="611"/>
      <c r="T18" s="611"/>
      <c r="U18" s="611"/>
      <c r="V18" s="611"/>
      <c r="W18" s="611"/>
      <c r="X18" s="611"/>
      <c r="Y18" s="611"/>
      <c r="Z18" s="611"/>
      <c r="AA18" s="20">
        <v>15</v>
      </c>
      <c r="AB18" s="20" t="s">
        <v>7131</v>
      </c>
      <c r="AC18" s="611" t="s">
        <v>7132</v>
      </c>
      <c r="AD18" s="611"/>
      <c r="AE18" s="611"/>
      <c r="AF18" s="611"/>
      <c r="AG18" s="611">
        <v>0</v>
      </c>
      <c r="AH18" s="611">
        <v>0</v>
      </c>
      <c r="AI18" s="611">
        <v>0</v>
      </c>
      <c r="AJ18" s="611">
        <v>0</v>
      </c>
      <c r="AK18" s="611">
        <v>0</v>
      </c>
      <c r="AL18" s="611">
        <v>0</v>
      </c>
      <c r="AM18" s="611">
        <v>0</v>
      </c>
      <c r="AN18" s="611">
        <v>0</v>
      </c>
      <c r="AO18" s="611">
        <v>0</v>
      </c>
      <c r="AP18" s="611">
        <v>0</v>
      </c>
      <c r="AQ18" s="1103">
        <f t="shared" si="48"/>
        <v>0</v>
      </c>
      <c r="AR18" s="611">
        <v>0</v>
      </c>
      <c r="AS18" s="611">
        <v>0</v>
      </c>
      <c r="AT18" s="611">
        <v>0</v>
      </c>
      <c r="AU18" s="611">
        <v>0</v>
      </c>
      <c r="AV18" s="611">
        <v>0</v>
      </c>
      <c r="AW18" s="611">
        <v>0</v>
      </c>
      <c r="AX18" s="611">
        <v>0</v>
      </c>
      <c r="AY18" s="611">
        <v>0</v>
      </c>
      <c r="AZ18" s="611">
        <v>0</v>
      </c>
      <c r="BA18" s="611">
        <v>0</v>
      </c>
      <c r="BB18" s="1103">
        <f t="shared" si="49"/>
        <v>0</v>
      </c>
      <c r="BC18" s="611">
        <v>0</v>
      </c>
      <c r="BD18" s="611">
        <v>0</v>
      </c>
      <c r="BE18" s="611">
        <v>0</v>
      </c>
      <c r="BF18" s="611">
        <v>0</v>
      </c>
      <c r="BG18" s="611">
        <v>0</v>
      </c>
      <c r="BH18" s="611">
        <v>0</v>
      </c>
      <c r="BI18" s="611">
        <v>0</v>
      </c>
      <c r="BJ18" s="611">
        <v>0</v>
      </c>
      <c r="BK18" s="611">
        <v>0</v>
      </c>
      <c r="BL18" s="611">
        <v>0</v>
      </c>
      <c r="BM18" s="1103">
        <f t="shared" si="50"/>
        <v>0</v>
      </c>
    </row>
    <row r="19" spans="1:65" ht="9" customHeight="1" x14ac:dyDescent="0.15">
      <c r="A19" s="611" t="str">
        <f>'Published Balance'!A19</f>
        <v>Blast furnaces</v>
      </c>
      <c r="B19" s="611">
        <f t="shared" ca="1" si="9"/>
        <v>0</v>
      </c>
      <c r="C19" s="611">
        <f t="shared" ca="1" si="10"/>
        <v>0</v>
      </c>
      <c r="D19" s="611">
        <f t="shared" ca="1" si="11"/>
        <v>0</v>
      </c>
      <c r="E19" s="611">
        <f t="shared" ca="1" si="12"/>
        <v>0</v>
      </c>
      <c r="F19" s="611">
        <f t="shared" ca="1" si="13"/>
        <v>0</v>
      </c>
      <c r="G19" s="611">
        <f t="shared" ca="1" si="14"/>
        <v>0</v>
      </c>
      <c r="H19" s="611">
        <f t="shared" ca="1" si="15"/>
        <v>0</v>
      </c>
      <c r="I19" s="611">
        <f t="shared" ca="1" si="16"/>
        <v>0</v>
      </c>
      <c r="J19" s="611">
        <f t="shared" ca="1" si="17"/>
        <v>0</v>
      </c>
      <c r="K19" s="611">
        <f t="shared" ca="1" si="18"/>
        <v>0</v>
      </c>
      <c r="L19" s="611">
        <f t="shared" ca="1" si="19"/>
        <v>0</v>
      </c>
      <c r="M19" s="611"/>
      <c r="N19" s="1117" t="str">
        <f>HLOOKUP(LangChoice,$AB$3:$AD$49,$AA17+1)</f>
        <v>Hints:</v>
      </c>
      <c r="O19" s="611"/>
      <c r="P19" s="611"/>
      <c r="Q19" s="611"/>
      <c r="R19" s="611"/>
      <c r="S19" s="611"/>
      <c r="T19" s="611"/>
      <c r="U19" s="611"/>
      <c r="V19" s="611"/>
      <c r="W19" s="611"/>
      <c r="X19" s="611"/>
      <c r="Y19" s="611"/>
      <c r="Z19" s="611"/>
      <c r="AA19" s="209">
        <v>16</v>
      </c>
      <c r="AB19" s="209" t="s">
        <v>7133</v>
      </c>
      <c r="AC19" s="611" t="s">
        <v>7134</v>
      </c>
      <c r="AD19" s="611"/>
      <c r="AE19" s="611"/>
      <c r="AF19" s="611"/>
      <c r="AG19" s="611">
        <v>0</v>
      </c>
      <c r="AH19" s="611">
        <v>0</v>
      </c>
      <c r="AI19" s="611">
        <v>0</v>
      </c>
      <c r="AJ19" s="611">
        <v>0</v>
      </c>
      <c r="AK19" s="611">
        <v>0</v>
      </c>
      <c r="AL19" s="611">
        <v>0</v>
      </c>
      <c r="AM19" s="611">
        <v>0</v>
      </c>
      <c r="AN19" s="611">
        <v>0</v>
      </c>
      <c r="AO19" s="611">
        <v>0</v>
      </c>
      <c r="AP19" s="611">
        <v>0</v>
      </c>
      <c r="AQ19" s="1103">
        <f t="shared" si="48"/>
        <v>0</v>
      </c>
      <c r="AR19" s="611">
        <v>0</v>
      </c>
      <c r="AS19" s="611">
        <v>0</v>
      </c>
      <c r="AT19" s="611">
        <v>0</v>
      </c>
      <c r="AU19" s="611">
        <v>0</v>
      </c>
      <c r="AV19" s="611">
        <v>0</v>
      </c>
      <c r="AW19" s="611">
        <v>0</v>
      </c>
      <c r="AX19" s="611">
        <v>0</v>
      </c>
      <c r="AY19" s="611">
        <v>0</v>
      </c>
      <c r="AZ19" s="611">
        <v>0</v>
      </c>
      <c r="BA19" s="611">
        <v>0</v>
      </c>
      <c r="BB19" s="1103">
        <f t="shared" si="49"/>
        <v>0</v>
      </c>
      <c r="BC19" s="611">
        <v>0</v>
      </c>
      <c r="BD19" s="611">
        <v>0</v>
      </c>
      <c r="BE19" s="611">
        <v>0</v>
      </c>
      <c r="BF19" s="611">
        <v>0</v>
      </c>
      <c r="BG19" s="611">
        <v>0</v>
      </c>
      <c r="BH19" s="611">
        <v>0</v>
      </c>
      <c r="BI19" s="611">
        <v>0</v>
      </c>
      <c r="BJ19" s="611">
        <v>0</v>
      </c>
      <c r="BK19" s="611">
        <v>0</v>
      </c>
      <c r="BL19" s="611">
        <v>0</v>
      </c>
      <c r="BM19" s="1103">
        <f t="shared" si="50"/>
        <v>0</v>
      </c>
    </row>
    <row r="20" spans="1:65" ht="9" customHeight="1" x14ac:dyDescent="0.2">
      <c r="A20" s="611" t="str">
        <f>'Published Balance'!A20</f>
        <v>Gas works</v>
      </c>
      <c r="B20" s="611">
        <f t="shared" ca="1" si="9"/>
        <v>0</v>
      </c>
      <c r="C20" s="611">
        <f t="shared" ca="1" si="10"/>
        <v>0</v>
      </c>
      <c r="D20" s="611">
        <f t="shared" ca="1" si="11"/>
        <v>0</v>
      </c>
      <c r="E20" s="611">
        <f t="shared" ca="1" si="12"/>
        <v>0</v>
      </c>
      <c r="F20" s="611">
        <f t="shared" ca="1" si="13"/>
        <v>0</v>
      </c>
      <c r="G20" s="611">
        <f t="shared" ca="1" si="14"/>
        <v>0</v>
      </c>
      <c r="H20" s="611">
        <f t="shared" ca="1" si="15"/>
        <v>0</v>
      </c>
      <c r="I20" s="611">
        <f t="shared" ca="1" si="16"/>
        <v>0</v>
      </c>
      <c r="J20" s="611">
        <f t="shared" ca="1" si="17"/>
        <v>0</v>
      </c>
      <c r="K20" s="611">
        <f t="shared" ca="1" si="18"/>
        <v>0</v>
      </c>
      <c r="L20" s="611">
        <f t="shared" ca="1" si="19"/>
        <v>0</v>
      </c>
      <c r="M20" s="611"/>
      <c r="N20" s="613" t="str">
        <f>HLOOKUP(LangChoice,$AB$3:$AD$49,$AA18+1)</f>
        <v>Calculate the ratio Statistical difference / TPES for each fuel to evaluate the size of the problem</v>
      </c>
      <c r="O20" s="611"/>
      <c r="P20" s="611"/>
      <c r="Q20" s="611"/>
      <c r="R20" s="611"/>
      <c r="S20" s="611"/>
      <c r="T20" s="611"/>
      <c r="U20" s="611"/>
      <c r="V20" s="611"/>
      <c r="W20" s="611"/>
      <c r="X20" s="611"/>
      <c r="Y20" s="611"/>
      <c r="Z20" s="611"/>
      <c r="AA20" s="20">
        <v>17</v>
      </c>
      <c r="AB20" s="609" t="s">
        <v>7110</v>
      </c>
      <c r="AC20" s="612" t="str">
        <f>AB20</f>
        <v>Scenario 2: Transformation efficiencies</v>
      </c>
      <c r="AD20" s="611"/>
      <c r="AE20" s="611"/>
      <c r="AF20" s="611"/>
      <c r="AG20" s="611">
        <v>0</v>
      </c>
      <c r="AH20" s="611">
        <v>0</v>
      </c>
      <c r="AI20" s="611">
        <v>0</v>
      </c>
      <c r="AJ20" s="611">
        <v>0</v>
      </c>
      <c r="AK20" s="611">
        <v>0</v>
      </c>
      <c r="AL20" s="611">
        <v>0</v>
      </c>
      <c r="AM20" s="611">
        <v>0</v>
      </c>
      <c r="AN20" s="611">
        <v>0</v>
      </c>
      <c r="AO20" s="611">
        <v>0</v>
      </c>
      <c r="AP20" s="611">
        <v>0</v>
      </c>
      <c r="AQ20" s="1103">
        <f t="shared" si="48"/>
        <v>0</v>
      </c>
      <c r="AR20" s="611">
        <v>0</v>
      </c>
      <c r="AS20" s="611">
        <v>0</v>
      </c>
      <c r="AT20" s="611">
        <v>0</v>
      </c>
      <c r="AU20" s="611">
        <v>0</v>
      </c>
      <c r="AV20" s="611">
        <v>0</v>
      </c>
      <c r="AW20" s="611">
        <v>0</v>
      </c>
      <c r="AX20" s="611">
        <v>0</v>
      </c>
      <c r="AY20" s="611">
        <v>0</v>
      </c>
      <c r="AZ20" s="611">
        <v>0</v>
      </c>
      <c r="BA20" s="611">
        <v>0</v>
      </c>
      <c r="BB20" s="1103">
        <f t="shared" si="49"/>
        <v>0</v>
      </c>
      <c r="BC20" s="611">
        <v>0</v>
      </c>
      <c r="BD20" s="611">
        <v>0</v>
      </c>
      <c r="BE20" s="611">
        <v>0</v>
      </c>
      <c r="BF20" s="611">
        <v>0</v>
      </c>
      <c r="BG20" s="611">
        <v>0</v>
      </c>
      <c r="BH20" s="611">
        <v>0</v>
      </c>
      <c r="BI20" s="611">
        <v>0</v>
      </c>
      <c r="BJ20" s="611">
        <v>0</v>
      </c>
      <c r="BK20" s="611">
        <v>0</v>
      </c>
      <c r="BL20" s="611">
        <v>0</v>
      </c>
      <c r="BM20" s="1103">
        <f t="shared" si="50"/>
        <v>0</v>
      </c>
    </row>
    <row r="21" spans="1:65" x14ac:dyDescent="0.15">
      <c r="A21" s="611" t="str">
        <f>'Published Balance'!A21</f>
        <v>Coke/pat. fuel/BKB/PB plants</v>
      </c>
      <c r="B21" s="611">
        <f t="shared" ca="1" si="9"/>
        <v>0</v>
      </c>
      <c r="C21" s="611">
        <f t="shared" ca="1" si="10"/>
        <v>0</v>
      </c>
      <c r="D21" s="611">
        <f t="shared" ca="1" si="11"/>
        <v>0</v>
      </c>
      <c r="E21" s="611">
        <f t="shared" ca="1" si="12"/>
        <v>0</v>
      </c>
      <c r="F21" s="611">
        <f t="shared" ca="1" si="13"/>
        <v>0</v>
      </c>
      <c r="G21" s="611">
        <f t="shared" ca="1" si="14"/>
        <v>0</v>
      </c>
      <c r="H21" s="611">
        <f t="shared" ca="1" si="15"/>
        <v>0</v>
      </c>
      <c r="I21" s="611">
        <f t="shared" ca="1" si="16"/>
        <v>0</v>
      </c>
      <c r="J21" s="611">
        <f t="shared" ca="1" si="17"/>
        <v>0</v>
      </c>
      <c r="K21" s="611">
        <f t="shared" ca="1" si="18"/>
        <v>0</v>
      </c>
      <c r="L21" s="611">
        <f t="shared" ca="1" si="19"/>
        <v>0</v>
      </c>
      <c r="M21" s="611"/>
      <c r="N21" s="613" t="str">
        <f>HLOOKUP(LangChoice,$AB$3:$AD$49,$AA19+1)</f>
        <v>There is only one issue for each fuel</v>
      </c>
      <c r="O21" s="611"/>
      <c r="P21" s="611"/>
      <c r="Q21" s="611"/>
      <c r="R21" s="611"/>
      <c r="S21" s="611"/>
      <c r="T21" s="611"/>
      <c r="U21" s="611"/>
      <c r="V21" s="611"/>
      <c r="W21" s="611"/>
      <c r="X21" s="611"/>
      <c r="Y21" s="611"/>
      <c r="Z21" s="611"/>
      <c r="AA21" s="209">
        <v>18</v>
      </c>
      <c r="AB21" s="209" t="s">
        <v>7135</v>
      </c>
      <c r="AC21" s="611" t="s">
        <v>7136</v>
      </c>
      <c r="AD21" s="611"/>
      <c r="AE21" s="611"/>
      <c r="AF21" s="611"/>
      <c r="AG21" s="611">
        <v>0</v>
      </c>
      <c r="AH21" s="611">
        <v>0</v>
      </c>
      <c r="AI21" s="611">
        <v>0</v>
      </c>
      <c r="AJ21" s="611">
        <v>0</v>
      </c>
      <c r="AK21" s="611">
        <v>0</v>
      </c>
      <c r="AL21" s="611">
        <v>0</v>
      </c>
      <c r="AM21" s="611">
        <v>0</v>
      </c>
      <c r="AN21" s="611">
        <v>0</v>
      </c>
      <c r="AO21" s="611">
        <v>0</v>
      </c>
      <c r="AP21" s="611">
        <v>0</v>
      </c>
      <c r="AQ21" s="1103">
        <f t="shared" si="48"/>
        <v>0</v>
      </c>
      <c r="AR21" s="611">
        <v>0</v>
      </c>
      <c r="AS21" s="611">
        <v>0</v>
      </c>
      <c r="AT21" s="611">
        <v>0</v>
      </c>
      <c r="AU21" s="611">
        <v>0</v>
      </c>
      <c r="AV21" s="611">
        <v>0</v>
      </c>
      <c r="AW21" s="611">
        <v>0</v>
      </c>
      <c r="AX21" s="611">
        <v>0</v>
      </c>
      <c r="AY21" s="611">
        <v>0</v>
      </c>
      <c r="AZ21" s="611">
        <v>0</v>
      </c>
      <c r="BA21" s="611">
        <v>0</v>
      </c>
      <c r="BB21" s="1103">
        <f t="shared" si="49"/>
        <v>0</v>
      </c>
      <c r="BC21" s="611">
        <v>0</v>
      </c>
      <c r="BD21" s="611">
        <v>0</v>
      </c>
      <c r="BE21" s="611">
        <v>0</v>
      </c>
      <c r="BF21" s="611">
        <v>0</v>
      </c>
      <c r="BG21" s="611">
        <v>0</v>
      </c>
      <c r="BH21" s="611">
        <v>0</v>
      </c>
      <c r="BI21" s="611">
        <v>0</v>
      </c>
      <c r="BJ21" s="611">
        <v>0</v>
      </c>
      <c r="BK21" s="611">
        <v>0</v>
      </c>
      <c r="BL21" s="611">
        <v>0</v>
      </c>
      <c r="BM21" s="1103">
        <f t="shared" si="50"/>
        <v>0</v>
      </c>
    </row>
    <row r="22" spans="1:65" ht="9" customHeight="1" x14ac:dyDescent="0.2">
      <c r="A22" s="611" t="str">
        <f>'Published Balance'!A22</f>
        <v>Oil refineries</v>
      </c>
      <c r="B22" s="611">
        <f t="shared" ca="1" si="9"/>
        <v>0</v>
      </c>
      <c r="C22" s="611">
        <f t="shared" ca="1" si="10"/>
        <v>-995</v>
      </c>
      <c r="D22" s="611">
        <f t="shared" ca="1" si="11"/>
        <v>950</v>
      </c>
      <c r="E22" s="611">
        <f t="shared" ca="1" si="12"/>
        <v>0</v>
      </c>
      <c r="F22" s="611">
        <f t="shared" ca="1" si="13"/>
        <v>0</v>
      </c>
      <c r="G22" s="611">
        <f t="shared" ca="1" si="14"/>
        <v>0</v>
      </c>
      <c r="H22" s="611">
        <f t="shared" ca="1" si="15"/>
        <v>0</v>
      </c>
      <c r="I22" s="611">
        <f t="shared" ca="1" si="16"/>
        <v>0</v>
      </c>
      <c r="J22" s="611">
        <f t="shared" ca="1" si="17"/>
        <v>0</v>
      </c>
      <c r="K22" s="611">
        <f t="shared" ca="1" si="18"/>
        <v>0</v>
      </c>
      <c r="L22" s="611">
        <f t="shared" ca="1" si="19"/>
        <v>-45</v>
      </c>
      <c r="M22" s="611"/>
      <c r="O22" s="611"/>
      <c r="P22" s="611"/>
      <c r="Q22" s="611"/>
      <c r="R22" s="611"/>
      <c r="S22" s="611"/>
      <c r="T22" s="611"/>
      <c r="U22" s="611"/>
      <c r="V22" s="611"/>
      <c r="W22" s="611"/>
      <c r="X22" s="611"/>
      <c r="Y22" s="611"/>
      <c r="Z22" s="611"/>
      <c r="AA22" s="20">
        <v>19</v>
      </c>
      <c r="AB22" s="611" t="s">
        <v>7129</v>
      </c>
      <c r="AC22" s="611" t="s">
        <v>7130</v>
      </c>
      <c r="AD22" s="611"/>
      <c r="AE22" s="611"/>
      <c r="AF22" s="611"/>
      <c r="AG22" s="611">
        <v>0</v>
      </c>
      <c r="AH22" s="612">
        <v>-995</v>
      </c>
      <c r="AI22" s="612">
        <v>950</v>
      </c>
      <c r="AJ22" s="611">
        <v>0</v>
      </c>
      <c r="AK22" s="611">
        <v>0</v>
      </c>
      <c r="AL22" s="611">
        <v>0</v>
      </c>
      <c r="AM22" s="611">
        <v>0</v>
      </c>
      <c r="AN22" s="611">
        <v>0</v>
      </c>
      <c r="AO22" s="611">
        <v>0</v>
      </c>
      <c r="AP22" s="611">
        <v>0</v>
      </c>
      <c r="AQ22" s="1103">
        <f t="shared" si="48"/>
        <v>-45</v>
      </c>
      <c r="AR22" s="611">
        <v>0</v>
      </c>
      <c r="AS22" s="612">
        <v>-10000</v>
      </c>
      <c r="AT22" s="1124">
        <v>11000</v>
      </c>
      <c r="AU22" s="611">
        <v>0</v>
      </c>
      <c r="AV22" s="611">
        <v>0</v>
      </c>
      <c r="AW22" s="611">
        <v>0</v>
      </c>
      <c r="AX22" s="611">
        <v>0</v>
      </c>
      <c r="AY22" s="611">
        <v>0</v>
      </c>
      <c r="AZ22" s="611">
        <v>0</v>
      </c>
      <c r="BA22" s="611">
        <v>0</v>
      </c>
      <c r="BB22" s="1103">
        <f t="shared" si="49"/>
        <v>1000</v>
      </c>
      <c r="BC22" s="611">
        <v>0</v>
      </c>
      <c r="BD22" s="612">
        <v>-10000</v>
      </c>
      <c r="BE22" s="612">
        <v>9750</v>
      </c>
      <c r="BF22" s="611">
        <v>0</v>
      </c>
      <c r="BG22" s="611">
        <v>0</v>
      </c>
      <c r="BH22" s="611">
        <v>0</v>
      </c>
      <c r="BI22" s="611">
        <v>0</v>
      </c>
      <c r="BJ22" s="611">
        <v>0</v>
      </c>
      <c r="BK22" s="611">
        <v>0</v>
      </c>
      <c r="BL22" s="611">
        <v>0</v>
      </c>
      <c r="BM22" s="1103">
        <f t="shared" si="50"/>
        <v>-250</v>
      </c>
    </row>
    <row r="23" spans="1:65" ht="9" customHeight="1" x14ac:dyDescent="0.15">
      <c r="A23" s="611" t="str">
        <f>'Published Balance'!A23</f>
        <v>Petrochemical plants</v>
      </c>
      <c r="B23" s="611">
        <f t="shared" ca="1" si="9"/>
        <v>0</v>
      </c>
      <c r="C23" s="611">
        <f t="shared" ca="1" si="10"/>
        <v>0</v>
      </c>
      <c r="D23" s="611">
        <f t="shared" ca="1" si="11"/>
        <v>0</v>
      </c>
      <c r="E23" s="611">
        <f t="shared" ca="1" si="12"/>
        <v>0</v>
      </c>
      <c r="F23" s="611">
        <f t="shared" ca="1" si="13"/>
        <v>0</v>
      </c>
      <c r="G23" s="611">
        <f t="shared" ca="1" si="14"/>
        <v>0</v>
      </c>
      <c r="H23" s="611">
        <f t="shared" ca="1" si="15"/>
        <v>0</v>
      </c>
      <c r="I23" s="611">
        <f t="shared" ca="1" si="16"/>
        <v>0</v>
      </c>
      <c r="J23" s="611">
        <f t="shared" ca="1" si="17"/>
        <v>0</v>
      </c>
      <c r="K23" s="611">
        <f t="shared" ca="1" si="18"/>
        <v>0</v>
      </c>
      <c r="L23" s="611">
        <f t="shared" ca="1" si="19"/>
        <v>0</v>
      </c>
      <c r="M23" s="611"/>
      <c r="O23" s="611"/>
      <c r="P23" s="611"/>
      <c r="Q23" s="611"/>
      <c r="R23" s="611"/>
      <c r="S23" s="611"/>
      <c r="T23" s="611"/>
      <c r="U23" s="611"/>
      <c r="V23" s="611"/>
      <c r="W23" s="611"/>
      <c r="X23" s="611"/>
      <c r="Y23" s="611"/>
      <c r="Z23" s="611"/>
      <c r="AA23" s="209">
        <v>20</v>
      </c>
      <c r="AB23" s="611" t="s">
        <v>7137</v>
      </c>
      <c r="AC23" s="611" t="s">
        <v>7138</v>
      </c>
      <c r="AD23" s="611"/>
      <c r="AE23" s="611"/>
      <c r="AF23" s="611"/>
      <c r="AG23" s="611">
        <v>0</v>
      </c>
      <c r="AH23" s="611">
        <v>0</v>
      </c>
      <c r="AI23" s="611">
        <v>0</v>
      </c>
      <c r="AJ23" s="611">
        <v>0</v>
      </c>
      <c r="AK23" s="611">
        <v>0</v>
      </c>
      <c r="AL23" s="611">
        <v>0</v>
      </c>
      <c r="AM23" s="611">
        <v>0</v>
      </c>
      <c r="AN23" s="611">
        <v>0</v>
      </c>
      <c r="AO23" s="611">
        <v>0</v>
      </c>
      <c r="AP23" s="611">
        <v>0</v>
      </c>
      <c r="AQ23" s="1103">
        <f t="shared" si="48"/>
        <v>0</v>
      </c>
      <c r="AR23" s="611">
        <v>0</v>
      </c>
      <c r="AS23" s="611">
        <v>0</v>
      </c>
      <c r="AT23" s="611">
        <v>0</v>
      </c>
      <c r="AU23" s="611">
        <v>0</v>
      </c>
      <c r="AV23" s="611">
        <v>0</v>
      </c>
      <c r="AW23" s="611">
        <v>0</v>
      </c>
      <c r="AX23" s="611">
        <v>0</v>
      </c>
      <c r="AY23" s="611">
        <v>0</v>
      </c>
      <c r="AZ23" s="611">
        <v>0</v>
      </c>
      <c r="BA23" s="611">
        <v>0</v>
      </c>
      <c r="BB23" s="1103">
        <f t="shared" si="49"/>
        <v>0</v>
      </c>
      <c r="BC23" s="611">
        <v>0</v>
      </c>
      <c r="BD23" s="611">
        <v>0</v>
      </c>
      <c r="BE23" s="611">
        <v>0</v>
      </c>
      <c r="BF23" s="611">
        <v>0</v>
      </c>
      <c r="BG23" s="611">
        <v>0</v>
      </c>
      <c r="BH23" s="611">
        <v>0</v>
      </c>
      <c r="BI23" s="611">
        <v>0</v>
      </c>
      <c r="BJ23" s="611">
        <v>0</v>
      </c>
      <c r="BK23" s="611">
        <v>0</v>
      </c>
      <c r="BL23" s="611">
        <v>0</v>
      </c>
      <c r="BM23" s="1103">
        <f t="shared" si="50"/>
        <v>0</v>
      </c>
    </row>
    <row r="24" spans="1:65" ht="9" customHeight="1" x14ac:dyDescent="0.2">
      <c r="A24" s="611" t="str">
        <f>'Published Balance'!A24</f>
        <v>Liquefaction plants</v>
      </c>
      <c r="B24" s="611">
        <f t="shared" ca="1" si="9"/>
        <v>0</v>
      </c>
      <c r="C24" s="611">
        <f t="shared" ca="1" si="10"/>
        <v>0</v>
      </c>
      <c r="D24" s="611">
        <f t="shared" ca="1" si="11"/>
        <v>0</v>
      </c>
      <c r="E24" s="611">
        <f t="shared" ca="1" si="12"/>
        <v>0</v>
      </c>
      <c r="F24" s="611">
        <f t="shared" ca="1" si="13"/>
        <v>0</v>
      </c>
      <c r="G24" s="611">
        <f t="shared" ca="1" si="14"/>
        <v>0</v>
      </c>
      <c r="H24" s="611">
        <f t="shared" ca="1" si="15"/>
        <v>0</v>
      </c>
      <c r="I24" s="611">
        <f t="shared" ca="1" si="16"/>
        <v>0</v>
      </c>
      <c r="J24" s="611">
        <f t="shared" ca="1" si="17"/>
        <v>0</v>
      </c>
      <c r="K24" s="611">
        <f t="shared" ca="1" si="18"/>
        <v>0</v>
      </c>
      <c r="L24" s="611">
        <f t="shared" ca="1" si="19"/>
        <v>0</v>
      </c>
      <c r="M24" s="611"/>
      <c r="O24" s="611"/>
      <c r="P24" s="611"/>
      <c r="Q24" s="611"/>
      <c r="R24" s="611"/>
      <c r="S24" s="611"/>
      <c r="T24" s="611"/>
      <c r="U24" s="611"/>
      <c r="V24" s="611"/>
      <c r="W24" s="611"/>
      <c r="X24" s="611"/>
      <c r="Y24" s="611"/>
      <c r="Z24" s="611"/>
      <c r="AA24" s="20">
        <v>21</v>
      </c>
      <c r="AB24" s="611" t="s">
        <v>7139</v>
      </c>
      <c r="AC24" s="611" t="s">
        <v>7140</v>
      </c>
      <c r="AD24" s="611"/>
      <c r="AE24" s="611"/>
      <c r="AF24" s="611"/>
      <c r="AG24" s="611">
        <v>0</v>
      </c>
      <c r="AH24" s="611">
        <v>0</v>
      </c>
      <c r="AI24" s="611">
        <v>0</v>
      </c>
      <c r="AJ24" s="611">
        <v>0</v>
      </c>
      <c r="AK24" s="611">
        <v>0</v>
      </c>
      <c r="AL24" s="611">
        <v>0</v>
      </c>
      <c r="AM24" s="611">
        <v>0</v>
      </c>
      <c r="AN24" s="611">
        <v>0</v>
      </c>
      <c r="AO24" s="611">
        <v>0</v>
      </c>
      <c r="AP24" s="611">
        <v>0</v>
      </c>
      <c r="AQ24" s="1103">
        <f t="shared" si="48"/>
        <v>0</v>
      </c>
      <c r="AR24" s="611">
        <v>0</v>
      </c>
      <c r="AS24" s="611">
        <v>0</v>
      </c>
      <c r="AT24" s="611">
        <v>0</v>
      </c>
      <c r="AU24" s="611">
        <v>0</v>
      </c>
      <c r="AV24" s="611">
        <v>0</v>
      </c>
      <c r="AW24" s="611">
        <v>0</v>
      </c>
      <c r="AX24" s="611">
        <v>0</v>
      </c>
      <c r="AY24" s="611">
        <v>0</v>
      </c>
      <c r="AZ24" s="611">
        <v>0</v>
      </c>
      <c r="BA24" s="611">
        <v>0</v>
      </c>
      <c r="BB24" s="1103">
        <f t="shared" si="49"/>
        <v>0</v>
      </c>
      <c r="BC24" s="1125">
        <v>-400</v>
      </c>
      <c r="BD24" s="611">
        <v>0</v>
      </c>
      <c r="BE24" s="1125">
        <v>250</v>
      </c>
      <c r="BF24" s="611">
        <v>0</v>
      </c>
      <c r="BG24" s="611">
        <v>0</v>
      </c>
      <c r="BH24" s="611">
        <v>0</v>
      </c>
      <c r="BI24" s="611">
        <v>0</v>
      </c>
      <c r="BJ24" s="611">
        <v>0</v>
      </c>
      <c r="BK24" s="611">
        <v>0</v>
      </c>
      <c r="BL24" s="611">
        <v>0</v>
      </c>
      <c r="BM24" s="1103">
        <f t="shared" si="50"/>
        <v>-150</v>
      </c>
    </row>
    <row r="25" spans="1:65" ht="9" customHeight="1" x14ac:dyDescent="0.15">
      <c r="A25" s="611" t="str">
        <f>'Published Balance'!A25</f>
        <v>Other transformation</v>
      </c>
      <c r="B25" s="611">
        <f t="shared" ca="1" si="9"/>
        <v>0</v>
      </c>
      <c r="C25" s="611">
        <f t="shared" ca="1" si="10"/>
        <v>0</v>
      </c>
      <c r="D25" s="611">
        <f t="shared" ca="1" si="11"/>
        <v>0</v>
      </c>
      <c r="E25" s="611">
        <f t="shared" ca="1" si="12"/>
        <v>0</v>
      </c>
      <c r="F25" s="611">
        <f t="shared" ca="1" si="13"/>
        <v>0</v>
      </c>
      <c r="G25" s="611">
        <f t="shared" ca="1" si="14"/>
        <v>0</v>
      </c>
      <c r="H25" s="611">
        <f t="shared" ca="1" si="15"/>
        <v>0</v>
      </c>
      <c r="I25" s="611">
        <f t="shared" ca="1" si="16"/>
        <v>0</v>
      </c>
      <c r="J25" s="611">
        <f t="shared" ca="1" si="17"/>
        <v>0</v>
      </c>
      <c r="K25" s="611">
        <f t="shared" ca="1" si="18"/>
        <v>0</v>
      </c>
      <c r="L25" s="611">
        <f t="shared" ca="1" si="19"/>
        <v>0</v>
      </c>
      <c r="M25" s="611"/>
      <c r="O25" s="611"/>
      <c r="P25" s="611"/>
      <c r="Q25" s="611"/>
      <c r="R25" s="611"/>
      <c r="S25" s="611"/>
      <c r="T25" s="611"/>
      <c r="U25" s="611"/>
      <c r="V25" s="611"/>
      <c r="W25" s="611"/>
      <c r="X25" s="611"/>
      <c r="Y25" s="611"/>
      <c r="Z25" s="611"/>
      <c r="AA25" s="209">
        <v>22</v>
      </c>
      <c r="AB25" s="611" t="s">
        <v>7141</v>
      </c>
      <c r="AC25" s="611" t="s">
        <v>7142</v>
      </c>
      <c r="AD25" s="611"/>
      <c r="AE25" s="611"/>
      <c r="AF25" s="611"/>
      <c r="AG25" s="611">
        <v>0</v>
      </c>
      <c r="AH25" s="611">
        <v>0</v>
      </c>
      <c r="AI25" s="611">
        <v>0</v>
      </c>
      <c r="AJ25" s="611">
        <v>0</v>
      </c>
      <c r="AK25" s="611">
        <v>0</v>
      </c>
      <c r="AL25" s="611">
        <v>0</v>
      </c>
      <c r="AM25" s="611">
        <v>0</v>
      </c>
      <c r="AN25" s="611">
        <v>0</v>
      </c>
      <c r="AO25" s="611">
        <v>0</v>
      </c>
      <c r="AP25" s="611">
        <v>0</v>
      </c>
      <c r="AQ25" s="1103">
        <f t="shared" si="48"/>
        <v>0</v>
      </c>
      <c r="AR25" s="611">
        <v>0</v>
      </c>
      <c r="AS25" s="611">
        <v>0</v>
      </c>
      <c r="AT25" s="611">
        <v>0</v>
      </c>
      <c r="AU25" s="611">
        <v>0</v>
      </c>
      <c r="AV25" s="611">
        <v>0</v>
      </c>
      <c r="AW25" s="611">
        <v>0</v>
      </c>
      <c r="AX25" s="611">
        <v>0</v>
      </c>
      <c r="AY25" s="611">
        <v>0</v>
      </c>
      <c r="AZ25" s="611">
        <v>0</v>
      </c>
      <c r="BA25" s="611">
        <v>0</v>
      </c>
      <c r="BB25" s="1103">
        <f t="shared" si="49"/>
        <v>0</v>
      </c>
      <c r="BC25" s="611">
        <v>0</v>
      </c>
      <c r="BD25" s="611">
        <v>0</v>
      </c>
      <c r="BE25" s="611">
        <v>0</v>
      </c>
      <c r="BF25" s="611">
        <v>0</v>
      </c>
      <c r="BG25" s="611">
        <v>0</v>
      </c>
      <c r="BH25" s="611">
        <v>0</v>
      </c>
      <c r="BI25" s="611">
        <v>0</v>
      </c>
      <c r="BJ25" s="611">
        <v>0</v>
      </c>
      <c r="BK25" s="611">
        <v>0</v>
      </c>
      <c r="BL25" s="611">
        <v>0</v>
      </c>
      <c r="BM25" s="1103">
        <f t="shared" si="50"/>
        <v>0</v>
      </c>
    </row>
    <row r="26" spans="1:65" ht="9" customHeight="1" x14ac:dyDescent="0.2">
      <c r="A26" s="611" t="str">
        <f>'Published Balance'!A26</f>
        <v>Energy industry own use</v>
      </c>
      <c r="B26" s="611">
        <f t="shared" ca="1" si="9"/>
        <v>0</v>
      </c>
      <c r="C26" s="611">
        <f t="shared" ca="1" si="10"/>
        <v>0</v>
      </c>
      <c r="D26" s="611">
        <f t="shared" ca="1" si="11"/>
        <v>0</v>
      </c>
      <c r="E26" s="611">
        <f t="shared" ca="1" si="12"/>
        <v>0</v>
      </c>
      <c r="F26" s="611">
        <f t="shared" ca="1" si="13"/>
        <v>0</v>
      </c>
      <c r="G26" s="611">
        <f t="shared" ca="1" si="14"/>
        <v>0</v>
      </c>
      <c r="H26" s="611">
        <f t="shared" ca="1" si="15"/>
        <v>0</v>
      </c>
      <c r="I26" s="611">
        <f t="shared" ca="1" si="16"/>
        <v>0</v>
      </c>
      <c r="J26" s="611">
        <f t="shared" ca="1" si="17"/>
        <v>0</v>
      </c>
      <c r="K26" s="611">
        <f t="shared" ca="1" si="18"/>
        <v>0</v>
      </c>
      <c r="L26" s="611">
        <f t="shared" ca="1" si="19"/>
        <v>0</v>
      </c>
      <c r="M26" s="611"/>
      <c r="N26" s="2315" t="str">
        <f>HLOOKUP(LangChoice,$AB$3:$AD$49,$AA20+1)</f>
        <v>Scenario 2: Transformation efficiencies</v>
      </c>
      <c r="O26" s="611"/>
      <c r="P26" s="611"/>
      <c r="Q26" s="611"/>
      <c r="R26" s="611"/>
      <c r="S26" s="611"/>
      <c r="T26" s="611"/>
      <c r="U26" s="611"/>
      <c r="V26" s="611"/>
      <c r="W26" s="611"/>
      <c r="X26" s="611"/>
      <c r="Y26" s="611"/>
      <c r="Z26" s="611"/>
      <c r="AA26" s="20">
        <v>23</v>
      </c>
      <c r="AB26" s="611" t="s">
        <v>7143</v>
      </c>
      <c r="AC26" s="611" t="s">
        <v>7144</v>
      </c>
      <c r="AD26" s="611"/>
      <c r="AE26" s="611"/>
      <c r="AF26" s="611"/>
      <c r="AG26" s="611">
        <v>0</v>
      </c>
      <c r="AH26" s="611">
        <v>0</v>
      </c>
      <c r="AI26" s="611">
        <v>0</v>
      </c>
      <c r="AJ26" s="611">
        <v>0</v>
      </c>
      <c r="AK26" s="611">
        <v>0</v>
      </c>
      <c r="AL26" s="611">
        <v>0</v>
      </c>
      <c r="AM26" s="611">
        <v>0</v>
      </c>
      <c r="AN26" s="611">
        <v>0</v>
      </c>
      <c r="AO26" s="611">
        <v>0</v>
      </c>
      <c r="AP26" s="611">
        <v>0</v>
      </c>
      <c r="AQ26" s="1103">
        <f t="shared" si="48"/>
        <v>0</v>
      </c>
      <c r="AR26" s="611">
        <v>0</v>
      </c>
      <c r="AS26" s="611">
        <v>0</v>
      </c>
      <c r="AT26" s="611">
        <v>0</v>
      </c>
      <c r="AU26" s="611">
        <v>0</v>
      </c>
      <c r="AV26" s="611">
        <v>0</v>
      </c>
      <c r="AW26" s="611">
        <v>0</v>
      </c>
      <c r="AX26" s="611">
        <v>0</v>
      </c>
      <c r="AY26" s="611">
        <v>0</v>
      </c>
      <c r="AZ26" s="611">
        <v>0</v>
      </c>
      <c r="BA26" s="611">
        <v>0</v>
      </c>
      <c r="BB26" s="1103">
        <f t="shared" si="49"/>
        <v>0</v>
      </c>
      <c r="BC26" s="611">
        <v>0</v>
      </c>
      <c r="BD26" s="611">
        <v>0</v>
      </c>
      <c r="BE26" s="611">
        <v>0</v>
      </c>
      <c r="BF26" s="611">
        <v>0</v>
      </c>
      <c r="BG26" s="611">
        <v>0</v>
      </c>
      <c r="BH26" s="611">
        <v>0</v>
      </c>
      <c r="BI26" s="611">
        <v>0</v>
      </c>
      <c r="BJ26" s="611">
        <v>0</v>
      </c>
      <c r="BK26" s="611">
        <v>0</v>
      </c>
      <c r="BL26" s="611">
        <v>0</v>
      </c>
      <c r="BM26" s="1103">
        <f t="shared" si="50"/>
        <v>0</v>
      </c>
    </row>
    <row r="27" spans="1:65" ht="9" customHeight="1" x14ac:dyDescent="0.15">
      <c r="A27" s="830" t="str">
        <f>'Published Balance'!A27</f>
        <v>Losses</v>
      </c>
      <c r="B27" s="830">
        <f t="shared" ca="1" si="9"/>
        <v>0</v>
      </c>
      <c r="C27" s="830">
        <f t="shared" ca="1" si="10"/>
        <v>0</v>
      </c>
      <c r="D27" s="830">
        <f t="shared" ca="1" si="11"/>
        <v>0</v>
      </c>
      <c r="E27" s="830">
        <f t="shared" ca="1" si="12"/>
        <v>0</v>
      </c>
      <c r="F27" s="830">
        <f t="shared" ca="1" si="13"/>
        <v>0</v>
      </c>
      <c r="G27" s="830">
        <f t="shared" ca="1" si="14"/>
        <v>0</v>
      </c>
      <c r="H27" s="830">
        <f t="shared" ca="1" si="15"/>
        <v>0</v>
      </c>
      <c r="I27" s="830">
        <f t="shared" ca="1" si="16"/>
        <v>0</v>
      </c>
      <c r="J27" s="830">
        <f t="shared" ca="1" si="17"/>
        <v>0</v>
      </c>
      <c r="K27" s="830">
        <f t="shared" ca="1" si="18"/>
        <v>0</v>
      </c>
      <c r="L27" s="830">
        <f t="shared" ca="1" si="19"/>
        <v>0</v>
      </c>
      <c r="M27" s="611"/>
      <c r="N27" s="2316"/>
      <c r="O27" s="611"/>
      <c r="P27" s="611"/>
      <c r="Q27" s="611"/>
      <c r="R27" s="611"/>
      <c r="S27" s="611"/>
      <c r="T27" s="611"/>
      <c r="U27" s="611"/>
      <c r="V27" s="611"/>
      <c r="W27" s="611"/>
      <c r="X27" s="611"/>
      <c r="Y27" s="611"/>
      <c r="Z27" s="611"/>
      <c r="AA27" s="209">
        <v>24</v>
      </c>
      <c r="AB27" s="611" t="s">
        <v>7145</v>
      </c>
      <c r="AC27" s="611" t="s">
        <v>7146</v>
      </c>
      <c r="AD27" s="611"/>
      <c r="AE27" s="611"/>
      <c r="AF27" s="611"/>
      <c r="AG27" s="611">
        <v>0</v>
      </c>
      <c r="AH27" s="611">
        <v>0</v>
      </c>
      <c r="AI27" s="611">
        <v>0</v>
      </c>
      <c r="AJ27" s="611">
        <v>0</v>
      </c>
      <c r="AK27" s="611">
        <v>0</v>
      </c>
      <c r="AL27" s="611">
        <v>0</v>
      </c>
      <c r="AM27" s="611">
        <v>0</v>
      </c>
      <c r="AN27" s="611">
        <v>0</v>
      </c>
      <c r="AO27" s="1115">
        <v>0</v>
      </c>
      <c r="AP27" s="611">
        <v>0</v>
      </c>
      <c r="AQ27" s="1103">
        <f t="shared" si="48"/>
        <v>0</v>
      </c>
      <c r="AR27" s="611">
        <v>0</v>
      </c>
      <c r="AS27" s="611">
        <v>0</v>
      </c>
      <c r="AT27" s="611">
        <v>0</v>
      </c>
      <c r="AU27" s="611">
        <v>0</v>
      </c>
      <c r="AV27" s="611">
        <v>0</v>
      </c>
      <c r="AW27" s="611">
        <v>0</v>
      </c>
      <c r="AX27" s="611">
        <v>0</v>
      </c>
      <c r="AY27" s="611">
        <v>0</v>
      </c>
      <c r="AZ27" s="612">
        <v>-700</v>
      </c>
      <c r="BA27" s="611">
        <v>0</v>
      </c>
      <c r="BB27" s="1103">
        <f t="shared" si="49"/>
        <v>-700</v>
      </c>
      <c r="BC27" s="611">
        <v>0</v>
      </c>
      <c r="BD27" s="611">
        <v>0</v>
      </c>
      <c r="BE27" s="611">
        <v>0</v>
      </c>
      <c r="BF27" s="611">
        <v>0</v>
      </c>
      <c r="BG27" s="611">
        <v>0</v>
      </c>
      <c r="BH27" s="611">
        <v>0</v>
      </c>
      <c r="BI27" s="611">
        <v>0</v>
      </c>
      <c r="BJ27" s="611">
        <v>0</v>
      </c>
      <c r="BK27" s="612">
        <v>-700</v>
      </c>
      <c r="BL27" s="611">
        <v>0</v>
      </c>
      <c r="BM27" s="1103">
        <f t="shared" si="50"/>
        <v>-700</v>
      </c>
    </row>
    <row r="28" spans="1:65" ht="9" customHeight="1" x14ac:dyDescent="0.2">
      <c r="A28" s="831" t="str">
        <f>'Published Balance'!A28</f>
        <v>TFC</v>
      </c>
      <c r="B28" s="831">
        <f t="shared" ca="1" si="9"/>
        <v>5000</v>
      </c>
      <c r="C28" s="831">
        <f t="shared" ca="1" si="10"/>
        <v>0</v>
      </c>
      <c r="D28" s="831">
        <f t="shared" ca="1" si="11"/>
        <v>5950</v>
      </c>
      <c r="E28" s="831">
        <f t="shared" ca="1" si="12"/>
        <v>7250</v>
      </c>
      <c r="F28" s="831">
        <f t="shared" ca="1" si="13"/>
        <v>0</v>
      </c>
      <c r="G28" s="831">
        <f t="shared" ca="1" si="14"/>
        <v>0</v>
      </c>
      <c r="H28" s="831">
        <f t="shared" ca="1" si="15"/>
        <v>0</v>
      </c>
      <c r="I28" s="831">
        <f t="shared" ca="1" si="16"/>
        <v>0</v>
      </c>
      <c r="J28" s="831">
        <f t="shared" ca="1" si="17"/>
        <v>5100</v>
      </c>
      <c r="K28" s="831">
        <f t="shared" ca="1" si="18"/>
        <v>2700</v>
      </c>
      <c r="L28" s="831">
        <f t="shared" ca="1" si="19"/>
        <v>26000</v>
      </c>
      <c r="M28" s="612"/>
      <c r="N28" s="2320" t="str">
        <f>HLOOKUP(LangChoice,$AB$3:$AD$49,$AA21+1)</f>
        <v>Look at rows below “TPES” (16-25). They represent the transformation sector. Can you find out why some numbers are negative? Can you spot any discrepancies with transformation inputs and outputs?</v>
      </c>
      <c r="O28" s="612"/>
      <c r="P28" s="612"/>
      <c r="Q28" s="612"/>
      <c r="R28" s="612"/>
      <c r="S28" s="612"/>
      <c r="T28" s="612"/>
      <c r="U28" s="612"/>
      <c r="V28" s="612"/>
      <c r="W28" s="612"/>
      <c r="X28" s="612"/>
      <c r="Y28" s="612"/>
      <c r="Z28" s="612"/>
      <c r="AA28" s="20">
        <v>25</v>
      </c>
      <c r="AB28" s="611" t="s">
        <v>7147</v>
      </c>
      <c r="AC28" s="611" t="s">
        <v>7148</v>
      </c>
      <c r="AD28" s="612"/>
      <c r="AE28" s="612"/>
      <c r="AF28" s="612"/>
      <c r="AG28" s="1108">
        <f>SUM(AG29,AG43,AG50,AG56)</f>
        <v>5000</v>
      </c>
      <c r="AH28" s="1108">
        <f t="shared" ref="AH28:AP28" si="51">SUM(AH29,AH43,AH50,AH56)</f>
        <v>0</v>
      </c>
      <c r="AI28" s="1108">
        <f t="shared" si="51"/>
        <v>5950</v>
      </c>
      <c r="AJ28" s="1108">
        <f t="shared" si="51"/>
        <v>7250</v>
      </c>
      <c r="AK28" s="1108">
        <f t="shared" si="51"/>
        <v>0</v>
      </c>
      <c r="AL28" s="1108">
        <f t="shared" si="51"/>
        <v>0</v>
      </c>
      <c r="AM28" s="1108">
        <f t="shared" si="51"/>
        <v>0</v>
      </c>
      <c r="AN28" s="1108">
        <f t="shared" si="51"/>
        <v>0</v>
      </c>
      <c r="AO28" s="1108">
        <f t="shared" si="51"/>
        <v>5100</v>
      </c>
      <c r="AP28" s="1108">
        <f t="shared" si="51"/>
        <v>2700</v>
      </c>
      <c r="AQ28" s="1109">
        <f t="shared" si="48"/>
        <v>26000</v>
      </c>
      <c r="AR28" s="1108">
        <f>SUM(AR29,AR43,AR50,AR56)</f>
        <v>7500</v>
      </c>
      <c r="AS28" s="1108">
        <f t="shared" ref="AS28:BA28" si="52">SUM(AS29,AS43,AS50,AS56)</f>
        <v>0</v>
      </c>
      <c r="AT28" s="1108">
        <f t="shared" si="52"/>
        <v>11950</v>
      </c>
      <c r="AU28" s="1108">
        <f t="shared" si="52"/>
        <v>7250</v>
      </c>
      <c r="AV28" s="1108">
        <f t="shared" si="52"/>
        <v>0</v>
      </c>
      <c r="AW28" s="1108">
        <f t="shared" si="52"/>
        <v>0</v>
      </c>
      <c r="AX28" s="1108">
        <f t="shared" si="52"/>
        <v>0</v>
      </c>
      <c r="AY28" s="1108">
        <f t="shared" si="52"/>
        <v>0</v>
      </c>
      <c r="AZ28" s="1108">
        <f t="shared" si="52"/>
        <v>5100</v>
      </c>
      <c r="BA28" s="1108">
        <f t="shared" si="52"/>
        <v>2700</v>
      </c>
      <c r="BB28" s="1109">
        <f t="shared" si="49"/>
        <v>34500</v>
      </c>
      <c r="BC28" s="1108">
        <f>SUM(BC29,BC43,BC50,BC56)</f>
        <v>7650</v>
      </c>
      <c r="BD28" s="1108">
        <f t="shared" ref="BD28:BL28" si="53">SUM(BD29,BD43,BD50,BD56)</f>
        <v>600</v>
      </c>
      <c r="BE28" s="1108">
        <f t="shared" si="53"/>
        <v>11950</v>
      </c>
      <c r="BF28" s="1108">
        <f t="shared" si="53"/>
        <v>7250</v>
      </c>
      <c r="BG28" s="1108">
        <f t="shared" si="53"/>
        <v>0</v>
      </c>
      <c r="BH28" s="1108">
        <f t="shared" si="53"/>
        <v>0</v>
      </c>
      <c r="BI28" s="1108">
        <f t="shared" si="53"/>
        <v>0</v>
      </c>
      <c r="BJ28" s="1108">
        <f t="shared" si="53"/>
        <v>100</v>
      </c>
      <c r="BK28" s="1108">
        <f t="shared" si="53"/>
        <v>5100</v>
      </c>
      <c r="BL28" s="1108">
        <f t="shared" si="53"/>
        <v>2700</v>
      </c>
      <c r="BM28" s="1109">
        <f t="shared" si="50"/>
        <v>35350</v>
      </c>
    </row>
    <row r="29" spans="1:65" ht="9" customHeight="1" x14ac:dyDescent="0.15">
      <c r="A29" s="612" t="str">
        <f>'Published Balance'!A29</f>
        <v>INDUSTRY</v>
      </c>
      <c r="B29" s="612">
        <f t="shared" ca="1" si="9"/>
        <v>5000</v>
      </c>
      <c r="C29" s="612">
        <f t="shared" ca="1" si="10"/>
        <v>0</v>
      </c>
      <c r="D29" s="612">
        <f t="shared" ca="1" si="11"/>
        <v>3950</v>
      </c>
      <c r="E29" s="612">
        <f t="shared" ca="1" si="12"/>
        <v>3750</v>
      </c>
      <c r="F29" s="612">
        <f t="shared" ca="1" si="13"/>
        <v>0</v>
      </c>
      <c r="G29" s="612">
        <f t="shared" ca="1" si="14"/>
        <v>0</v>
      </c>
      <c r="H29" s="612">
        <f t="shared" ca="1" si="15"/>
        <v>0</v>
      </c>
      <c r="I29" s="612">
        <f t="shared" ca="1" si="16"/>
        <v>0</v>
      </c>
      <c r="J29" s="612">
        <f t="shared" ca="1" si="17"/>
        <v>3515</v>
      </c>
      <c r="K29" s="612">
        <f t="shared" ca="1" si="18"/>
        <v>1710</v>
      </c>
      <c r="L29" s="612">
        <f t="shared" ca="1" si="19"/>
        <v>17925</v>
      </c>
      <c r="M29" s="612"/>
      <c r="N29" s="2321"/>
      <c r="O29" s="612"/>
      <c r="P29" s="612"/>
      <c r="Q29" s="612"/>
      <c r="R29" s="612"/>
      <c r="S29" s="612"/>
      <c r="T29" s="612"/>
      <c r="U29" s="612"/>
      <c r="V29" s="612"/>
      <c r="W29" s="612"/>
      <c r="X29" s="612"/>
      <c r="Y29" s="612"/>
      <c r="Z29" s="612"/>
      <c r="AA29" s="209">
        <v>26</v>
      </c>
      <c r="AB29" s="612" t="s">
        <v>7111</v>
      </c>
      <c r="AC29" s="612" t="str">
        <f>AB29</f>
        <v>Scenario 3: Unusual data points</v>
      </c>
      <c r="AD29" s="612"/>
      <c r="AE29" s="612"/>
      <c r="AF29" s="612"/>
      <c r="AG29" s="1108">
        <f>SUM(AG30:AG42)</f>
        <v>5000</v>
      </c>
      <c r="AH29" s="1108">
        <f t="shared" ref="AH29:AP29" si="54">SUM(AH30:AH42)</f>
        <v>0</v>
      </c>
      <c r="AI29" s="1108">
        <f t="shared" si="54"/>
        <v>3950</v>
      </c>
      <c r="AJ29" s="1108">
        <f t="shared" si="54"/>
        <v>3750</v>
      </c>
      <c r="AK29" s="1108">
        <f t="shared" si="54"/>
        <v>0</v>
      </c>
      <c r="AL29" s="1108">
        <f t="shared" si="54"/>
        <v>0</v>
      </c>
      <c r="AM29" s="1108">
        <f t="shared" si="54"/>
        <v>0</v>
      </c>
      <c r="AN29" s="1108">
        <f t="shared" si="54"/>
        <v>0</v>
      </c>
      <c r="AO29" s="1108">
        <f t="shared" si="54"/>
        <v>3515</v>
      </c>
      <c r="AP29" s="1108">
        <f t="shared" si="54"/>
        <v>1710</v>
      </c>
      <c r="AQ29" s="1109">
        <f t="shared" si="48"/>
        <v>17925</v>
      </c>
      <c r="AR29" s="1108">
        <f>SUM(AR30:AR42)</f>
        <v>5000</v>
      </c>
      <c r="AS29" s="1108">
        <f t="shared" ref="AS29:BA29" si="55">SUM(AS30:AS42)</f>
        <v>0</v>
      </c>
      <c r="AT29" s="1108">
        <f t="shared" si="55"/>
        <v>3950</v>
      </c>
      <c r="AU29" s="1108">
        <f t="shared" si="55"/>
        <v>3750</v>
      </c>
      <c r="AV29" s="1108">
        <f t="shared" si="55"/>
        <v>0</v>
      </c>
      <c r="AW29" s="1108">
        <f t="shared" si="55"/>
        <v>0</v>
      </c>
      <c r="AX29" s="1108">
        <f t="shared" si="55"/>
        <v>0</v>
      </c>
      <c r="AY29" s="1108">
        <f t="shared" si="55"/>
        <v>0</v>
      </c>
      <c r="AZ29" s="1108">
        <f t="shared" si="55"/>
        <v>3515</v>
      </c>
      <c r="BA29" s="1108">
        <f t="shared" si="55"/>
        <v>1710</v>
      </c>
      <c r="BB29" s="1109">
        <f t="shared" si="49"/>
        <v>17925</v>
      </c>
      <c r="BC29" s="1108">
        <f>SUM(BC30:BC42)</f>
        <v>5000</v>
      </c>
      <c r="BD29" s="1108">
        <f t="shared" ref="BD29:BL29" si="56">SUM(BD30:BD42)</f>
        <v>500</v>
      </c>
      <c r="BE29" s="1108">
        <f t="shared" si="56"/>
        <v>3900</v>
      </c>
      <c r="BF29" s="1108">
        <f t="shared" si="56"/>
        <v>3750</v>
      </c>
      <c r="BG29" s="1108">
        <f t="shared" si="56"/>
        <v>0</v>
      </c>
      <c r="BH29" s="1108">
        <f t="shared" si="56"/>
        <v>0</v>
      </c>
      <c r="BI29" s="1108">
        <f t="shared" si="56"/>
        <v>0</v>
      </c>
      <c r="BJ29" s="1108">
        <f t="shared" si="56"/>
        <v>0</v>
      </c>
      <c r="BK29" s="1108">
        <f t="shared" si="56"/>
        <v>3415</v>
      </c>
      <c r="BL29" s="1108">
        <f t="shared" si="56"/>
        <v>1710</v>
      </c>
      <c r="BM29" s="1109">
        <f t="shared" si="50"/>
        <v>18275</v>
      </c>
    </row>
    <row r="30" spans="1:65" ht="9" customHeight="1" x14ac:dyDescent="0.2">
      <c r="A30" s="611" t="str">
        <f>'Published Balance'!A30</f>
        <v>Iron and steel</v>
      </c>
      <c r="B30" s="611">
        <f t="shared" ca="1" si="9"/>
        <v>2500</v>
      </c>
      <c r="C30" s="611">
        <f t="shared" ca="1" si="10"/>
        <v>0</v>
      </c>
      <c r="D30" s="611">
        <f t="shared" ca="1" si="11"/>
        <v>1700</v>
      </c>
      <c r="E30" s="611">
        <f t="shared" ca="1" si="12"/>
        <v>0</v>
      </c>
      <c r="F30" s="611">
        <f t="shared" ca="1" si="13"/>
        <v>0</v>
      </c>
      <c r="G30" s="611">
        <f t="shared" ca="1" si="14"/>
        <v>0</v>
      </c>
      <c r="H30" s="611">
        <f t="shared" ca="1" si="15"/>
        <v>0</v>
      </c>
      <c r="I30" s="611">
        <f t="shared" ca="1" si="16"/>
        <v>0</v>
      </c>
      <c r="J30" s="611">
        <f t="shared" ca="1" si="17"/>
        <v>1250</v>
      </c>
      <c r="K30" s="611">
        <f t="shared" ca="1" si="18"/>
        <v>627</v>
      </c>
      <c r="L30" s="611">
        <f t="shared" ca="1" si="19"/>
        <v>6077</v>
      </c>
      <c r="M30" s="611"/>
      <c r="N30" s="2322"/>
      <c r="O30" s="612" t="s">
        <v>7083</v>
      </c>
      <c r="P30" s="611"/>
      <c r="Q30" s="611"/>
      <c r="R30" s="611"/>
      <c r="S30" s="611"/>
      <c r="T30" s="611"/>
      <c r="U30" s="611"/>
      <c r="V30" s="611"/>
      <c r="W30" s="611"/>
      <c r="X30" s="611"/>
      <c r="Y30" s="611"/>
      <c r="Z30" s="611"/>
      <c r="AA30" s="20">
        <v>27</v>
      </c>
      <c r="AB30" s="611" t="s">
        <v>7149</v>
      </c>
      <c r="AC30" s="611" t="s">
        <v>7150</v>
      </c>
      <c r="AD30" s="611"/>
      <c r="AE30" s="611"/>
      <c r="AF30" s="611"/>
      <c r="AG30" s="612">
        <v>2500</v>
      </c>
      <c r="AH30" s="611">
        <v>0</v>
      </c>
      <c r="AI30" s="612">
        <v>1700</v>
      </c>
      <c r="AJ30" s="611">
        <v>0</v>
      </c>
      <c r="AK30" s="611">
        <v>0</v>
      </c>
      <c r="AL30" s="611">
        <v>0</v>
      </c>
      <c r="AM30" s="611">
        <v>0</v>
      </c>
      <c r="AN30" s="611">
        <v>0</v>
      </c>
      <c r="AO30" s="612">
        <v>1250</v>
      </c>
      <c r="AP30" s="612">
        <v>627</v>
      </c>
      <c r="AQ30" s="1103">
        <f t="shared" si="48"/>
        <v>6077</v>
      </c>
      <c r="AR30" s="612">
        <v>2500</v>
      </c>
      <c r="AS30" s="611">
        <v>0</v>
      </c>
      <c r="AT30" s="612">
        <v>1700</v>
      </c>
      <c r="AU30" s="611">
        <v>0</v>
      </c>
      <c r="AV30" s="611">
        <v>0</v>
      </c>
      <c r="AW30" s="611">
        <v>0</v>
      </c>
      <c r="AX30" s="611">
        <v>0</v>
      </c>
      <c r="AY30" s="611">
        <v>0</v>
      </c>
      <c r="AZ30" s="612">
        <v>1250</v>
      </c>
      <c r="BA30" s="612">
        <v>627</v>
      </c>
      <c r="BB30" s="1103">
        <f t="shared" si="49"/>
        <v>6077</v>
      </c>
      <c r="BC30" s="612">
        <v>2500</v>
      </c>
      <c r="BD30" s="611">
        <v>0</v>
      </c>
      <c r="BE30" s="612">
        <v>1700</v>
      </c>
      <c r="BF30" s="611">
        <v>0</v>
      </c>
      <c r="BG30" s="611">
        <v>0</v>
      </c>
      <c r="BH30" s="611">
        <v>0</v>
      </c>
      <c r="BI30" s="611">
        <v>0</v>
      </c>
      <c r="BJ30" s="611">
        <v>0</v>
      </c>
      <c r="BK30" s="612">
        <v>250</v>
      </c>
      <c r="BL30" s="612">
        <v>627</v>
      </c>
      <c r="BM30" s="1103">
        <f t="shared" si="50"/>
        <v>5077</v>
      </c>
    </row>
    <row r="31" spans="1:65" ht="9" customHeight="1" x14ac:dyDescent="0.15">
      <c r="A31" s="611" t="str">
        <f>'Published Balance'!A31</f>
        <v>Chemical and petrochemical</v>
      </c>
      <c r="B31" s="611">
        <f t="shared" ca="1" si="9"/>
        <v>0</v>
      </c>
      <c r="C31" s="611">
        <f t="shared" ca="1" si="10"/>
        <v>0</v>
      </c>
      <c r="D31" s="611">
        <f t="shared" ca="1" si="11"/>
        <v>1200</v>
      </c>
      <c r="E31" s="611">
        <f t="shared" ca="1" si="12"/>
        <v>2500</v>
      </c>
      <c r="F31" s="611">
        <f t="shared" ca="1" si="13"/>
        <v>0</v>
      </c>
      <c r="G31" s="611">
        <f t="shared" ca="1" si="14"/>
        <v>0</v>
      </c>
      <c r="H31" s="611">
        <f t="shared" ca="1" si="15"/>
        <v>0</v>
      </c>
      <c r="I31" s="611">
        <f t="shared" ca="1" si="16"/>
        <v>0</v>
      </c>
      <c r="J31" s="611">
        <f t="shared" ca="1" si="17"/>
        <v>450</v>
      </c>
      <c r="K31" s="611">
        <f t="shared" ca="1" si="18"/>
        <v>555</v>
      </c>
      <c r="L31" s="611">
        <f t="shared" ca="1" si="19"/>
        <v>4705</v>
      </c>
      <c r="M31" s="611" t="str">
        <f t="shared" ref="M31:M37" si="57">IF($N$2=$AC$1,"    "&amp;$O31,"")</f>
        <v/>
      </c>
      <c r="N31" s="1140"/>
      <c r="O31" s="611" t="s">
        <v>7151</v>
      </c>
      <c r="P31" s="611"/>
      <c r="Q31" s="611"/>
      <c r="R31" s="611"/>
      <c r="S31" s="611"/>
      <c r="T31" s="611"/>
      <c r="U31" s="611"/>
      <c r="V31" s="611"/>
      <c r="W31" s="611"/>
      <c r="X31" s="611"/>
      <c r="Y31" s="611"/>
      <c r="Z31" s="611"/>
      <c r="AA31" s="209">
        <v>28</v>
      </c>
      <c r="AB31" s="611" t="s">
        <v>7129</v>
      </c>
      <c r="AC31" s="611" t="s">
        <v>7130</v>
      </c>
      <c r="AD31" s="611"/>
      <c r="AE31" s="611"/>
      <c r="AF31" s="611"/>
      <c r="AG31" s="611">
        <v>0</v>
      </c>
      <c r="AH31" s="611">
        <v>0</v>
      </c>
      <c r="AI31" s="612">
        <v>1200</v>
      </c>
      <c r="AJ31" s="612">
        <v>2500</v>
      </c>
      <c r="AK31" s="611">
        <v>0</v>
      </c>
      <c r="AL31" s="611">
        <v>0</v>
      </c>
      <c r="AM31" s="611">
        <v>0</v>
      </c>
      <c r="AN31" s="611">
        <v>0</v>
      </c>
      <c r="AO31" s="612">
        <v>450</v>
      </c>
      <c r="AP31" s="612">
        <v>555</v>
      </c>
      <c r="AQ31" s="1103">
        <f t="shared" si="48"/>
        <v>4705</v>
      </c>
      <c r="AR31" s="611">
        <v>0</v>
      </c>
      <c r="AS31" s="611">
        <v>0</v>
      </c>
      <c r="AT31" s="612">
        <v>1200</v>
      </c>
      <c r="AU31" s="612">
        <v>2500</v>
      </c>
      <c r="AV31" s="611">
        <v>0</v>
      </c>
      <c r="AW31" s="611">
        <v>0</v>
      </c>
      <c r="AX31" s="611">
        <v>0</v>
      </c>
      <c r="AY31" s="611">
        <v>0</v>
      </c>
      <c r="AZ31" s="612">
        <v>450</v>
      </c>
      <c r="BA31" s="612">
        <v>555</v>
      </c>
      <c r="BB31" s="1103">
        <f t="shared" si="49"/>
        <v>4705</v>
      </c>
      <c r="BC31" s="611">
        <v>0</v>
      </c>
      <c r="BD31" s="611">
        <v>0</v>
      </c>
      <c r="BE31" s="612">
        <v>1150</v>
      </c>
      <c r="BF31" s="612">
        <v>2500</v>
      </c>
      <c r="BG31" s="611">
        <v>0</v>
      </c>
      <c r="BH31" s="611">
        <v>0</v>
      </c>
      <c r="BI31" s="611">
        <v>0</v>
      </c>
      <c r="BJ31" s="611">
        <v>0</v>
      </c>
      <c r="BK31" s="612">
        <v>450</v>
      </c>
      <c r="BL31" s="612">
        <v>555</v>
      </c>
      <c r="BM31" s="1103">
        <f t="shared" si="50"/>
        <v>4655</v>
      </c>
    </row>
    <row r="32" spans="1:65" ht="9" customHeight="1" x14ac:dyDescent="0.2">
      <c r="A32" s="611" t="str">
        <f>'Published Balance'!A32</f>
        <v>Non-ferrous metals</v>
      </c>
      <c r="B32" s="611">
        <f t="shared" ca="1" si="9"/>
        <v>1500</v>
      </c>
      <c r="C32" s="611">
        <f t="shared" ca="1" si="10"/>
        <v>0</v>
      </c>
      <c r="D32" s="611">
        <f t="shared" ca="1" si="11"/>
        <v>700</v>
      </c>
      <c r="E32" s="611">
        <f t="shared" ca="1" si="12"/>
        <v>0</v>
      </c>
      <c r="F32" s="611">
        <f t="shared" ca="1" si="13"/>
        <v>0</v>
      </c>
      <c r="G32" s="611">
        <f t="shared" ca="1" si="14"/>
        <v>0</v>
      </c>
      <c r="H32" s="611">
        <f t="shared" ca="1" si="15"/>
        <v>0</v>
      </c>
      <c r="I32" s="611">
        <f t="shared" ca="1" si="16"/>
        <v>0</v>
      </c>
      <c r="J32" s="611">
        <f t="shared" ca="1" si="17"/>
        <v>350</v>
      </c>
      <c r="K32" s="611">
        <f t="shared" ca="1" si="18"/>
        <v>291</v>
      </c>
      <c r="L32" s="611">
        <f t="shared" ca="1" si="19"/>
        <v>2841</v>
      </c>
      <c r="M32" s="611" t="str">
        <f t="shared" si="57"/>
        <v/>
      </c>
      <c r="N32" s="1140"/>
      <c r="O32" s="611" t="s">
        <v>7152</v>
      </c>
      <c r="P32" s="611"/>
      <c r="Q32" s="611"/>
      <c r="R32" s="611"/>
      <c r="S32" s="611"/>
      <c r="T32" s="611"/>
      <c r="U32" s="611"/>
      <c r="V32" s="611"/>
      <c r="W32" s="611"/>
      <c r="X32" s="611"/>
      <c r="Y32" s="611"/>
      <c r="Z32" s="611"/>
      <c r="AA32" s="20">
        <v>29</v>
      </c>
      <c r="AB32" s="611" t="s">
        <v>7153</v>
      </c>
      <c r="AC32" s="611" t="s">
        <v>7154</v>
      </c>
      <c r="AD32" s="611"/>
      <c r="AE32" s="611"/>
      <c r="AF32" s="611"/>
      <c r="AG32" s="612">
        <v>1500</v>
      </c>
      <c r="AH32" s="611">
        <v>0</v>
      </c>
      <c r="AI32" s="612">
        <v>700</v>
      </c>
      <c r="AJ32" s="611">
        <v>0</v>
      </c>
      <c r="AK32" s="611">
        <v>0</v>
      </c>
      <c r="AL32" s="611">
        <v>0</v>
      </c>
      <c r="AM32" s="611">
        <v>0</v>
      </c>
      <c r="AN32" s="611">
        <v>0</v>
      </c>
      <c r="AO32" s="612">
        <v>350</v>
      </c>
      <c r="AP32" s="612">
        <v>291</v>
      </c>
      <c r="AQ32" s="1103">
        <f t="shared" si="48"/>
        <v>2841</v>
      </c>
      <c r="AR32" s="612">
        <v>1500</v>
      </c>
      <c r="AS32" s="611">
        <v>0</v>
      </c>
      <c r="AT32" s="612">
        <v>700</v>
      </c>
      <c r="AU32" s="611">
        <v>0</v>
      </c>
      <c r="AV32" s="611">
        <v>0</v>
      </c>
      <c r="AW32" s="611">
        <v>0</v>
      </c>
      <c r="AX32" s="611">
        <v>0</v>
      </c>
      <c r="AY32" s="611">
        <v>0</v>
      </c>
      <c r="AZ32" s="612">
        <v>350</v>
      </c>
      <c r="BA32" s="612">
        <v>291</v>
      </c>
      <c r="BB32" s="1103">
        <f t="shared" si="49"/>
        <v>2841</v>
      </c>
      <c r="BC32" s="612">
        <v>1500</v>
      </c>
      <c r="BD32" s="611">
        <v>0</v>
      </c>
      <c r="BE32" s="612">
        <v>700</v>
      </c>
      <c r="BF32" s="611">
        <v>0</v>
      </c>
      <c r="BG32" s="611">
        <v>0</v>
      </c>
      <c r="BH32" s="611">
        <v>0</v>
      </c>
      <c r="BI32" s="611">
        <v>0</v>
      </c>
      <c r="BJ32" s="611">
        <v>0</v>
      </c>
      <c r="BK32" s="612">
        <v>350</v>
      </c>
      <c r="BL32" s="612">
        <v>291</v>
      </c>
      <c r="BM32" s="1103">
        <f t="shared" si="50"/>
        <v>2841</v>
      </c>
    </row>
    <row r="33" spans="1:65" ht="9" customHeight="1" x14ac:dyDescent="0.15">
      <c r="A33" s="611" t="str">
        <f>'Published Balance'!A33</f>
        <v>Non-metallic minerals</v>
      </c>
      <c r="B33" s="611">
        <f t="shared" ca="1" si="9"/>
        <v>0</v>
      </c>
      <c r="C33" s="611">
        <f t="shared" ca="1" si="10"/>
        <v>0</v>
      </c>
      <c r="D33" s="611">
        <f t="shared" ca="1" si="11"/>
        <v>250</v>
      </c>
      <c r="E33" s="611">
        <f t="shared" ca="1" si="12"/>
        <v>0</v>
      </c>
      <c r="F33" s="611">
        <f t="shared" ca="1" si="13"/>
        <v>0</v>
      </c>
      <c r="G33" s="611">
        <f t="shared" ca="1" si="14"/>
        <v>0</v>
      </c>
      <c r="H33" s="611">
        <f t="shared" ca="1" si="15"/>
        <v>0</v>
      </c>
      <c r="I33" s="611">
        <f t="shared" ca="1" si="16"/>
        <v>0</v>
      </c>
      <c r="J33" s="611">
        <f t="shared" ca="1" si="17"/>
        <v>63</v>
      </c>
      <c r="K33" s="611">
        <f t="shared" ca="1" si="18"/>
        <v>100</v>
      </c>
      <c r="L33" s="611">
        <f t="shared" ca="1" si="19"/>
        <v>413</v>
      </c>
      <c r="M33" s="611" t="str">
        <f t="shared" si="57"/>
        <v/>
      </c>
      <c r="N33" s="1140"/>
      <c r="O33" s="611"/>
      <c r="P33" s="611"/>
      <c r="Q33" s="611"/>
      <c r="R33" s="611"/>
      <c r="S33" s="611"/>
      <c r="T33" s="611"/>
      <c r="U33" s="611"/>
      <c r="V33" s="611"/>
      <c r="W33" s="611"/>
      <c r="X33" s="611"/>
      <c r="Y33" s="611"/>
      <c r="Z33" s="611"/>
      <c r="AA33" s="209">
        <v>30</v>
      </c>
      <c r="AB33" s="611" t="s">
        <v>7155</v>
      </c>
      <c r="AC33" s="611" t="s">
        <v>7156</v>
      </c>
      <c r="AD33" s="611"/>
      <c r="AE33" s="611"/>
      <c r="AF33" s="611"/>
      <c r="AG33" s="611">
        <v>0</v>
      </c>
      <c r="AH33" s="611">
        <v>0</v>
      </c>
      <c r="AI33" s="612">
        <v>250</v>
      </c>
      <c r="AJ33" s="611">
        <v>0</v>
      </c>
      <c r="AK33" s="611">
        <v>0</v>
      </c>
      <c r="AL33" s="611">
        <v>0</v>
      </c>
      <c r="AM33" s="611">
        <v>0</v>
      </c>
      <c r="AN33" s="611">
        <v>0</v>
      </c>
      <c r="AO33" s="612">
        <v>63</v>
      </c>
      <c r="AP33" s="612">
        <v>100</v>
      </c>
      <c r="AQ33" s="1103">
        <f t="shared" si="48"/>
        <v>413</v>
      </c>
      <c r="AR33" s="611">
        <v>0</v>
      </c>
      <c r="AS33" s="611">
        <v>0</v>
      </c>
      <c r="AT33" s="612">
        <v>250</v>
      </c>
      <c r="AU33" s="611">
        <v>0</v>
      </c>
      <c r="AV33" s="611">
        <v>0</v>
      </c>
      <c r="AW33" s="611">
        <v>0</v>
      </c>
      <c r="AX33" s="611">
        <v>0</v>
      </c>
      <c r="AY33" s="611">
        <v>0</v>
      </c>
      <c r="AZ33" s="612">
        <v>63</v>
      </c>
      <c r="BA33" s="612">
        <v>100</v>
      </c>
      <c r="BB33" s="1103">
        <f t="shared" si="49"/>
        <v>413</v>
      </c>
      <c r="BC33" s="611">
        <v>0</v>
      </c>
      <c r="BD33" s="611">
        <v>0</v>
      </c>
      <c r="BE33" s="612">
        <v>250</v>
      </c>
      <c r="BF33" s="611">
        <v>0</v>
      </c>
      <c r="BG33" s="611">
        <v>0</v>
      </c>
      <c r="BH33" s="611">
        <v>0</v>
      </c>
      <c r="BI33" s="611">
        <v>0</v>
      </c>
      <c r="BJ33" s="611">
        <v>0</v>
      </c>
      <c r="BK33" s="612">
        <v>63</v>
      </c>
      <c r="BL33" s="612">
        <v>100</v>
      </c>
      <c r="BM33" s="1103">
        <f t="shared" si="50"/>
        <v>413</v>
      </c>
    </row>
    <row r="34" spans="1:65" ht="9" customHeight="1" x14ac:dyDescent="0.15">
      <c r="A34" s="611" t="str">
        <f>'Published Balance'!A34</f>
        <v>Transport equipment</v>
      </c>
      <c r="B34" s="611">
        <f t="shared" ca="1" si="9"/>
        <v>0</v>
      </c>
      <c r="C34" s="611">
        <f t="shared" ca="1" si="10"/>
        <v>0</v>
      </c>
      <c r="D34" s="611">
        <f t="shared" ca="1" si="11"/>
        <v>100</v>
      </c>
      <c r="E34" s="611">
        <f t="shared" ca="1" si="12"/>
        <v>500</v>
      </c>
      <c r="F34" s="611">
        <f t="shared" ca="1" si="13"/>
        <v>0</v>
      </c>
      <c r="G34" s="611">
        <f t="shared" ca="1" si="14"/>
        <v>0</v>
      </c>
      <c r="H34" s="611">
        <f t="shared" ca="1" si="15"/>
        <v>0</v>
      </c>
      <c r="I34" s="611">
        <f t="shared" ca="1" si="16"/>
        <v>0</v>
      </c>
      <c r="J34" s="611">
        <f t="shared" ca="1" si="17"/>
        <v>32</v>
      </c>
      <c r="K34" s="611">
        <f t="shared" ca="1" si="18"/>
        <v>56</v>
      </c>
      <c r="L34" s="611">
        <f t="shared" ca="1" si="19"/>
        <v>688</v>
      </c>
      <c r="M34" s="611" t="str">
        <f t="shared" si="57"/>
        <v/>
      </c>
      <c r="N34" s="1140"/>
      <c r="O34" s="611" t="s">
        <v>7157</v>
      </c>
      <c r="P34" s="611"/>
      <c r="Q34" s="611"/>
      <c r="R34" s="611"/>
      <c r="S34" s="611"/>
      <c r="T34" s="611"/>
      <c r="U34" s="611"/>
      <c r="V34" s="611"/>
      <c r="W34" s="611"/>
      <c r="X34" s="611"/>
      <c r="Y34" s="611"/>
      <c r="Z34" s="611"/>
      <c r="AA34" s="611"/>
      <c r="AB34" s="611"/>
      <c r="AC34" s="611"/>
      <c r="AD34" s="611"/>
      <c r="AE34" s="611"/>
      <c r="AF34" s="611"/>
      <c r="AG34" s="611">
        <v>0</v>
      </c>
      <c r="AH34" s="611">
        <v>0</v>
      </c>
      <c r="AI34" s="612">
        <v>100</v>
      </c>
      <c r="AJ34" s="612">
        <v>500</v>
      </c>
      <c r="AK34" s="611">
        <v>0</v>
      </c>
      <c r="AL34" s="611">
        <v>0</v>
      </c>
      <c r="AM34" s="611">
        <v>0</v>
      </c>
      <c r="AN34" s="611">
        <v>0</v>
      </c>
      <c r="AO34" s="612">
        <v>32</v>
      </c>
      <c r="AP34" s="612">
        <v>56</v>
      </c>
      <c r="AQ34" s="1103">
        <f t="shared" si="48"/>
        <v>688</v>
      </c>
      <c r="AR34" s="611">
        <v>0</v>
      </c>
      <c r="AS34" s="611">
        <v>0</v>
      </c>
      <c r="AT34" s="612">
        <v>100</v>
      </c>
      <c r="AU34" s="612">
        <v>500</v>
      </c>
      <c r="AV34" s="611">
        <v>0</v>
      </c>
      <c r="AW34" s="611">
        <v>0</v>
      </c>
      <c r="AX34" s="611">
        <v>0</v>
      </c>
      <c r="AY34" s="611">
        <v>0</v>
      </c>
      <c r="AZ34" s="612">
        <v>32</v>
      </c>
      <c r="BA34" s="612">
        <v>56</v>
      </c>
      <c r="BB34" s="1103">
        <f t="shared" si="49"/>
        <v>688</v>
      </c>
      <c r="BC34" s="611">
        <v>0</v>
      </c>
      <c r="BD34" s="611">
        <v>0</v>
      </c>
      <c r="BE34" s="612">
        <v>100</v>
      </c>
      <c r="BF34" s="612">
        <v>500</v>
      </c>
      <c r="BG34" s="611">
        <v>0</v>
      </c>
      <c r="BH34" s="611">
        <v>0</v>
      </c>
      <c r="BI34" s="611">
        <v>0</v>
      </c>
      <c r="BJ34" s="611">
        <v>0</v>
      </c>
      <c r="BK34" s="612">
        <v>32</v>
      </c>
      <c r="BL34" s="612">
        <v>56</v>
      </c>
      <c r="BM34" s="1103">
        <f t="shared" si="50"/>
        <v>688</v>
      </c>
    </row>
    <row r="35" spans="1:65" ht="9" customHeight="1" x14ac:dyDescent="0.15">
      <c r="A35" s="611" t="str">
        <f>'Published Balance'!A35</f>
        <v>Machinery</v>
      </c>
      <c r="B35" s="611">
        <f t="shared" ca="1" si="9"/>
        <v>0</v>
      </c>
      <c r="C35" s="611">
        <f t="shared" ca="1" si="10"/>
        <v>0</v>
      </c>
      <c r="D35" s="611">
        <f t="shared" ca="1" si="11"/>
        <v>0</v>
      </c>
      <c r="E35" s="611">
        <f t="shared" ca="1" si="12"/>
        <v>0</v>
      </c>
      <c r="F35" s="611">
        <f t="shared" ca="1" si="13"/>
        <v>0</v>
      </c>
      <c r="G35" s="611">
        <f t="shared" ca="1" si="14"/>
        <v>0</v>
      </c>
      <c r="H35" s="611">
        <f t="shared" ca="1" si="15"/>
        <v>0</v>
      </c>
      <c r="I35" s="611">
        <f t="shared" ca="1" si="16"/>
        <v>0</v>
      </c>
      <c r="J35" s="611">
        <f t="shared" ca="1" si="17"/>
        <v>250</v>
      </c>
      <c r="K35" s="611">
        <f t="shared" ca="1" si="18"/>
        <v>18</v>
      </c>
      <c r="L35" s="611">
        <f t="shared" ca="1" si="19"/>
        <v>268</v>
      </c>
      <c r="M35" s="611" t="str">
        <f t="shared" si="57"/>
        <v/>
      </c>
      <c r="N35" s="1140"/>
      <c r="O35" s="611"/>
      <c r="P35" s="611"/>
      <c r="Q35" s="611"/>
      <c r="R35" s="611"/>
      <c r="S35" s="611"/>
      <c r="T35" s="611"/>
      <c r="U35" s="611"/>
      <c r="V35" s="611"/>
      <c r="W35" s="611"/>
      <c r="X35" s="611"/>
      <c r="Y35" s="611"/>
      <c r="Z35" s="611"/>
      <c r="AA35" s="611"/>
      <c r="AB35" s="611"/>
      <c r="AC35" s="611"/>
      <c r="AD35" s="611"/>
      <c r="AE35" s="611"/>
      <c r="AF35" s="611"/>
      <c r="AG35" s="611">
        <v>0</v>
      </c>
      <c r="AH35" s="611">
        <v>0</v>
      </c>
      <c r="AI35" s="611">
        <v>0</v>
      </c>
      <c r="AJ35" s="611">
        <v>0</v>
      </c>
      <c r="AK35" s="611">
        <v>0</v>
      </c>
      <c r="AL35" s="611">
        <v>0</v>
      </c>
      <c r="AM35" s="611">
        <v>0</v>
      </c>
      <c r="AN35" s="611">
        <v>0</v>
      </c>
      <c r="AO35" s="612">
        <v>250</v>
      </c>
      <c r="AP35" s="612">
        <v>18</v>
      </c>
      <c r="AQ35" s="1103">
        <f t="shared" si="48"/>
        <v>268</v>
      </c>
      <c r="AR35" s="611">
        <v>0</v>
      </c>
      <c r="AS35" s="611">
        <v>0</v>
      </c>
      <c r="AT35" s="611">
        <v>0</v>
      </c>
      <c r="AU35" s="611">
        <v>0</v>
      </c>
      <c r="AV35" s="611">
        <v>0</v>
      </c>
      <c r="AW35" s="611">
        <v>0</v>
      </c>
      <c r="AX35" s="611">
        <v>0</v>
      </c>
      <c r="AY35" s="611">
        <v>0</v>
      </c>
      <c r="AZ35" s="612">
        <v>250</v>
      </c>
      <c r="BA35" s="612">
        <v>18</v>
      </c>
      <c r="BB35" s="1103">
        <f t="shared" si="49"/>
        <v>268</v>
      </c>
      <c r="BC35" s="611">
        <v>0</v>
      </c>
      <c r="BD35" s="611">
        <v>0</v>
      </c>
      <c r="BE35" s="611">
        <v>0</v>
      </c>
      <c r="BF35" s="611">
        <v>0</v>
      </c>
      <c r="BG35" s="611">
        <v>0</v>
      </c>
      <c r="BH35" s="611">
        <v>0</v>
      </c>
      <c r="BI35" s="611">
        <v>0</v>
      </c>
      <c r="BJ35" s="611">
        <v>0</v>
      </c>
      <c r="BK35" s="612">
        <v>250</v>
      </c>
      <c r="BL35" s="612">
        <v>18</v>
      </c>
      <c r="BM35" s="1103">
        <f t="shared" si="50"/>
        <v>268</v>
      </c>
    </row>
    <row r="36" spans="1:65" ht="9" customHeight="1" x14ac:dyDescent="0.15">
      <c r="A36" s="611" t="str">
        <f>'Published Balance'!A36</f>
        <v>Mining and quarrying</v>
      </c>
      <c r="B36" s="611">
        <f t="shared" ca="1" si="9"/>
        <v>1000</v>
      </c>
      <c r="C36" s="611">
        <f t="shared" ca="1" si="10"/>
        <v>0</v>
      </c>
      <c r="D36" s="611">
        <f t="shared" ca="1" si="11"/>
        <v>0</v>
      </c>
      <c r="E36" s="611">
        <f t="shared" ca="1" si="12"/>
        <v>500</v>
      </c>
      <c r="F36" s="611">
        <f t="shared" ca="1" si="13"/>
        <v>0</v>
      </c>
      <c r="G36" s="611">
        <f t="shared" ca="1" si="14"/>
        <v>0</v>
      </c>
      <c r="H36" s="611">
        <f t="shared" ca="1" si="15"/>
        <v>0</v>
      </c>
      <c r="I36" s="611">
        <f t="shared" ca="1" si="16"/>
        <v>0</v>
      </c>
      <c r="J36" s="611">
        <f t="shared" ca="1" si="17"/>
        <v>644</v>
      </c>
      <c r="K36" s="611">
        <f t="shared" ca="1" si="18"/>
        <v>32</v>
      </c>
      <c r="L36" s="611">
        <f t="shared" ca="1" si="19"/>
        <v>2176</v>
      </c>
      <c r="M36" s="611" t="str">
        <f t="shared" si="57"/>
        <v/>
      </c>
      <c r="N36" s="1140"/>
      <c r="O36" s="611" t="s">
        <v>7158</v>
      </c>
      <c r="P36" s="611"/>
      <c r="Q36" s="611"/>
      <c r="R36" s="611"/>
      <c r="S36" s="611"/>
      <c r="T36" s="611"/>
      <c r="U36" s="611"/>
      <c r="V36" s="611"/>
      <c r="W36" s="611"/>
      <c r="X36" s="611"/>
      <c r="Y36" s="611"/>
      <c r="Z36" s="611"/>
      <c r="AA36" s="611"/>
      <c r="AB36" s="611"/>
      <c r="AC36" s="611"/>
      <c r="AD36" s="611"/>
      <c r="AE36" s="611"/>
      <c r="AF36" s="611"/>
      <c r="AG36" s="612">
        <v>1000</v>
      </c>
      <c r="AH36" s="611">
        <v>0</v>
      </c>
      <c r="AI36" s="611">
        <v>0</v>
      </c>
      <c r="AJ36" s="612">
        <v>500</v>
      </c>
      <c r="AK36" s="611">
        <v>0</v>
      </c>
      <c r="AL36" s="611">
        <v>0</v>
      </c>
      <c r="AM36" s="611">
        <v>0</v>
      </c>
      <c r="AN36" s="611">
        <v>0</v>
      </c>
      <c r="AO36" s="612">
        <v>644</v>
      </c>
      <c r="AP36" s="612">
        <v>32</v>
      </c>
      <c r="AQ36" s="1103">
        <f t="shared" si="48"/>
        <v>2176</v>
      </c>
      <c r="AR36" s="612">
        <v>1000</v>
      </c>
      <c r="AS36" s="611">
        <v>0</v>
      </c>
      <c r="AT36" s="611">
        <v>0</v>
      </c>
      <c r="AU36" s="612">
        <v>500</v>
      </c>
      <c r="AV36" s="611">
        <v>0</v>
      </c>
      <c r="AW36" s="611">
        <v>0</v>
      </c>
      <c r="AX36" s="611">
        <v>0</v>
      </c>
      <c r="AY36" s="611">
        <v>0</v>
      </c>
      <c r="AZ36" s="612">
        <v>644</v>
      </c>
      <c r="BA36" s="612">
        <v>32</v>
      </c>
      <c r="BB36" s="1103">
        <f t="shared" si="49"/>
        <v>2176</v>
      </c>
      <c r="BC36" s="612">
        <v>1000</v>
      </c>
      <c r="BD36" s="611">
        <v>0</v>
      </c>
      <c r="BE36" s="611">
        <v>0</v>
      </c>
      <c r="BF36" s="612">
        <v>500</v>
      </c>
      <c r="BG36" s="611">
        <v>0</v>
      </c>
      <c r="BH36" s="611">
        <v>0</v>
      </c>
      <c r="BI36" s="611">
        <v>0</v>
      </c>
      <c r="BJ36" s="611">
        <v>0</v>
      </c>
      <c r="BK36" s="612">
        <v>552</v>
      </c>
      <c r="BL36" s="612">
        <v>32</v>
      </c>
      <c r="BM36" s="1103">
        <f t="shared" si="50"/>
        <v>2084</v>
      </c>
    </row>
    <row r="37" spans="1:65" ht="9" customHeight="1" x14ac:dyDescent="0.15">
      <c r="A37" s="611" t="str">
        <f>'Published Balance'!A37</f>
        <v>Food and tobacco</v>
      </c>
      <c r="B37" s="611">
        <f t="shared" ca="1" si="9"/>
        <v>0</v>
      </c>
      <c r="C37" s="611">
        <f t="shared" ca="1" si="10"/>
        <v>0</v>
      </c>
      <c r="D37" s="611">
        <f t="shared" ca="1" si="11"/>
        <v>0</v>
      </c>
      <c r="E37" s="611">
        <f t="shared" ca="1" si="12"/>
        <v>0</v>
      </c>
      <c r="F37" s="611">
        <f t="shared" ca="1" si="13"/>
        <v>0</v>
      </c>
      <c r="G37" s="611">
        <f t="shared" ca="1" si="14"/>
        <v>0</v>
      </c>
      <c r="H37" s="611">
        <f t="shared" ca="1" si="15"/>
        <v>0</v>
      </c>
      <c r="I37" s="611">
        <f t="shared" ca="1" si="16"/>
        <v>0</v>
      </c>
      <c r="J37" s="611">
        <f t="shared" ca="1" si="17"/>
        <v>250</v>
      </c>
      <c r="K37" s="611">
        <f t="shared" ca="1" si="18"/>
        <v>16</v>
      </c>
      <c r="L37" s="611">
        <f t="shared" ca="1" si="19"/>
        <v>266</v>
      </c>
      <c r="M37" s="611" t="str">
        <f t="shared" si="57"/>
        <v/>
      </c>
      <c r="N37" s="1141"/>
      <c r="O37" s="611"/>
      <c r="P37" s="611"/>
      <c r="Q37" s="611"/>
      <c r="R37" s="611"/>
      <c r="S37" s="611"/>
      <c r="T37" s="611"/>
      <c r="U37" s="611"/>
      <c r="V37" s="611"/>
      <c r="W37" s="611"/>
      <c r="X37" s="611"/>
      <c r="Y37" s="611"/>
      <c r="Z37" s="611"/>
      <c r="AA37" s="611"/>
      <c r="AB37" s="611"/>
      <c r="AC37" s="611"/>
      <c r="AD37" s="611"/>
      <c r="AE37" s="611"/>
      <c r="AF37" s="611"/>
      <c r="AG37" s="611">
        <v>0</v>
      </c>
      <c r="AH37" s="611">
        <v>0</v>
      </c>
      <c r="AI37" s="611">
        <v>0</v>
      </c>
      <c r="AJ37" s="611">
        <v>0</v>
      </c>
      <c r="AK37" s="611">
        <v>0</v>
      </c>
      <c r="AL37" s="611">
        <v>0</v>
      </c>
      <c r="AM37" s="611">
        <v>0</v>
      </c>
      <c r="AN37" s="611">
        <v>0</v>
      </c>
      <c r="AO37" s="612">
        <v>250</v>
      </c>
      <c r="AP37" s="612">
        <v>16</v>
      </c>
      <c r="AQ37" s="1103">
        <f t="shared" si="48"/>
        <v>266</v>
      </c>
      <c r="AR37" s="611">
        <v>0</v>
      </c>
      <c r="AS37" s="611">
        <v>0</v>
      </c>
      <c r="AT37" s="611">
        <v>0</v>
      </c>
      <c r="AU37" s="611">
        <v>0</v>
      </c>
      <c r="AV37" s="611">
        <v>0</v>
      </c>
      <c r="AW37" s="611">
        <v>0</v>
      </c>
      <c r="AX37" s="611">
        <v>0</v>
      </c>
      <c r="AY37" s="611">
        <v>0</v>
      </c>
      <c r="AZ37" s="612">
        <v>250</v>
      </c>
      <c r="BA37" s="612">
        <v>16</v>
      </c>
      <c r="BB37" s="1103">
        <f t="shared" si="49"/>
        <v>266</v>
      </c>
      <c r="BC37" s="611">
        <v>0</v>
      </c>
      <c r="BD37" s="611">
        <v>0</v>
      </c>
      <c r="BE37" s="611">
        <v>0</v>
      </c>
      <c r="BF37" s="611">
        <v>0</v>
      </c>
      <c r="BG37" s="611">
        <v>0</v>
      </c>
      <c r="BH37" s="611">
        <v>0</v>
      </c>
      <c r="BI37" s="611">
        <v>0</v>
      </c>
      <c r="BJ37" s="611">
        <v>0</v>
      </c>
      <c r="BK37" s="612">
        <v>250</v>
      </c>
      <c r="BL37" s="612">
        <v>16</v>
      </c>
      <c r="BM37" s="1103">
        <f t="shared" si="50"/>
        <v>266</v>
      </c>
    </row>
    <row r="38" spans="1:65" ht="9" customHeight="1" x14ac:dyDescent="0.15">
      <c r="A38" s="611" t="str">
        <f>'Published Balance'!A38</f>
        <v>Paper, pulp and printing</v>
      </c>
      <c r="B38" s="611">
        <f t="shared" ca="1" si="9"/>
        <v>0</v>
      </c>
      <c r="C38" s="611">
        <f t="shared" ca="1" si="10"/>
        <v>0</v>
      </c>
      <c r="D38" s="611">
        <f t="shared" ca="1" si="11"/>
        <v>0</v>
      </c>
      <c r="E38" s="611">
        <f t="shared" ca="1" si="12"/>
        <v>250</v>
      </c>
      <c r="F38" s="611">
        <f t="shared" ca="1" si="13"/>
        <v>0</v>
      </c>
      <c r="G38" s="611">
        <f t="shared" ca="1" si="14"/>
        <v>0</v>
      </c>
      <c r="H38" s="611">
        <f t="shared" ca="1" si="15"/>
        <v>0</v>
      </c>
      <c r="I38" s="611">
        <f t="shared" ca="1" si="16"/>
        <v>0</v>
      </c>
      <c r="J38" s="611">
        <f t="shared" ca="1" si="17"/>
        <v>76</v>
      </c>
      <c r="K38" s="611">
        <f t="shared" ca="1" si="18"/>
        <v>8</v>
      </c>
      <c r="L38" s="611">
        <f t="shared" ca="1" si="19"/>
        <v>334</v>
      </c>
      <c r="M38" s="611"/>
      <c r="N38" s="1117" t="str">
        <f t="shared" ref="N38:N44" si="58">HLOOKUP(LangChoice,$AB$3:$AD$49,$AA22+1)</f>
        <v>Hints:</v>
      </c>
      <c r="O38" s="611"/>
      <c r="P38" s="611"/>
      <c r="Q38" s="611"/>
      <c r="R38" s="611"/>
      <c r="S38" s="611"/>
      <c r="T38" s="611"/>
      <c r="U38" s="611"/>
      <c r="V38" s="611"/>
      <c r="W38" s="611"/>
      <c r="X38" s="611"/>
      <c r="Y38" s="611"/>
      <c r="Z38" s="611"/>
      <c r="AA38" s="611"/>
      <c r="AB38" s="611"/>
      <c r="AC38" s="611"/>
      <c r="AD38" s="611"/>
      <c r="AE38" s="611"/>
      <c r="AF38" s="611"/>
      <c r="AG38" s="611">
        <v>0</v>
      </c>
      <c r="AH38" s="611">
        <v>0</v>
      </c>
      <c r="AI38" s="611">
        <v>0</v>
      </c>
      <c r="AJ38" s="612">
        <v>250</v>
      </c>
      <c r="AK38" s="611">
        <v>0</v>
      </c>
      <c r="AL38" s="611">
        <v>0</v>
      </c>
      <c r="AM38" s="611">
        <v>0</v>
      </c>
      <c r="AN38" s="611">
        <v>0</v>
      </c>
      <c r="AO38" s="612">
        <v>76</v>
      </c>
      <c r="AP38" s="612">
        <v>8</v>
      </c>
      <c r="AQ38" s="1103">
        <f t="shared" si="48"/>
        <v>334</v>
      </c>
      <c r="AR38" s="611">
        <v>0</v>
      </c>
      <c r="AS38" s="611">
        <v>0</v>
      </c>
      <c r="AT38" s="611">
        <v>0</v>
      </c>
      <c r="AU38" s="612">
        <v>250</v>
      </c>
      <c r="AV38" s="611">
        <v>0</v>
      </c>
      <c r="AW38" s="611">
        <v>0</v>
      </c>
      <c r="AX38" s="611">
        <v>0</v>
      </c>
      <c r="AY38" s="611">
        <v>0</v>
      </c>
      <c r="AZ38" s="612">
        <v>76</v>
      </c>
      <c r="BA38" s="612">
        <v>8</v>
      </c>
      <c r="BB38" s="1103">
        <f t="shared" si="49"/>
        <v>334</v>
      </c>
      <c r="BC38" s="611">
        <v>0</v>
      </c>
      <c r="BD38" s="611">
        <v>0</v>
      </c>
      <c r="BE38" s="611">
        <v>0</v>
      </c>
      <c r="BF38" s="612">
        <v>250</v>
      </c>
      <c r="BG38" s="611">
        <v>0</v>
      </c>
      <c r="BH38" s="611">
        <v>0</v>
      </c>
      <c r="BI38" s="611">
        <v>0</v>
      </c>
      <c r="BJ38" s="611">
        <v>0</v>
      </c>
      <c r="BK38" s="612">
        <v>76</v>
      </c>
      <c r="BL38" s="612">
        <v>8</v>
      </c>
      <c r="BM38" s="1103">
        <f t="shared" si="50"/>
        <v>334</v>
      </c>
    </row>
    <row r="39" spans="1:65" ht="9" customHeight="1" x14ac:dyDescent="0.15">
      <c r="A39" s="611" t="str">
        <f>'Published Balance'!A39</f>
        <v>Wood and wood products</v>
      </c>
      <c r="B39" s="611">
        <f t="shared" ref="B39:B60" ca="1" si="59">OFFSET($AF39,0,($AF$4-1)*$AQ$5+AG$5)</f>
        <v>0</v>
      </c>
      <c r="C39" s="611">
        <f t="shared" ref="C39:C60" ca="1" si="60">OFFSET($AF39,0,($AF$4-1)*$AQ$5+AH$5)</f>
        <v>0</v>
      </c>
      <c r="D39" s="611">
        <f t="shared" ref="D39:D60" ca="1" si="61">OFFSET($AF39,0,($AF$4-1)*$AQ$5+AI$5)</f>
        <v>0</v>
      </c>
      <c r="E39" s="611">
        <f t="shared" ref="E39:E60" ca="1" si="62">OFFSET($AF39,0,($AF$4-1)*$AQ$5+AJ$5)</f>
        <v>0</v>
      </c>
      <c r="F39" s="611">
        <f t="shared" ref="F39:F60" ca="1" si="63">OFFSET($AF39,0,($AF$4-1)*$AQ$5+AK$5)</f>
        <v>0</v>
      </c>
      <c r="G39" s="611">
        <f t="shared" ref="G39:G60" ca="1" si="64">OFFSET($AF39,0,($AF$4-1)*$AQ$5+AL$5)</f>
        <v>0</v>
      </c>
      <c r="H39" s="611">
        <f t="shared" ref="H39:H60" ca="1" si="65">OFFSET($AF39,0,($AF$4-1)*$AQ$5+AM$5)</f>
        <v>0</v>
      </c>
      <c r="I39" s="611">
        <f t="shared" ref="I39:I60" ca="1" si="66">OFFSET($AF39,0,($AF$4-1)*$AQ$5+AN$5)</f>
        <v>0</v>
      </c>
      <c r="J39" s="611">
        <f t="shared" ref="J39:J60" ca="1" si="67">OFFSET($AF39,0,($AF$4-1)*$AQ$5+AO$5)</f>
        <v>52</v>
      </c>
      <c r="K39" s="611">
        <f t="shared" ref="K39:K60" ca="1" si="68">OFFSET($AF39,0,($AF$4-1)*$AQ$5+AP$5)</f>
        <v>4</v>
      </c>
      <c r="L39" s="611">
        <f t="shared" ref="L39:L60" ca="1" si="69">OFFSET($AF39,0,($AF$4-1)*$AQ$5+AQ$5)</f>
        <v>56</v>
      </c>
      <c r="M39" s="611"/>
      <c r="N39" s="613" t="str">
        <f t="shared" si="58"/>
        <v>Efficiency = Output(s) / Input(s)</v>
      </c>
      <c r="O39" s="611"/>
      <c r="P39" s="611"/>
      <c r="Q39" s="611"/>
      <c r="R39" s="611"/>
      <c r="S39" s="611"/>
      <c r="T39" s="611"/>
      <c r="U39" s="611"/>
      <c r="V39" s="611"/>
      <c r="W39" s="611"/>
      <c r="X39" s="611"/>
      <c r="Y39" s="611"/>
      <c r="Z39" s="611"/>
      <c r="AA39" s="611"/>
      <c r="AB39" s="611"/>
      <c r="AC39" s="611"/>
      <c r="AD39" s="611"/>
      <c r="AE39" s="611"/>
      <c r="AF39" s="611"/>
      <c r="AG39" s="611">
        <v>0</v>
      </c>
      <c r="AH39" s="611">
        <v>0</v>
      </c>
      <c r="AI39" s="611">
        <v>0</v>
      </c>
      <c r="AJ39" s="611">
        <v>0</v>
      </c>
      <c r="AK39" s="611">
        <v>0</v>
      </c>
      <c r="AL39" s="611">
        <v>0</v>
      </c>
      <c r="AM39" s="611">
        <v>0</v>
      </c>
      <c r="AN39" s="611">
        <v>0</v>
      </c>
      <c r="AO39" s="612">
        <v>52</v>
      </c>
      <c r="AP39" s="612">
        <v>4</v>
      </c>
      <c r="AQ39" s="1103">
        <f t="shared" si="48"/>
        <v>56</v>
      </c>
      <c r="AR39" s="611">
        <v>0</v>
      </c>
      <c r="AS39" s="611">
        <v>0</v>
      </c>
      <c r="AT39" s="611">
        <v>0</v>
      </c>
      <c r="AU39" s="611">
        <v>0</v>
      </c>
      <c r="AV39" s="611">
        <v>0</v>
      </c>
      <c r="AW39" s="611">
        <v>0</v>
      </c>
      <c r="AX39" s="611">
        <v>0</v>
      </c>
      <c r="AY39" s="611">
        <v>0</v>
      </c>
      <c r="AZ39" s="612">
        <v>52</v>
      </c>
      <c r="BA39" s="612">
        <v>4</v>
      </c>
      <c r="BB39" s="1103">
        <f t="shared" si="49"/>
        <v>56</v>
      </c>
      <c r="BC39" s="611">
        <v>0</v>
      </c>
      <c r="BD39" s="611">
        <v>0</v>
      </c>
      <c r="BE39" s="611">
        <v>0</v>
      </c>
      <c r="BF39" s="611">
        <v>0</v>
      </c>
      <c r="BG39" s="611">
        <v>0</v>
      </c>
      <c r="BH39" s="611">
        <v>0</v>
      </c>
      <c r="BI39" s="611">
        <v>0</v>
      </c>
      <c r="BJ39" s="611">
        <v>0</v>
      </c>
      <c r="BK39" s="612">
        <v>52</v>
      </c>
      <c r="BL39" s="612">
        <v>4</v>
      </c>
      <c r="BM39" s="1103">
        <f t="shared" si="50"/>
        <v>56</v>
      </c>
    </row>
    <row r="40" spans="1:65" ht="9" customHeight="1" x14ac:dyDescent="0.15">
      <c r="A40" s="611" t="str">
        <f>'Published Balance'!A40</f>
        <v>Construction</v>
      </c>
      <c r="B40" s="611">
        <f t="shared" ca="1" si="59"/>
        <v>0</v>
      </c>
      <c r="C40" s="611">
        <f t="shared" ca="1" si="60"/>
        <v>0</v>
      </c>
      <c r="D40" s="611">
        <f t="shared" ca="1" si="61"/>
        <v>0</v>
      </c>
      <c r="E40" s="611">
        <f t="shared" ca="1" si="62"/>
        <v>0</v>
      </c>
      <c r="F40" s="611">
        <f t="shared" ca="1" si="63"/>
        <v>0</v>
      </c>
      <c r="G40" s="611">
        <f t="shared" ca="1" si="64"/>
        <v>0</v>
      </c>
      <c r="H40" s="611">
        <f t="shared" ca="1" si="65"/>
        <v>0</v>
      </c>
      <c r="I40" s="611">
        <f t="shared" ca="1" si="66"/>
        <v>0</v>
      </c>
      <c r="J40" s="611">
        <f t="shared" ca="1" si="67"/>
        <v>64</v>
      </c>
      <c r="K40" s="611">
        <f t="shared" ca="1" si="68"/>
        <v>2</v>
      </c>
      <c r="L40" s="611">
        <f t="shared" ca="1" si="69"/>
        <v>66</v>
      </c>
      <c r="M40" s="611"/>
      <c r="N40" s="613" t="str">
        <f t="shared" si="58"/>
        <v>Losses are reported in the total column</v>
      </c>
      <c r="O40" s="611"/>
      <c r="P40" s="611"/>
      <c r="Q40" s="611"/>
      <c r="R40" s="611"/>
      <c r="S40" s="611"/>
      <c r="T40" s="611"/>
      <c r="U40" s="611"/>
      <c r="V40" s="611"/>
      <c r="W40" s="611"/>
      <c r="X40" s="611"/>
      <c r="Y40" s="611"/>
      <c r="Z40" s="611"/>
      <c r="AA40" s="611"/>
      <c r="AB40" s="611"/>
      <c r="AC40" s="611"/>
      <c r="AD40" s="611"/>
      <c r="AE40" s="611"/>
      <c r="AF40" s="611"/>
      <c r="AG40" s="611">
        <v>0</v>
      </c>
      <c r="AH40" s="611">
        <v>0</v>
      </c>
      <c r="AI40" s="611">
        <v>0</v>
      </c>
      <c r="AJ40" s="611">
        <v>0</v>
      </c>
      <c r="AK40" s="611">
        <v>0</v>
      </c>
      <c r="AL40" s="611">
        <v>0</v>
      </c>
      <c r="AM40" s="611">
        <v>0</v>
      </c>
      <c r="AN40" s="611">
        <v>0</v>
      </c>
      <c r="AO40" s="612">
        <v>64</v>
      </c>
      <c r="AP40" s="612">
        <v>2</v>
      </c>
      <c r="AQ40" s="1103">
        <f t="shared" si="48"/>
        <v>66</v>
      </c>
      <c r="AR40" s="611">
        <v>0</v>
      </c>
      <c r="AS40" s="611">
        <v>0</v>
      </c>
      <c r="AT40" s="611">
        <v>0</v>
      </c>
      <c r="AU40" s="611">
        <v>0</v>
      </c>
      <c r="AV40" s="611">
        <v>0</v>
      </c>
      <c r="AW40" s="611">
        <v>0</v>
      </c>
      <c r="AX40" s="611">
        <v>0</v>
      </c>
      <c r="AY40" s="611">
        <v>0</v>
      </c>
      <c r="AZ40" s="612">
        <v>64</v>
      </c>
      <c r="BA40" s="612">
        <v>2</v>
      </c>
      <c r="BB40" s="1103">
        <f t="shared" si="49"/>
        <v>66</v>
      </c>
      <c r="BC40" s="611">
        <v>0</v>
      </c>
      <c r="BD40" s="611">
        <v>0</v>
      </c>
      <c r="BE40" s="611">
        <v>0</v>
      </c>
      <c r="BF40" s="611">
        <v>0</v>
      </c>
      <c r="BG40" s="611">
        <v>0</v>
      </c>
      <c r="BH40" s="611">
        <v>0</v>
      </c>
      <c r="BI40" s="611">
        <v>0</v>
      </c>
      <c r="BJ40" s="611">
        <v>0</v>
      </c>
      <c r="BK40" s="612">
        <v>64</v>
      </c>
      <c r="BL40" s="612">
        <v>2</v>
      </c>
      <c r="BM40" s="1103">
        <f t="shared" si="50"/>
        <v>66</v>
      </c>
    </row>
    <row r="41" spans="1:65" ht="9" customHeight="1" x14ac:dyDescent="0.15">
      <c r="A41" s="611" t="str">
        <f>'Published Balance'!A41</f>
        <v>Textile and leather</v>
      </c>
      <c r="B41" s="611">
        <f t="shared" ca="1" si="59"/>
        <v>0</v>
      </c>
      <c r="C41" s="611">
        <f t="shared" ca="1" si="60"/>
        <v>0</v>
      </c>
      <c r="D41" s="611">
        <f t="shared" ca="1" si="61"/>
        <v>0</v>
      </c>
      <c r="E41" s="611">
        <f t="shared" ca="1" si="62"/>
        <v>0</v>
      </c>
      <c r="F41" s="611">
        <f t="shared" ca="1" si="63"/>
        <v>0</v>
      </c>
      <c r="G41" s="611">
        <f t="shared" ca="1" si="64"/>
        <v>0</v>
      </c>
      <c r="H41" s="611">
        <f t="shared" ca="1" si="65"/>
        <v>0</v>
      </c>
      <c r="I41" s="611">
        <f t="shared" ca="1" si="66"/>
        <v>0</v>
      </c>
      <c r="J41" s="611">
        <f t="shared" ca="1" si="67"/>
        <v>26</v>
      </c>
      <c r="K41" s="611">
        <f t="shared" ca="1" si="68"/>
        <v>1</v>
      </c>
      <c r="L41" s="611">
        <f t="shared" ca="1" si="69"/>
        <v>27</v>
      </c>
      <c r="M41" s="611"/>
      <c r="N41" s="1138" t="str">
        <f t="shared" si="58"/>
        <v>Efficiency ranges:</v>
      </c>
      <c r="O41" s="611"/>
      <c r="P41" s="611"/>
      <c r="Q41" s="611"/>
      <c r="R41" s="611"/>
      <c r="S41" s="611"/>
      <c r="T41" s="611"/>
      <c r="U41" s="611"/>
      <c r="V41" s="611"/>
      <c r="W41" s="611"/>
      <c r="X41" s="611"/>
      <c r="Y41" s="611"/>
      <c r="Z41" s="611"/>
      <c r="AA41" s="611"/>
      <c r="AB41" s="611"/>
      <c r="AC41" s="611"/>
      <c r="AD41" s="611"/>
      <c r="AE41" s="611"/>
      <c r="AF41" s="611"/>
      <c r="AG41" s="611">
        <v>0</v>
      </c>
      <c r="AH41" s="611">
        <v>0</v>
      </c>
      <c r="AI41" s="611">
        <v>0</v>
      </c>
      <c r="AJ41" s="611">
        <v>0</v>
      </c>
      <c r="AK41" s="611">
        <v>0</v>
      </c>
      <c r="AL41" s="611">
        <v>0</v>
      </c>
      <c r="AM41" s="611">
        <v>0</v>
      </c>
      <c r="AN41" s="611">
        <v>0</v>
      </c>
      <c r="AO41" s="612">
        <v>26</v>
      </c>
      <c r="AP41" s="612">
        <v>1</v>
      </c>
      <c r="AQ41" s="1103">
        <f t="shared" si="48"/>
        <v>27</v>
      </c>
      <c r="AR41" s="611">
        <v>0</v>
      </c>
      <c r="AS41" s="611">
        <v>0</v>
      </c>
      <c r="AT41" s="611">
        <v>0</v>
      </c>
      <c r="AU41" s="611">
        <v>0</v>
      </c>
      <c r="AV41" s="611">
        <v>0</v>
      </c>
      <c r="AW41" s="611">
        <v>0</v>
      </c>
      <c r="AX41" s="611">
        <v>0</v>
      </c>
      <c r="AY41" s="611">
        <v>0</v>
      </c>
      <c r="AZ41" s="612">
        <v>26</v>
      </c>
      <c r="BA41" s="612">
        <v>1</v>
      </c>
      <c r="BB41" s="1103">
        <f t="shared" si="49"/>
        <v>27</v>
      </c>
      <c r="BC41" s="611">
        <v>0</v>
      </c>
      <c r="BD41" s="611">
        <v>0</v>
      </c>
      <c r="BE41" s="611">
        <v>0</v>
      </c>
      <c r="BF41" s="611">
        <v>0</v>
      </c>
      <c r="BG41" s="611">
        <v>0</v>
      </c>
      <c r="BH41" s="611">
        <v>0</v>
      </c>
      <c r="BI41" s="611">
        <v>0</v>
      </c>
      <c r="BJ41" s="611">
        <v>0</v>
      </c>
      <c r="BK41" s="612">
        <v>26</v>
      </c>
      <c r="BL41" s="612">
        <v>1</v>
      </c>
      <c r="BM41" s="1103">
        <f t="shared" si="50"/>
        <v>27</v>
      </c>
    </row>
    <row r="42" spans="1:65" ht="9" customHeight="1" x14ac:dyDescent="0.15">
      <c r="A42" s="611" t="str">
        <f>'Published Balance'!A42</f>
        <v>Non-specified</v>
      </c>
      <c r="B42" s="611">
        <f t="shared" ca="1" si="59"/>
        <v>0</v>
      </c>
      <c r="C42" s="611">
        <f t="shared" ca="1" si="60"/>
        <v>0</v>
      </c>
      <c r="D42" s="611">
        <f t="shared" ca="1" si="61"/>
        <v>0</v>
      </c>
      <c r="E42" s="611">
        <f t="shared" ca="1" si="62"/>
        <v>0</v>
      </c>
      <c r="F42" s="611">
        <f t="shared" ca="1" si="63"/>
        <v>0</v>
      </c>
      <c r="G42" s="611">
        <f t="shared" ca="1" si="64"/>
        <v>0</v>
      </c>
      <c r="H42" s="611">
        <f t="shared" ca="1" si="65"/>
        <v>0</v>
      </c>
      <c r="I42" s="611">
        <f t="shared" ca="1" si="66"/>
        <v>0</v>
      </c>
      <c r="J42" s="611">
        <f t="shared" ca="1" si="67"/>
        <v>8</v>
      </c>
      <c r="K42" s="611">
        <f t="shared" ca="1" si="68"/>
        <v>0</v>
      </c>
      <c r="L42" s="611">
        <f t="shared" ca="1" si="69"/>
        <v>8</v>
      </c>
      <c r="M42" s="611"/>
      <c r="N42" s="1137" t="str">
        <f t="shared" si="58"/>
        <v>Electricity-only plants: 30-40%</v>
      </c>
      <c r="O42" s="611"/>
      <c r="P42" s="611"/>
      <c r="Q42" s="611"/>
      <c r="R42" s="611"/>
      <c r="S42" s="611"/>
      <c r="T42" s="611"/>
      <c r="U42" s="611"/>
      <c r="V42" s="611"/>
      <c r="W42" s="611"/>
      <c r="X42" s="611"/>
      <c r="Y42" s="611"/>
      <c r="Z42" s="611"/>
      <c r="AA42" s="611"/>
      <c r="AB42" s="611"/>
      <c r="AC42" s="611"/>
      <c r="AD42" s="611"/>
      <c r="AE42" s="611"/>
      <c r="AF42" s="611"/>
      <c r="AG42" s="611">
        <v>0</v>
      </c>
      <c r="AH42" s="611">
        <v>0</v>
      </c>
      <c r="AI42" s="611">
        <v>0</v>
      </c>
      <c r="AJ42" s="611">
        <v>0</v>
      </c>
      <c r="AK42" s="611">
        <v>0</v>
      </c>
      <c r="AL42" s="611">
        <v>0</v>
      </c>
      <c r="AM42" s="611">
        <v>0</v>
      </c>
      <c r="AN42" s="611">
        <v>0</v>
      </c>
      <c r="AO42" s="612">
        <v>8</v>
      </c>
      <c r="AP42" s="611">
        <v>0</v>
      </c>
      <c r="AQ42" s="1103">
        <f t="shared" si="48"/>
        <v>8</v>
      </c>
      <c r="AR42" s="611">
        <v>0</v>
      </c>
      <c r="AS42" s="611">
        <v>0</v>
      </c>
      <c r="AT42" s="611">
        <v>0</v>
      </c>
      <c r="AU42" s="611">
        <v>0</v>
      </c>
      <c r="AV42" s="611">
        <v>0</v>
      </c>
      <c r="AW42" s="611">
        <v>0</v>
      </c>
      <c r="AX42" s="611">
        <v>0</v>
      </c>
      <c r="AY42" s="611">
        <v>0</v>
      </c>
      <c r="AZ42" s="612">
        <v>8</v>
      </c>
      <c r="BA42" s="612">
        <v>0</v>
      </c>
      <c r="BB42" s="1103">
        <f t="shared" si="49"/>
        <v>8</v>
      </c>
      <c r="BC42" s="611">
        <v>0</v>
      </c>
      <c r="BD42" s="1125">
        <v>500</v>
      </c>
      <c r="BE42" s="611">
        <v>0</v>
      </c>
      <c r="BF42" s="611">
        <v>0</v>
      </c>
      <c r="BG42" s="611">
        <v>0</v>
      </c>
      <c r="BH42" s="611">
        <v>0</v>
      </c>
      <c r="BI42" s="611">
        <v>0</v>
      </c>
      <c r="BJ42" s="611">
        <v>0</v>
      </c>
      <c r="BK42" s="1125">
        <v>1000</v>
      </c>
      <c r="BL42" s="611">
        <v>0</v>
      </c>
      <c r="BM42" s="1103">
        <f t="shared" si="50"/>
        <v>1500</v>
      </c>
    </row>
    <row r="43" spans="1:65" ht="9" customHeight="1" x14ac:dyDescent="0.15">
      <c r="A43" s="612" t="str">
        <f>'Published Balance'!A43</f>
        <v>TRANSPORT</v>
      </c>
      <c r="B43" s="612">
        <f t="shared" ca="1" si="59"/>
        <v>0</v>
      </c>
      <c r="C43" s="612">
        <f t="shared" ca="1" si="60"/>
        <v>0</v>
      </c>
      <c r="D43" s="612">
        <f t="shared" ca="1" si="61"/>
        <v>0</v>
      </c>
      <c r="E43" s="612">
        <f t="shared" ca="1" si="62"/>
        <v>0</v>
      </c>
      <c r="F43" s="612">
        <f t="shared" ca="1" si="63"/>
        <v>0</v>
      </c>
      <c r="G43" s="612">
        <f t="shared" ca="1" si="64"/>
        <v>0</v>
      </c>
      <c r="H43" s="612">
        <f t="shared" ca="1" si="65"/>
        <v>0</v>
      </c>
      <c r="I43" s="612">
        <f t="shared" ca="1" si="66"/>
        <v>0</v>
      </c>
      <c r="J43" s="612">
        <f t="shared" ca="1" si="67"/>
        <v>406</v>
      </c>
      <c r="K43" s="612">
        <f t="shared" ca="1" si="68"/>
        <v>0</v>
      </c>
      <c r="L43" s="612">
        <f t="shared" ca="1" si="69"/>
        <v>406</v>
      </c>
      <c r="M43" s="612"/>
      <c r="N43" s="1137" t="str">
        <f t="shared" si="58"/>
        <v>CHP plants: 75-90%</v>
      </c>
      <c r="O43" s="612"/>
      <c r="P43" s="612"/>
      <c r="Q43" s="612"/>
      <c r="R43" s="612"/>
      <c r="S43" s="612"/>
      <c r="T43" s="612"/>
      <c r="U43" s="612"/>
      <c r="V43" s="612"/>
      <c r="W43" s="612"/>
      <c r="X43" s="612"/>
      <c r="Y43" s="612"/>
      <c r="Z43" s="612"/>
      <c r="AA43" s="612"/>
      <c r="AB43" s="612"/>
      <c r="AC43" s="612"/>
      <c r="AD43" s="612"/>
      <c r="AE43" s="612"/>
      <c r="AF43" s="612"/>
      <c r="AG43" s="1108">
        <f>SUM(AG44:AG49)</f>
        <v>0</v>
      </c>
      <c r="AH43" s="1108">
        <f t="shared" ref="AH43:AP43" si="70">SUM(AH44:AH49)</f>
        <v>0</v>
      </c>
      <c r="AI43" s="1108">
        <f t="shared" si="70"/>
        <v>0</v>
      </c>
      <c r="AJ43" s="1108">
        <f t="shared" si="70"/>
        <v>0</v>
      </c>
      <c r="AK43" s="1108">
        <f t="shared" si="70"/>
        <v>0</v>
      </c>
      <c r="AL43" s="1108">
        <f t="shared" si="70"/>
        <v>0</v>
      </c>
      <c r="AM43" s="1108">
        <f t="shared" si="70"/>
        <v>0</v>
      </c>
      <c r="AN43" s="1108">
        <f t="shared" si="70"/>
        <v>0</v>
      </c>
      <c r="AO43" s="1108">
        <f t="shared" si="70"/>
        <v>406</v>
      </c>
      <c r="AP43" s="1108">
        <f t="shared" si="70"/>
        <v>0</v>
      </c>
      <c r="AQ43" s="1109">
        <f t="shared" si="48"/>
        <v>406</v>
      </c>
      <c r="AR43" s="1108">
        <f>SUM(AR44:AR49)</f>
        <v>0</v>
      </c>
      <c r="AS43" s="1108">
        <f t="shared" ref="AS43:BA43" si="71">SUM(AS44:AS49)</f>
        <v>0</v>
      </c>
      <c r="AT43" s="1108">
        <f t="shared" si="71"/>
        <v>6000</v>
      </c>
      <c r="AU43" s="1108">
        <f t="shared" si="71"/>
        <v>0</v>
      </c>
      <c r="AV43" s="1108">
        <f t="shared" si="71"/>
        <v>0</v>
      </c>
      <c r="AW43" s="1108">
        <f t="shared" si="71"/>
        <v>0</v>
      </c>
      <c r="AX43" s="1108">
        <f t="shared" si="71"/>
        <v>0</v>
      </c>
      <c r="AY43" s="1108">
        <f t="shared" si="71"/>
        <v>0</v>
      </c>
      <c r="AZ43" s="1108">
        <f t="shared" si="71"/>
        <v>406</v>
      </c>
      <c r="BA43" s="1108">
        <f t="shared" si="71"/>
        <v>0</v>
      </c>
      <c r="BB43" s="1109">
        <f t="shared" si="49"/>
        <v>6406</v>
      </c>
      <c r="BC43" s="1108">
        <f>SUM(BC44:BC49)</f>
        <v>150</v>
      </c>
      <c r="BD43" s="1108">
        <f t="shared" ref="BD43:BL43" si="72">SUM(BD44:BD49)</f>
        <v>100</v>
      </c>
      <c r="BE43" s="1108">
        <f t="shared" si="72"/>
        <v>6000</v>
      </c>
      <c r="BF43" s="1108">
        <f t="shared" si="72"/>
        <v>0</v>
      </c>
      <c r="BG43" s="1108">
        <f t="shared" si="72"/>
        <v>0</v>
      </c>
      <c r="BH43" s="1108">
        <f t="shared" si="72"/>
        <v>0</v>
      </c>
      <c r="BI43" s="1108">
        <f t="shared" si="72"/>
        <v>0</v>
      </c>
      <c r="BJ43" s="1108">
        <f t="shared" si="72"/>
        <v>0</v>
      </c>
      <c r="BK43" s="1108">
        <f t="shared" si="72"/>
        <v>406</v>
      </c>
      <c r="BL43" s="1108">
        <f t="shared" si="72"/>
        <v>0</v>
      </c>
      <c r="BM43" s="1109">
        <f t="shared" si="50"/>
        <v>6656</v>
      </c>
    </row>
    <row r="44" spans="1:65" ht="9" customHeight="1" x14ac:dyDescent="0.15">
      <c r="A44" s="611" t="str">
        <f>'Published Balance'!A44</f>
        <v>Domestic aviation</v>
      </c>
      <c r="B44" s="611">
        <f t="shared" ca="1" si="59"/>
        <v>0</v>
      </c>
      <c r="C44" s="611">
        <f t="shared" ca="1" si="60"/>
        <v>0</v>
      </c>
      <c r="D44" s="611">
        <f t="shared" ca="1" si="61"/>
        <v>0</v>
      </c>
      <c r="E44" s="611">
        <f t="shared" ca="1" si="62"/>
        <v>0</v>
      </c>
      <c r="F44" s="611">
        <f t="shared" ca="1" si="63"/>
        <v>0</v>
      </c>
      <c r="G44" s="611">
        <f t="shared" ca="1" si="64"/>
        <v>0</v>
      </c>
      <c r="H44" s="611">
        <f t="shared" ca="1" si="65"/>
        <v>0</v>
      </c>
      <c r="I44" s="611">
        <f t="shared" ca="1" si="66"/>
        <v>0</v>
      </c>
      <c r="J44" s="611">
        <f t="shared" ca="1" si="67"/>
        <v>0</v>
      </c>
      <c r="K44" s="611">
        <f t="shared" ca="1" si="68"/>
        <v>0</v>
      </c>
      <c r="L44" s="611">
        <f t="shared" ca="1" si="69"/>
        <v>0</v>
      </c>
      <c r="M44" s="611"/>
      <c r="N44" s="1137" t="str">
        <f t="shared" si="58"/>
        <v>Refinery losses: 0-5%</v>
      </c>
      <c r="O44" s="611"/>
      <c r="P44" s="611"/>
      <c r="Q44" s="611"/>
      <c r="R44" s="611"/>
      <c r="S44" s="611"/>
      <c r="T44" s="611"/>
      <c r="U44" s="611"/>
      <c r="V44" s="611"/>
      <c r="W44" s="611"/>
      <c r="X44" s="611"/>
      <c r="Y44" s="611"/>
      <c r="Z44" s="611"/>
      <c r="AA44" s="611"/>
      <c r="AB44" s="611"/>
      <c r="AC44" s="611"/>
      <c r="AD44" s="611"/>
      <c r="AE44" s="611"/>
      <c r="AF44" s="611"/>
      <c r="AG44" s="611">
        <v>0</v>
      </c>
      <c r="AH44" s="611">
        <v>0</v>
      </c>
      <c r="AI44" s="611">
        <v>0</v>
      </c>
      <c r="AJ44" s="611">
        <v>0</v>
      </c>
      <c r="AK44" s="611">
        <v>0</v>
      </c>
      <c r="AL44" s="611">
        <v>0</v>
      </c>
      <c r="AM44" s="611">
        <v>0</v>
      </c>
      <c r="AN44" s="611">
        <v>0</v>
      </c>
      <c r="AO44" s="611">
        <v>0</v>
      </c>
      <c r="AP44" s="611">
        <v>0</v>
      </c>
      <c r="AQ44" s="1103">
        <f t="shared" si="48"/>
        <v>0</v>
      </c>
      <c r="AR44" s="611">
        <v>0</v>
      </c>
      <c r="AS44" s="611">
        <v>0</v>
      </c>
      <c r="AT44" s="611">
        <v>0</v>
      </c>
      <c r="AU44" s="611">
        <v>0</v>
      </c>
      <c r="AV44" s="611">
        <v>0</v>
      </c>
      <c r="AW44" s="611">
        <v>0</v>
      </c>
      <c r="AX44" s="611">
        <v>0</v>
      </c>
      <c r="AY44" s="611">
        <v>0</v>
      </c>
      <c r="AZ44" s="611">
        <v>0</v>
      </c>
      <c r="BA44" s="611">
        <v>0</v>
      </c>
      <c r="BB44" s="1103">
        <f t="shared" si="49"/>
        <v>0</v>
      </c>
      <c r="BC44" s="1128">
        <v>50</v>
      </c>
      <c r="BD44" s="611">
        <v>0</v>
      </c>
      <c r="BE44" s="611">
        <v>0</v>
      </c>
      <c r="BF44" s="611">
        <v>0</v>
      </c>
      <c r="BG44" s="611">
        <v>0</v>
      </c>
      <c r="BH44" s="611">
        <v>0</v>
      </c>
      <c r="BI44" s="611">
        <v>0</v>
      </c>
      <c r="BJ44" s="611">
        <v>0</v>
      </c>
      <c r="BK44" s="611">
        <v>0</v>
      </c>
      <c r="BL44" s="611">
        <v>0</v>
      </c>
      <c r="BM44" s="1103">
        <f t="shared" si="50"/>
        <v>50</v>
      </c>
    </row>
    <row r="45" spans="1:65" ht="9" customHeight="1" x14ac:dyDescent="0.15">
      <c r="A45" s="611" t="str">
        <f>'Published Balance'!A45</f>
        <v>Road</v>
      </c>
      <c r="B45" s="611">
        <f t="shared" ca="1" si="59"/>
        <v>0</v>
      </c>
      <c r="C45" s="611">
        <f t="shared" ca="1" si="60"/>
        <v>0</v>
      </c>
      <c r="D45" s="611">
        <f t="shared" ca="1" si="61"/>
        <v>0</v>
      </c>
      <c r="E45" s="611">
        <f t="shared" ca="1" si="62"/>
        <v>0</v>
      </c>
      <c r="F45" s="611">
        <f t="shared" ca="1" si="63"/>
        <v>0</v>
      </c>
      <c r="G45" s="611">
        <f t="shared" ca="1" si="64"/>
        <v>0</v>
      </c>
      <c r="H45" s="611">
        <f t="shared" ca="1" si="65"/>
        <v>0</v>
      </c>
      <c r="I45" s="611">
        <f t="shared" ca="1" si="66"/>
        <v>0</v>
      </c>
      <c r="J45" s="611">
        <f t="shared" ca="1" si="67"/>
        <v>50</v>
      </c>
      <c r="K45" s="611">
        <f t="shared" ca="1" si="68"/>
        <v>0</v>
      </c>
      <c r="L45" s="611">
        <f t="shared" ca="1" si="69"/>
        <v>50</v>
      </c>
      <c r="M45" s="611"/>
      <c r="O45" s="611"/>
      <c r="P45" s="611"/>
      <c r="Q45" s="611"/>
      <c r="R45" s="611"/>
      <c r="S45" s="611"/>
      <c r="T45" s="611"/>
      <c r="U45" s="611"/>
      <c r="V45" s="611"/>
      <c r="W45" s="611"/>
      <c r="X45" s="611"/>
      <c r="Y45" s="611"/>
      <c r="Z45" s="611"/>
      <c r="AA45" s="611"/>
      <c r="AB45" s="611"/>
      <c r="AC45" s="611"/>
      <c r="AD45" s="611"/>
      <c r="AE45" s="611"/>
      <c r="AF45" s="611"/>
      <c r="AG45" s="611">
        <v>0</v>
      </c>
      <c r="AH45" s="611">
        <v>0</v>
      </c>
      <c r="AI45" s="1115">
        <v>0</v>
      </c>
      <c r="AJ45" s="611">
        <v>0</v>
      </c>
      <c r="AK45" s="611">
        <v>0</v>
      </c>
      <c r="AL45" s="611">
        <v>0</v>
      </c>
      <c r="AM45" s="611">
        <v>0</v>
      </c>
      <c r="AN45" s="611">
        <v>0</v>
      </c>
      <c r="AO45" s="612">
        <v>50</v>
      </c>
      <c r="AP45" s="611">
        <v>0</v>
      </c>
      <c r="AQ45" s="1103">
        <f t="shared" si="48"/>
        <v>50</v>
      </c>
      <c r="AR45" s="611">
        <v>0</v>
      </c>
      <c r="AS45" s="611">
        <v>0</v>
      </c>
      <c r="AT45" s="612">
        <v>6000</v>
      </c>
      <c r="AU45" s="611">
        <v>0</v>
      </c>
      <c r="AV45" s="611">
        <v>0</v>
      </c>
      <c r="AW45" s="611">
        <v>0</v>
      </c>
      <c r="AX45" s="611">
        <v>0</v>
      </c>
      <c r="AY45" s="611">
        <v>0</v>
      </c>
      <c r="AZ45" s="612">
        <v>50</v>
      </c>
      <c r="BA45" s="611">
        <v>0</v>
      </c>
      <c r="BB45" s="1103">
        <f t="shared" si="49"/>
        <v>6050</v>
      </c>
      <c r="BC45" s="611">
        <v>0</v>
      </c>
      <c r="BD45" s="1128">
        <v>100</v>
      </c>
      <c r="BE45" s="612">
        <v>6000</v>
      </c>
      <c r="BF45" s="611">
        <v>0</v>
      </c>
      <c r="BG45" s="611">
        <v>0</v>
      </c>
      <c r="BH45" s="611">
        <v>0</v>
      </c>
      <c r="BI45" s="611">
        <v>0</v>
      </c>
      <c r="BJ45" s="611">
        <v>0</v>
      </c>
      <c r="BK45" s="612">
        <v>50</v>
      </c>
      <c r="BL45" s="611">
        <v>0</v>
      </c>
      <c r="BM45" s="1103">
        <f t="shared" si="50"/>
        <v>6150</v>
      </c>
    </row>
    <row r="46" spans="1:65" ht="9" customHeight="1" x14ac:dyDescent="0.15">
      <c r="A46" s="611" t="str">
        <f>'Published Balance'!A46</f>
        <v>Rail</v>
      </c>
      <c r="B46" s="611">
        <f t="shared" ca="1" si="59"/>
        <v>0</v>
      </c>
      <c r="C46" s="611">
        <f t="shared" ca="1" si="60"/>
        <v>0</v>
      </c>
      <c r="D46" s="611">
        <f t="shared" ca="1" si="61"/>
        <v>0</v>
      </c>
      <c r="E46" s="611">
        <f t="shared" ca="1" si="62"/>
        <v>0</v>
      </c>
      <c r="F46" s="611">
        <f t="shared" ca="1" si="63"/>
        <v>0</v>
      </c>
      <c r="G46" s="611">
        <f t="shared" ca="1" si="64"/>
        <v>0</v>
      </c>
      <c r="H46" s="611">
        <f t="shared" ca="1" si="65"/>
        <v>0</v>
      </c>
      <c r="I46" s="611">
        <f t="shared" ca="1" si="66"/>
        <v>0</v>
      </c>
      <c r="J46" s="611">
        <f t="shared" ca="1" si="67"/>
        <v>356</v>
      </c>
      <c r="K46" s="611">
        <f t="shared" ca="1" si="68"/>
        <v>0</v>
      </c>
      <c r="L46" s="611">
        <f t="shared" ca="1" si="69"/>
        <v>356</v>
      </c>
      <c r="M46" s="611"/>
      <c r="O46" s="611"/>
      <c r="P46" s="611"/>
      <c r="Q46" s="611"/>
      <c r="R46" s="611"/>
      <c r="S46" s="611"/>
      <c r="T46" s="611"/>
      <c r="U46" s="611"/>
      <c r="V46" s="611"/>
      <c r="W46" s="611"/>
      <c r="X46" s="611"/>
      <c r="Y46" s="611"/>
      <c r="Z46" s="611"/>
      <c r="AA46" s="611"/>
      <c r="AB46" s="611"/>
      <c r="AC46" s="611"/>
      <c r="AD46" s="611"/>
      <c r="AE46" s="611"/>
      <c r="AF46" s="611"/>
      <c r="AG46" s="611">
        <v>0</v>
      </c>
      <c r="AH46" s="611">
        <v>0</v>
      </c>
      <c r="AI46" s="611">
        <v>0</v>
      </c>
      <c r="AJ46" s="611">
        <v>0</v>
      </c>
      <c r="AK46" s="611">
        <v>0</v>
      </c>
      <c r="AL46" s="611">
        <v>0</v>
      </c>
      <c r="AM46" s="611">
        <v>0</v>
      </c>
      <c r="AN46" s="611">
        <v>0</v>
      </c>
      <c r="AO46" s="612">
        <v>356</v>
      </c>
      <c r="AP46" s="611">
        <v>0</v>
      </c>
      <c r="AQ46" s="1103">
        <f t="shared" si="48"/>
        <v>356</v>
      </c>
      <c r="AR46" s="611">
        <v>0</v>
      </c>
      <c r="AS46" s="611">
        <v>0</v>
      </c>
      <c r="AT46" s="611">
        <v>0</v>
      </c>
      <c r="AU46" s="611">
        <v>0</v>
      </c>
      <c r="AV46" s="611">
        <v>0</v>
      </c>
      <c r="AW46" s="611">
        <v>0</v>
      </c>
      <c r="AX46" s="611">
        <v>0</v>
      </c>
      <c r="AY46" s="611">
        <v>0</v>
      </c>
      <c r="AZ46" s="612">
        <v>356</v>
      </c>
      <c r="BA46" s="611">
        <v>0</v>
      </c>
      <c r="BB46" s="1103">
        <f t="shared" si="49"/>
        <v>356</v>
      </c>
      <c r="BC46" s="1125">
        <v>50</v>
      </c>
      <c r="BD46" s="611">
        <v>0</v>
      </c>
      <c r="BE46" s="611">
        <v>0</v>
      </c>
      <c r="BF46" s="611">
        <v>0</v>
      </c>
      <c r="BG46" s="611">
        <v>0</v>
      </c>
      <c r="BH46" s="611">
        <v>0</v>
      </c>
      <c r="BI46" s="611">
        <v>0</v>
      </c>
      <c r="BJ46" s="611">
        <v>0</v>
      </c>
      <c r="BK46" s="612">
        <v>356</v>
      </c>
      <c r="BL46" s="611">
        <v>0</v>
      </c>
      <c r="BM46" s="1103">
        <f t="shared" si="50"/>
        <v>406</v>
      </c>
    </row>
    <row r="47" spans="1:65" ht="9" customHeight="1" x14ac:dyDescent="0.15">
      <c r="A47" s="611" t="str">
        <f>'Published Balance'!A47</f>
        <v>Pipeline transport</v>
      </c>
      <c r="B47" s="611">
        <f t="shared" ca="1" si="59"/>
        <v>0</v>
      </c>
      <c r="C47" s="611">
        <f t="shared" ca="1" si="60"/>
        <v>0</v>
      </c>
      <c r="D47" s="611">
        <f t="shared" ca="1" si="61"/>
        <v>0</v>
      </c>
      <c r="E47" s="611">
        <f t="shared" ca="1" si="62"/>
        <v>0</v>
      </c>
      <c r="F47" s="611">
        <f t="shared" ca="1" si="63"/>
        <v>0</v>
      </c>
      <c r="G47" s="611">
        <f t="shared" ca="1" si="64"/>
        <v>0</v>
      </c>
      <c r="H47" s="611">
        <f t="shared" ca="1" si="65"/>
        <v>0</v>
      </c>
      <c r="I47" s="611">
        <f t="shared" ca="1" si="66"/>
        <v>0</v>
      </c>
      <c r="J47" s="611">
        <f t="shared" ca="1" si="67"/>
        <v>0</v>
      </c>
      <c r="K47" s="611">
        <f t="shared" ca="1" si="68"/>
        <v>0</v>
      </c>
      <c r="L47" s="611">
        <f t="shared" ca="1" si="69"/>
        <v>0</v>
      </c>
      <c r="M47" s="611"/>
      <c r="O47" s="611"/>
      <c r="P47" s="611"/>
      <c r="Q47" s="611"/>
      <c r="R47" s="611"/>
      <c r="S47" s="611"/>
      <c r="T47" s="611"/>
      <c r="U47" s="611"/>
      <c r="V47" s="611"/>
      <c r="W47" s="611"/>
      <c r="X47" s="611"/>
      <c r="Y47" s="611"/>
      <c r="Z47" s="611"/>
      <c r="AA47" s="611"/>
      <c r="AB47" s="611"/>
      <c r="AC47" s="611"/>
      <c r="AD47" s="611"/>
      <c r="AE47" s="611"/>
      <c r="AF47" s="611"/>
      <c r="AG47" s="611">
        <v>0</v>
      </c>
      <c r="AH47" s="611">
        <v>0</v>
      </c>
      <c r="AI47" s="611">
        <v>0</v>
      </c>
      <c r="AJ47" s="611">
        <v>0</v>
      </c>
      <c r="AK47" s="611">
        <v>0</v>
      </c>
      <c r="AL47" s="611">
        <v>0</v>
      </c>
      <c r="AM47" s="611">
        <v>0</v>
      </c>
      <c r="AN47" s="611">
        <v>0</v>
      </c>
      <c r="AO47" s="611">
        <v>0</v>
      </c>
      <c r="AP47" s="611">
        <v>0</v>
      </c>
      <c r="AQ47" s="1103">
        <f t="shared" si="48"/>
        <v>0</v>
      </c>
      <c r="AR47" s="611">
        <v>0</v>
      </c>
      <c r="AS47" s="611">
        <v>0</v>
      </c>
      <c r="AT47" s="611">
        <v>0</v>
      </c>
      <c r="AU47" s="611">
        <v>0</v>
      </c>
      <c r="AV47" s="611">
        <v>0</v>
      </c>
      <c r="AW47" s="611">
        <v>0</v>
      </c>
      <c r="AX47" s="611">
        <v>0</v>
      </c>
      <c r="AY47" s="611">
        <v>0</v>
      </c>
      <c r="AZ47" s="611">
        <v>0</v>
      </c>
      <c r="BA47" s="611">
        <v>0</v>
      </c>
      <c r="BB47" s="1103">
        <f t="shared" si="49"/>
        <v>0</v>
      </c>
      <c r="BC47" s="611">
        <v>0</v>
      </c>
      <c r="BD47" s="611">
        <v>0</v>
      </c>
      <c r="BE47" s="611">
        <v>0</v>
      </c>
      <c r="BF47" s="611">
        <v>0</v>
      </c>
      <c r="BG47" s="611">
        <v>0</v>
      </c>
      <c r="BH47" s="611">
        <v>0</v>
      </c>
      <c r="BI47" s="611">
        <v>0</v>
      </c>
      <c r="BJ47" s="611">
        <v>0</v>
      </c>
      <c r="BK47" s="611">
        <v>0</v>
      </c>
      <c r="BL47" s="611">
        <v>0</v>
      </c>
      <c r="BM47" s="1103">
        <f t="shared" si="50"/>
        <v>0</v>
      </c>
    </row>
    <row r="48" spans="1:65" ht="9" customHeight="1" x14ac:dyDescent="0.15">
      <c r="A48" s="611" t="str">
        <f>'Published Balance'!A48</f>
        <v>Domestic navigation</v>
      </c>
      <c r="B48" s="611">
        <f t="shared" ca="1" si="59"/>
        <v>0</v>
      </c>
      <c r="C48" s="611">
        <f t="shared" ca="1" si="60"/>
        <v>0</v>
      </c>
      <c r="D48" s="611">
        <f t="shared" ca="1" si="61"/>
        <v>0</v>
      </c>
      <c r="E48" s="611">
        <f t="shared" ca="1" si="62"/>
        <v>0</v>
      </c>
      <c r="F48" s="611">
        <f t="shared" ca="1" si="63"/>
        <v>0</v>
      </c>
      <c r="G48" s="611">
        <f t="shared" ca="1" si="64"/>
        <v>0</v>
      </c>
      <c r="H48" s="611">
        <f t="shared" ca="1" si="65"/>
        <v>0</v>
      </c>
      <c r="I48" s="611">
        <f t="shared" ca="1" si="66"/>
        <v>0</v>
      </c>
      <c r="J48" s="611">
        <f t="shared" ca="1" si="67"/>
        <v>0</v>
      </c>
      <c r="K48" s="611">
        <f t="shared" ca="1" si="68"/>
        <v>0</v>
      </c>
      <c r="L48" s="611">
        <f t="shared" ca="1" si="69"/>
        <v>0</v>
      </c>
      <c r="M48" s="611"/>
      <c r="O48" s="611"/>
      <c r="P48" s="611"/>
      <c r="Q48" s="611"/>
      <c r="R48" s="611"/>
      <c r="S48" s="611"/>
      <c r="T48" s="611"/>
      <c r="U48" s="611"/>
      <c r="V48" s="611"/>
      <c r="W48" s="611"/>
      <c r="X48" s="611"/>
      <c r="Y48" s="611"/>
      <c r="Z48" s="611"/>
      <c r="AA48" s="611"/>
      <c r="AB48" s="611"/>
      <c r="AC48" s="611"/>
      <c r="AD48" s="611"/>
      <c r="AE48" s="611"/>
      <c r="AF48" s="611"/>
      <c r="AG48" s="611">
        <v>0</v>
      </c>
      <c r="AH48" s="611">
        <v>0</v>
      </c>
      <c r="AI48" s="611">
        <v>0</v>
      </c>
      <c r="AJ48" s="611">
        <v>0</v>
      </c>
      <c r="AK48" s="611">
        <v>0</v>
      </c>
      <c r="AL48" s="611">
        <v>0</v>
      </c>
      <c r="AM48" s="611">
        <v>0</v>
      </c>
      <c r="AN48" s="611">
        <v>0</v>
      </c>
      <c r="AO48" s="611">
        <v>0</v>
      </c>
      <c r="AP48" s="611">
        <v>0</v>
      </c>
      <c r="AQ48" s="1103">
        <f t="shared" si="48"/>
        <v>0</v>
      </c>
      <c r="AR48" s="611">
        <v>0</v>
      </c>
      <c r="AS48" s="611">
        <v>0</v>
      </c>
      <c r="AT48" s="611">
        <v>0</v>
      </c>
      <c r="AU48" s="611">
        <v>0</v>
      </c>
      <c r="AV48" s="611">
        <v>0</v>
      </c>
      <c r="AW48" s="611">
        <v>0</v>
      </c>
      <c r="AX48" s="611">
        <v>0</v>
      </c>
      <c r="AY48" s="611">
        <v>0</v>
      </c>
      <c r="AZ48" s="611">
        <v>0</v>
      </c>
      <c r="BA48" s="611">
        <v>0</v>
      </c>
      <c r="BB48" s="1103">
        <f t="shared" si="49"/>
        <v>0</v>
      </c>
      <c r="BC48" s="1125">
        <v>50</v>
      </c>
      <c r="BD48" s="611">
        <v>0</v>
      </c>
      <c r="BE48" s="611">
        <v>0</v>
      </c>
      <c r="BF48" s="611">
        <v>0</v>
      </c>
      <c r="BG48" s="611">
        <v>0</v>
      </c>
      <c r="BH48" s="611">
        <v>0</v>
      </c>
      <c r="BI48" s="611">
        <v>0</v>
      </c>
      <c r="BJ48" s="611">
        <v>0</v>
      </c>
      <c r="BK48" s="611">
        <v>0</v>
      </c>
      <c r="BL48" s="611">
        <v>0</v>
      </c>
      <c r="BM48" s="1103">
        <f t="shared" si="50"/>
        <v>50</v>
      </c>
    </row>
    <row r="49" spans="1:65" ht="9" customHeight="1" x14ac:dyDescent="0.15">
      <c r="A49" s="611" t="str">
        <f>'Published Balance'!A49</f>
        <v>Non-specified</v>
      </c>
      <c r="B49" s="611">
        <f t="shared" ca="1" si="59"/>
        <v>0</v>
      </c>
      <c r="C49" s="611">
        <f t="shared" ca="1" si="60"/>
        <v>0</v>
      </c>
      <c r="D49" s="611">
        <f t="shared" ca="1" si="61"/>
        <v>0</v>
      </c>
      <c r="E49" s="611">
        <f t="shared" ca="1" si="62"/>
        <v>0</v>
      </c>
      <c r="F49" s="611">
        <f t="shared" ca="1" si="63"/>
        <v>0</v>
      </c>
      <c r="G49" s="611">
        <f t="shared" ca="1" si="64"/>
        <v>0</v>
      </c>
      <c r="H49" s="611">
        <f t="shared" ca="1" si="65"/>
        <v>0</v>
      </c>
      <c r="I49" s="611">
        <f t="shared" ca="1" si="66"/>
        <v>0</v>
      </c>
      <c r="J49" s="611">
        <f t="shared" ca="1" si="67"/>
        <v>0</v>
      </c>
      <c r="K49" s="611">
        <f t="shared" ca="1" si="68"/>
        <v>0</v>
      </c>
      <c r="L49" s="611">
        <f t="shared" ca="1" si="69"/>
        <v>0</v>
      </c>
      <c r="M49" s="611"/>
      <c r="N49" s="2315" t="str">
        <f>HLOOKUP(LangChoice,$AB$3:$AD$49,$AA29+1)</f>
        <v>Scenario 3: Unusual data points</v>
      </c>
      <c r="O49" s="611"/>
      <c r="P49" s="611"/>
      <c r="Q49" s="611"/>
      <c r="R49" s="611"/>
      <c r="S49" s="611"/>
      <c r="T49" s="611"/>
      <c r="U49" s="611"/>
      <c r="V49" s="611"/>
      <c r="W49" s="611"/>
      <c r="X49" s="611"/>
      <c r="Y49" s="611"/>
      <c r="Z49" s="611"/>
      <c r="AA49" s="611"/>
      <c r="AB49" s="611"/>
      <c r="AC49" s="611"/>
      <c r="AD49" s="611"/>
      <c r="AE49" s="611"/>
      <c r="AF49" s="611"/>
      <c r="AG49" s="611">
        <v>0</v>
      </c>
      <c r="AH49" s="611">
        <v>0</v>
      </c>
      <c r="AI49" s="611">
        <v>0</v>
      </c>
      <c r="AJ49" s="611">
        <v>0</v>
      </c>
      <c r="AK49" s="611">
        <v>0</v>
      </c>
      <c r="AL49" s="611">
        <v>0</v>
      </c>
      <c r="AM49" s="611">
        <v>0</v>
      </c>
      <c r="AN49" s="611">
        <v>0</v>
      </c>
      <c r="AO49" s="611">
        <v>0</v>
      </c>
      <c r="AP49" s="611">
        <v>0</v>
      </c>
      <c r="AQ49" s="1103">
        <f t="shared" si="48"/>
        <v>0</v>
      </c>
      <c r="AR49" s="611">
        <v>0</v>
      </c>
      <c r="AS49" s="611">
        <v>0</v>
      </c>
      <c r="AT49" s="611">
        <v>0</v>
      </c>
      <c r="AU49" s="611">
        <v>0</v>
      </c>
      <c r="AV49" s="611">
        <v>0</v>
      </c>
      <c r="AW49" s="611">
        <v>0</v>
      </c>
      <c r="AX49" s="611">
        <v>0</v>
      </c>
      <c r="AY49" s="611">
        <v>0</v>
      </c>
      <c r="AZ49" s="611">
        <v>0</v>
      </c>
      <c r="BA49" s="611">
        <v>0</v>
      </c>
      <c r="BB49" s="1103">
        <f t="shared" si="49"/>
        <v>0</v>
      </c>
      <c r="BC49" s="611">
        <v>0</v>
      </c>
      <c r="BD49" s="611">
        <v>0</v>
      </c>
      <c r="BE49" s="611">
        <v>0</v>
      </c>
      <c r="BF49" s="611">
        <v>0</v>
      </c>
      <c r="BG49" s="611">
        <v>0</v>
      </c>
      <c r="BH49" s="611">
        <v>0</v>
      </c>
      <c r="BI49" s="611">
        <v>0</v>
      </c>
      <c r="BJ49" s="611">
        <v>0</v>
      </c>
      <c r="BK49" s="611">
        <v>0</v>
      </c>
      <c r="BL49" s="611">
        <v>0</v>
      </c>
      <c r="BM49" s="1103">
        <f t="shared" si="50"/>
        <v>0</v>
      </c>
    </row>
    <row r="50" spans="1:65" ht="9" customHeight="1" x14ac:dyDescent="0.15">
      <c r="A50" s="612" t="str">
        <f>'Published Balance'!A50</f>
        <v>OTHER</v>
      </c>
      <c r="B50" s="612">
        <f t="shared" ca="1" si="59"/>
        <v>0</v>
      </c>
      <c r="C50" s="612">
        <f t="shared" ca="1" si="60"/>
        <v>0</v>
      </c>
      <c r="D50" s="612">
        <f t="shared" ca="1" si="61"/>
        <v>2000</v>
      </c>
      <c r="E50" s="612">
        <f t="shared" ca="1" si="62"/>
        <v>2500</v>
      </c>
      <c r="F50" s="612">
        <f t="shared" ca="1" si="63"/>
        <v>0</v>
      </c>
      <c r="G50" s="612">
        <f t="shared" ca="1" si="64"/>
        <v>0</v>
      </c>
      <c r="H50" s="612">
        <f t="shared" ca="1" si="65"/>
        <v>0</v>
      </c>
      <c r="I50" s="612">
        <f t="shared" ca="1" si="66"/>
        <v>0</v>
      </c>
      <c r="J50" s="612">
        <f t="shared" ca="1" si="67"/>
        <v>1179</v>
      </c>
      <c r="K50" s="612">
        <f t="shared" ca="1" si="68"/>
        <v>990</v>
      </c>
      <c r="L50" s="612">
        <f t="shared" ca="1" si="69"/>
        <v>6669</v>
      </c>
      <c r="M50" s="612"/>
      <c r="N50" s="2316"/>
      <c r="O50" s="612"/>
      <c r="P50" s="612"/>
      <c r="Q50" s="612"/>
      <c r="R50" s="612"/>
      <c r="S50" s="612"/>
      <c r="T50" s="612"/>
      <c r="U50" s="612"/>
      <c r="V50" s="612"/>
      <c r="W50" s="612"/>
      <c r="X50" s="612"/>
      <c r="Y50" s="612"/>
      <c r="Z50" s="612"/>
      <c r="AA50" s="612"/>
      <c r="AB50" s="612"/>
      <c r="AC50" s="612"/>
      <c r="AD50" s="612"/>
      <c r="AE50" s="612"/>
      <c r="AF50" s="612"/>
      <c r="AG50" s="1108">
        <f>SUM(AG51:AG55)</f>
        <v>0</v>
      </c>
      <c r="AH50" s="1108">
        <f t="shared" ref="AH50:AP50" si="73">SUM(AH51:AH55)</f>
        <v>0</v>
      </c>
      <c r="AI50" s="1108">
        <f t="shared" si="73"/>
        <v>2000</v>
      </c>
      <c r="AJ50" s="1108">
        <f t="shared" si="73"/>
        <v>2500</v>
      </c>
      <c r="AK50" s="1108">
        <f t="shared" si="73"/>
        <v>0</v>
      </c>
      <c r="AL50" s="1108">
        <f t="shared" si="73"/>
        <v>0</v>
      </c>
      <c r="AM50" s="1108">
        <f t="shared" si="73"/>
        <v>0</v>
      </c>
      <c r="AN50" s="1108">
        <f t="shared" si="73"/>
        <v>0</v>
      </c>
      <c r="AO50" s="1108">
        <f t="shared" si="73"/>
        <v>1179</v>
      </c>
      <c r="AP50" s="1108">
        <f t="shared" si="73"/>
        <v>990</v>
      </c>
      <c r="AQ50" s="1109">
        <f t="shared" si="48"/>
        <v>6669</v>
      </c>
      <c r="AR50" s="1108">
        <f>SUM(AR51:AR55)</f>
        <v>2500</v>
      </c>
      <c r="AS50" s="1108">
        <f t="shared" ref="AS50:BA50" si="74">SUM(AS51:AS55)</f>
        <v>0</v>
      </c>
      <c r="AT50" s="1108">
        <f t="shared" si="74"/>
        <v>2000</v>
      </c>
      <c r="AU50" s="1108">
        <f t="shared" si="74"/>
        <v>2500</v>
      </c>
      <c r="AV50" s="1108">
        <f t="shared" si="74"/>
        <v>0</v>
      </c>
      <c r="AW50" s="1108">
        <f t="shared" si="74"/>
        <v>0</v>
      </c>
      <c r="AX50" s="1108">
        <f t="shared" si="74"/>
        <v>0</v>
      </c>
      <c r="AY50" s="1108">
        <f t="shared" si="74"/>
        <v>0</v>
      </c>
      <c r="AZ50" s="1108">
        <f t="shared" si="74"/>
        <v>1179</v>
      </c>
      <c r="BA50" s="1108">
        <f t="shared" si="74"/>
        <v>990</v>
      </c>
      <c r="BB50" s="1109">
        <f t="shared" si="49"/>
        <v>9169</v>
      </c>
      <c r="BC50" s="1108">
        <f>SUM(BC51:BC55)</f>
        <v>2500</v>
      </c>
      <c r="BD50" s="1108">
        <f t="shared" ref="BD50:BL50" si="75">SUM(BD51:BD55)</f>
        <v>0</v>
      </c>
      <c r="BE50" s="1108">
        <f t="shared" si="75"/>
        <v>2000</v>
      </c>
      <c r="BF50" s="1108">
        <f t="shared" si="75"/>
        <v>2500</v>
      </c>
      <c r="BG50" s="1108">
        <f t="shared" si="75"/>
        <v>0</v>
      </c>
      <c r="BH50" s="1108">
        <f t="shared" si="75"/>
        <v>0</v>
      </c>
      <c r="BI50" s="1108">
        <f t="shared" si="75"/>
        <v>0</v>
      </c>
      <c r="BJ50" s="1108">
        <f t="shared" si="75"/>
        <v>0</v>
      </c>
      <c r="BK50" s="1108">
        <f t="shared" si="75"/>
        <v>1179</v>
      </c>
      <c r="BL50" s="1108">
        <f t="shared" si="75"/>
        <v>990</v>
      </c>
      <c r="BM50" s="1109">
        <f t="shared" si="50"/>
        <v>9169</v>
      </c>
    </row>
    <row r="51" spans="1:65" ht="9" customHeight="1" x14ac:dyDescent="0.15">
      <c r="A51" s="611" t="str">
        <f>'Published Balance'!A51</f>
        <v>Residential</v>
      </c>
      <c r="B51" s="611">
        <f t="shared" ca="1" si="59"/>
        <v>0</v>
      </c>
      <c r="C51" s="611">
        <f t="shared" ca="1" si="60"/>
        <v>0</v>
      </c>
      <c r="D51" s="611">
        <f t="shared" ca="1" si="61"/>
        <v>1000</v>
      </c>
      <c r="E51" s="611">
        <f t="shared" ca="1" si="62"/>
        <v>2500</v>
      </c>
      <c r="F51" s="611">
        <f t="shared" ca="1" si="63"/>
        <v>0</v>
      </c>
      <c r="G51" s="611">
        <f t="shared" ca="1" si="64"/>
        <v>0</v>
      </c>
      <c r="H51" s="611">
        <f t="shared" ca="1" si="65"/>
        <v>0</v>
      </c>
      <c r="I51" s="611">
        <f t="shared" ca="1" si="66"/>
        <v>0</v>
      </c>
      <c r="J51" s="611">
        <f t="shared" ca="1" si="67"/>
        <v>782</v>
      </c>
      <c r="K51" s="611">
        <f t="shared" ca="1" si="68"/>
        <v>740</v>
      </c>
      <c r="L51" s="611">
        <f t="shared" ca="1" si="69"/>
        <v>5022</v>
      </c>
      <c r="M51" s="611"/>
      <c r="N51" s="2312" t="str">
        <f>HLOOKUP(LangChoice,$AB$3:$AD$49,$AA30+1)</f>
        <v>Look at the values in the balance. Can you find figures requiring double-checking? Can you find figures that are clearly wrong?</v>
      </c>
      <c r="O51" s="611"/>
      <c r="P51" s="611"/>
      <c r="Q51" s="611"/>
      <c r="R51" s="611"/>
      <c r="S51" s="611"/>
      <c r="T51" s="611"/>
      <c r="U51" s="611"/>
      <c r="V51" s="611"/>
      <c r="W51" s="611"/>
      <c r="X51" s="611"/>
      <c r="Y51" s="611"/>
      <c r="Z51" s="611"/>
      <c r="AA51" s="611"/>
      <c r="AB51" s="611"/>
      <c r="AC51" s="611"/>
      <c r="AD51" s="611"/>
      <c r="AE51" s="611"/>
      <c r="AF51" s="611"/>
      <c r="AG51" s="1123">
        <v>0</v>
      </c>
      <c r="AH51" s="611">
        <v>0</v>
      </c>
      <c r="AI51" s="612">
        <v>1000</v>
      </c>
      <c r="AJ51" s="612">
        <v>2500</v>
      </c>
      <c r="AK51" s="611">
        <v>0</v>
      </c>
      <c r="AL51" s="611">
        <v>0</v>
      </c>
      <c r="AM51" s="611">
        <v>0</v>
      </c>
      <c r="AN51" s="611">
        <v>0</v>
      </c>
      <c r="AO51" s="612">
        <v>782</v>
      </c>
      <c r="AP51" s="612">
        <v>740</v>
      </c>
      <c r="AQ51" s="1103">
        <f t="shared" si="48"/>
        <v>5022</v>
      </c>
      <c r="AR51" s="612">
        <v>2500</v>
      </c>
      <c r="AS51" s="611">
        <v>0</v>
      </c>
      <c r="AT51" s="612">
        <v>1000</v>
      </c>
      <c r="AU51" s="612">
        <v>2500</v>
      </c>
      <c r="AV51" s="611">
        <v>0</v>
      </c>
      <c r="AW51" s="611">
        <v>0</v>
      </c>
      <c r="AX51" s="611">
        <v>0</v>
      </c>
      <c r="AY51" s="611">
        <v>0</v>
      </c>
      <c r="AZ51" s="612">
        <v>782</v>
      </c>
      <c r="BA51" s="612">
        <v>740</v>
      </c>
      <c r="BB51" s="1103">
        <f t="shared" si="49"/>
        <v>7522</v>
      </c>
      <c r="BC51" s="612">
        <v>2500</v>
      </c>
      <c r="BD51" s="611">
        <v>0</v>
      </c>
      <c r="BE51" s="612">
        <v>1000</v>
      </c>
      <c r="BF51" s="612">
        <v>2500</v>
      </c>
      <c r="BG51" s="611">
        <v>0</v>
      </c>
      <c r="BH51" s="611">
        <v>0</v>
      </c>
      <c r="BI51" s="611">
        <v>0</v>
      </c>
      <c r="BJ51" s="611">
        <v>0</v>
      </c>
      <c r="BK51" s="612">
        <v>782</v>
      </c>
      <c r="BL51" s="612">
        <v>740</v>
      </c>
      <c r="BM51" s="1103">
        <f t="shared" si="50"/>
        <v>7522</v>
      </c>
    </row>
    <row r="52" spans="1:65" ht="9" customHeight="1" x14ac:dyDescent="0.15">
      <c r="A52" s="611" t="str">
        <f>'Published Balance'!A52</f>
        <v>Comm. and public services</v>
      </c>
      <c r="B52" s="611">
        <f t="shared" ca="1" si="59"/>
        <v>0</v>
      </c>
      <c r="C52" s="611">
        <f t="shared" ca="1" si="60"/>
        <v>0</v>
      </c>
      <c r="D52" s="611">
        <f t="shared" ca="1" si="61"/>
        <v>0</v>
      </c>
      <c r="E52" s="611">
        <f t="shared" ca="1" si="62"/>
        <v>0</v>
      </c>
      <c r="F52" s="611">
        <f t="shared" ca="1" si="63"/>
        <v>0</v>
      </c>
      <c r="G52" s="611">
        <f t="shared" ca="1" si="64"/>
        <v>0</v>
      </c>
      <c r="H52" s="611">
        <f t="shared" ca="1" si="65"/>
        <v>0</v>
      </c>
      <c r="I52" s="611">
        <f t="shared" ca="1" si="66"/>
        <v>0</v>
      </c>
      <c r="J52" s="611">
        <f t="shared" ca="1" si="67"/>
        <v>397</v>
      </c>
      <c r="K52" s="611">
        <f t="shared" ca="1" si="68"/>
        <v>250</v>
      </c>
      <c r="L52" s="611">
        <f t="shared" ca="1" si="69"/>
        <v>647</v>
      </c>
      <c r="M52" s="611"/>
      <c r="N52" s="2313"/>
      <c r="O52" s="611"/>
      <c r="P52" s="611"/>
      <c r="Q52" s="611"/>
      <c r="R52" s="611"/>
      <c r="S52" s="611"/>
      <c r="T52" s="611"/>
      <c r="U52" s="611"/>
      <c r="V52" s="611"/>
      <c r="W52" s="611"/>
      <c r="X52" s="611"/>
      <c r="Y52" s="611"/>
      <c r="Z52" s="611"/>
      <c r="AA52" s="611"/>
      <c r="AB52" s="611"/>
      <c r="AC52" s="611"/>
      <c r="AD52" s="611"/>
      <c r="AE52" s="611"/>
      <c r="AF52" s="611"/>
      <c r="AG52" s="611">
        <v>0</v>
      </c>
      <c r="AH52" s="611">
        <v>0</v>
      </c>
      <c r="AI52" s="611">
        <v>0</v>
      </c>
      <c r="AJ52" s="611">
        <v>0</v>
      </c>
      <c r="AK52" s="611">
        <v>0</v>
      </c>
      <c r="AL52" s="611">
        <v>0</v>
      </c>
      <c r="AM52" s="611">
        <v>0</v>
      </c>
      <c r="AN52" s="611">
        <v>0</v>
      </c>
      <c r="AO52" s="612">
        <v>397</v>
      </c>
      <c r="AP52" s="612">
        <v>250</v>
      </c>
      <c r="AQ52" s="1103">
        <f t="shared" si="48"/>
        <v>647</v>
      </c>
      <c r="AR52" s="611">
        <v>0</v>
      </c>
      <c r="AS52" s="611">
        <v>0</v>
      </c>
      <c r="AT52" s="611">
        <v>0</v>
      </c>
      <c r="AU52" s="611">
        <v>0</v>
      </c>
      <c r="AV52" s="611">
        <v>0</v>
      </c>
      <c r="AW52" s="611">
        <v>0</v>
      </c>
      <c r="AX52" s="611">
        <v>0</v>
      </c>
      <c r="AY52" s="611">
        <v>0</v>
      </c>
      <c r="AZ52" s="612">
        <v>397</v>
      </c>
      <c r="BA52" s="612">
        <v>250</v>
      </c>
      <c r="BB52" s="1103">
        <f t="shared" si="49"/>
        <v>647</v>
      </c>
      <c r="BC52" s="611">
        <v>0</v>
      </c>
      <c r="BD52" s="611">
        <v>0</v>
      </c>
      <c r="BE52" s="611">
        <v>0</v>
      </c>
      <c r="BF52" s="611">
        <v>0</v>
      </c>
      <c r="BG52" s="611">
        <v>0</v>
      </c>
      <c r="BH52" s="611">
        <v>0</v>
      </c>
      <c r="BI52" s="611">
        <v>0</v>
      </c>
      <c r="BJ52" s="611">
        <v>0</v>
      </c>
      <c r="BK52" s="612">
        <v>397</v>
      </c>
      <c r="BL52" s="612">
        <v>250</v>
      </c>
      <c r="BM52" s="1103">
        <f t="shared" si="50"/>
        <v>647</v>
      </c>
    </row>
    <row r="53" spans="1:65" ht="9" customHeight="1" x14ac:dyDescent="0.15">
      <c r="A53" s="611" t="str">
        <f>'Published Balance'!A53</f>
        <v>Agriculture/forestry</v>
      </c>
      <c r="B53" s="611">
        <f t="shared" ca="1" si="59"/>
        <v>0</v>
      </c>
      <c r="C53" s="611">
        <f t="shared" ca="1" si="60"/>
        <v>0</v>
      </c>
      <c r="D53" s="611">
        <f t="shared" ca="1" si="61"/>
        <v>1000</v>
      </c>
      <c r="E53" s="611">
        <f t="shared" ca="1" si="62"/>
        <v>0</v>
      </c>
      <c r="F53" s="611">
        <f t="shared" ca="1" si="63"/>
        <v>0</v>
      </c>
      <c r="G53" s="611">
        <f t="shared" ca="1" si="64"/>
        <v>0</v>
      </c>
      <c r="H53" s="611">
        <f t="shared" ca="1" si="65"/>
        <v>0</v>
      </c>
      <c r="I53" s="611">
        <f t="shared" ca="1" si="66"/>
        <v>0</v>
      </c>
      <c r="J53" s="611">
        <f t="shared" ca="1" si="67"/>
        <v>0</v>
      </c>
      <c r="K53" s="611">
        <f t="shared" ca="1" si="68"/>
        <v>0</v>
      </c>
      <c r="L53" s="611">
        <f t="shared" ca="1" si="69"/>
        <v>1000</v>
      </c>
      <c r="M53" s="611"/>
      <c r="N53" s="2314"/>
      <c r="O53" s="612" t="s">
        <v>7083</v>
      </c>
      <c r="P53" s="611"/>
      <c r="Q53" s="611"/>
      <c r="R53" s="611"/>
      <c r="S53" s="611"/>
      <c r="T53" s="611"/>
      <c r="U53" s="611"/>
      <c r="V53" s="611"/>
      <c r="W53" s="611"/>
      <c r="X53" s="611"/>
      <c r="Y53" s="611"/>
      <c r="Z53" s="611"/>
      <c r="AA53" s="611"/>
      <c r="AB53" s="611"/>
      <c r="AC53" s="611"/>
      <c r="AD53" s="611"/>
      <c r="AE53" s="611"/>
      <c r="AF53" s="611"/>
      <c r="AG53" s="611">
        <v>0</v>
      </c>
      <c r="AH53" s="611">
        <v>0</v>
      </c>
      <c r="AI53" s="612">
        <v>1000</v>
      </c>
      <c r="AJ53" s="611">
        <v>0</v>
      </c>
      <c r="AK53" s="611">
        <v>0</v>
      </c>
      <c r="AL53" s="611">
        <v>0</v>
      </c>
      <c r="AM53" s="611">
        <v>0</v>
      </c>
      <c r="AN53" s="611">
        <v>0</v>
      </c>
      <c r="AO53" s="611">
        <v>0</v>
      </c>
      <c r="AP53" s="611">
        <v>0</v>
      </c>
      <c r="AQ53" s="1103">
        <f t="shared" si="48"/>
        <v>1000</v>
      </c>
      <c r="AR53" s="611">
        <v>0</v>
      </c>
      <c r="AS53" s="611">
        <v>0</v>
      </c>
      <c r="AT53" s="612">
        <v>1000</v>
      </c>
      <c r="AU53" s="611">
        <v>0</v>
      </c>
      <c r="AV53" s="611">
        <v>0</v>
      </c>
      <c r="AW53" s="611">
        <v>0</v>
      </c>
      <c r="AX53" s="611">
        <v>0</v>
      </c>
      <c r="AY53" s="611">
        <v>0</v>
      </c>
      <c r="AZ53" s="611">
        <v>0</v>
      </c>
      <c r="BA53" s="611">
        <v>0</v>
      </c>
      <c r="BB53" s="1103">
        <f t="shared" si="49"/>
        <v>1000</v>
      </c>
      <c r="BC53" s="611">
        <v>0</v>
      </c>
      <c r="BD53" s="611">
        <v>0</v>
      </c>
      <c r="BE53" s="612">
        <v>1000</v>
      </c>
      <c r="BF53" s="611">
        <v>0</v>
      </c>
      <c r="BG53" s="611">
        <v>0</v>
      </c>
      <c r="BH53" s="611">
        <v>0</v>
      </c>
      <c r="BI53" s="611">
        <v>0</v>
      </c>
      <c r="BJ53" s="611">
        <v>0</v>
      </c>
      <c r="BK53" s="611">
        <v>0</v>
      </c>
      <c r="BL53" s="611">
        <v>0</v>
      </c>
      <c r="BM53" s="1103">
        <f t="shared" si="50"/>
        <v>1000</v>
      </c>
    </row>
    <row r="54" spans="1:65" ht="9" customHeight="1" x14ac:dyDescent="0.15">
      <c r="A54" s="611" t="str">
        <f>'Published Balance'!A54</f>
        <v>Fishing</v>
      </c>
      <c r="B54" s="611">
        <f t="shared" ca="1" si="59"/>
        <v>0</v>
      </c>
      <c r="C54" s="611">
        <f t="shared" ca="1" si="60"/>
        <v>0</v>
      </c>
      <c r="D54" s="611">
        <f t="shared" ca="1" si="61"/>
        <v>0</v>
      </c>
      <c r="E54" s="611">
        <f t="shared" ca="1" si="62"/>
        <v>0</v>
      </c>
      <c r="F54" s="611">
        <f t="shared" ca="1" si="63"/>
        <v>0</v>
      </c>
      <c r="G54" s="611">
        <f t="shared" ca="1" si="64"/>
        <v>0</v>
      </c>
      <c r="H54" s="611">
        <f t="shared" ca="1" si="65"/>
        <v>0</v>
      </c>
      <c r="I54" s="611">
        <f t="shared" ca="1" si="66"/>
        <v>0</v>
      </c>
      <c r="J54" s="611">
        <f t="shared" ca="1" si="67"/>
        <v>0</v>
      </c>
      <c r="K54" s="611">
        <f t="shared" ca="1" si="68"/>
        <v>0</v>
      </c>
      <c r="L54" s="611">
        <f t="shared" ca="1" si="69"/>
        <v>0</v>
      </c>
      <c r="M54" s="612" t="str">
        <f t="shared" ref="M54:M67" si="76">IF($N$2=$AC$1,"    "&amp;$O54,"")</f>
        <v/>
      </c>
      <c r="N54" s="1140"/>
      <c r="O54" s="611" t="s">
        <v>7159</v>
      </c>
      <c r="P54" s="611"/>
      <c r="Q54" s="611"/>
      <c r="R54" s="611"/>
      <c r="S54" s="611"/>
      <c r="T54" s="611"/>
      <c r="U54" s="611"/>
      <c r="V54" s="611"/>
      <c r="W54" s="611"/>
      <c r="X54" s="611"/>
      <c r="Y54" s="611"/>
      <c r="Z54" s="611"/>
      <c r="AA54" s="611"/>
      <c r="AB54" s="611"/>
      <c r="AC54" s="611"/>
      <c r="AD54" s="611"/>
      <c r="AE54" s="611"/>
      <c r="AF54" s="611"/>
      <c r="AG54" s="611">
        <v>0</v>
      </c>
      <c r="AH54" s="611">
        <v>0</v>
      </c>
      <c r="AI54" s="611">
        <v>0</v>
      </c>
      <c r="AJ54" s="611">
        <v>0</v>
      </c>
      <c r="AK54" s="611">
        <v>0</v>
      </c>
      <c r="AL54" s="611">
        <v>0</v>
      </c>
      <c r="AM54" s="611">
        <v>0</v>
      </c>
      <c r="AN54" s="611">
        <v>0</v>
      </c>
      <c r="AO54" s="611">
        <v>0</v>
      </c>
      <c r="AP54" s="611">
        <v>0</v>
      </c>
      <c r="AQ54" s="1103">
        <f t="shared" si="48"/>
        <v>0</v>
      </c>
      <c r="AR54" s="611">
        <v>0</v>
      </c>
      <c r="AS54" s="611">
        <v>0</v>
      </c>
      <c r="AT54" s="611">
        <v>0</v>
      </c>
      <c r="AU54" s="611">
        <v>0</v>
      </c>
      <c r="AV54" s="611">
        <v>0</v>
      </c>
      <c r="AW54" s="611">
        <v>0</v>
      </c>
      <c r="AX54" s="611">
        <v>0</v>
      </c>
      <c r="AY54" s="611">
        <v>0</v>
      </c>
      <c r="AZ54" s="611">
        <v>0</v>
      </c>
      <c r="BA54" s="611">
        <v>0</v>
      </c>
      <c r="BB54" s="1103">
        <f t="shared" si="49"/>
        <v>0</v>
      </c>
      <c r="BC54" s="611">
        <v>0</v>
      </c>
      <c r="BD54" s="611">
        <v>0</v>
      </c>
      <c r="BE54" s="611">
        <v>0</v>
      </c>
      <c r="BF54" s="611">
        <v>0</v>
      </c>
      <c r="BG54" s="611">
        <v>0</v>
      </c>
      <c r="BH54" s="611">
        <v>0</v>
      </c>
      <c r="BI54" s="611">
        <v>0</v>
      </c>
      <c r="BJ54" s="611">
        <v>0</v>
      </c>
      <c r="BK54" s="611">
        <v>0</v>
      </c>
      <c r="BL54" s="611">
        <v>0</v>
      </c>
      <c r="BM54" s="1103">
        <f t="shared" si="50"/>
        <v>0</v>
      </c>
    </row>
    <row r="55" spans="1:65" ht="9" customHeight="1" x14ac:dyDescent="0.15">
      <c r="A55" s="611" t="str">
        <f>'Published Balance'!A55</f>
        <v>Non-specified</v>
      </c>
      <c r="B55" s="611">
        <f t="shared" ca="1" si="59"/>
        <v>0</v>
      </c>
      <c r="C55" s="611">
        <f t="shared" ca="1" si="60"/>
        <v>0</v>
      </c>
      <c r="D55" s="611">
        <f t="shared" ca="1" si="61"/>
        <v>0</v>
      </c>
      <c r="E55" s="611">
        <f t="shared" ca="1" si="62"/>
        <v>0</v>
      </c>
      <c r="F55" s="611">
        <f t="shared" ca="1" si="63"/>
        <v>0</v>
      </c>
      <c r="G55" s="611">
        <f t="shared" ca="1" si="64"/>
        <v>0</v>
      </c>
      <c r="H55" s="611">
        <f t="shared" ca="1" si="65"/>
        <v>0</v>
      </c>
      <c r="I55" s="611">
        <f t="shared" ca="1" si="66"/>
        <v>0</v>
      </c>
      <c r="J55" s="611">
        <f t="shared" ca="1" si="67"/>
        <v>0</v>
      </c>
      <c r="K55" s="611">
        <f t="shared" ca="1" si="68"/>
        <v>0</v>
      </c>
      <c r="L55" s="611">
        <f t="shared" ca="1" si="69"/>
        <v>0</v>
      </c>
      <c r="M55" s="611" t="str">
        <f t="shared" si="76"/>
        <v/>
      </c>
      <c r="N55" s="1140"/>
      <c r="O55" s="611" t="s">
        <v>7160</v>
      </c>
      <c r="P55" s="611"/>
      <c r="Q55" s="611"/>
      <c r="R55" s="611"/>
      <c r="S55" s="611"/>
      <c r="T55" s="611"/>
      <c r="U55" s="611"/>
      <c r="V55" s="611"/>
      <c r="W55" s="611"/>
      <c r="X55" s="611"/>
      <c r="Y55" s="611"/>
      <c r="Z55" s="611"/>
      <c r="AA55" s="611"/>
      <c r="AB55" s="611"/>
      <c r="AC55" s="611"/>
      <c r="AD55" s="611"/>
      <c r="AE55" s="611"/>
      <c r="AF55" s="611"/>
      <c r="AG55" s="611">
        <v>0</v>
      </c>
      <c r="AH55" s="611">
        <v>0</v>
      </c>
      <c r="AI55" s="611">
        <v>0</v>
      </c>
      <c r="AJ55" s="611">
        <v>0</v>
      </c>
      <c r="AK55" s="611">
        <v>0</v>
      </c>
      <c r="AL55" s="611">
        <v>0</v>
      </c>
      <c r="AM55" s="611">
        <v>0</v>
      </c>
      <c r="AN55" s="611">
        <v>0</v>
      </c>
      <c r="AO55" s="611">
        <v>0</v>
      </c>
      <c r="AP55" s="611">
        <v>0</v>
      </c>
      <c r="AQ55" s="1103">
        <f t="shared" si="48"/>
        <v>0</v>
      </c>
      <c r="AR55" s="611">
        <v>0</v>
      </c>
      <c r="AS55" s="611">
        <v>0</v>
      </c>
      <c r="AT55" s="611">
        <v>0</v>
      </c>
      <c r="AU55" s="611">
        <v>0</v>
      </c>
      <c r="AV55" s="611">
        <v>0</v>
      </c>
      <c r="AW55" s="611">
        <v>0</v>
      </c>
      <c r="AX55" s="611">
        <v>0</v>
      </c>
      <c r="AY55" s="611">
        <v>0</v>
      </c>
      <c r="AZ55" s="611">
        <v>0</v>
      </c>
      <c r="BA55" s="611">
        <v>0</v>
      </c>
      <c r="BB55" s="1103">
        <f t="shared" si="49"/>
        <v>0</v>
      </c>
      <c r="BC55" s="611">
        <v>0</v>
      </c>
      <c r="BD55" s="611">
        <v>0</v>
      </c>
      <c r="BE55" s="611">
        <v>0</v>
      </c>
      <c r="BF55" s="611">
        <v>0</v>
      </c>
      <c r="BG55" s="611">
        <v>0</v>
      </c>
      <c r="BH55" s="611">
        <v>0</v>
      </c>
      <c r="BI55" s="611">
        <v>0</v>
      </c>
      <c r="BJ55" s="611">
        <v>0</v>
      </c>
      <c r="BK55" s="611">
        <v>0</v>
      </c>
      <c r="BL55" s="611">
        <v>0</v>
      </c>
      <c r="BM55" s="1103">
        <f t="shared" si="50"/>
        <v>0</v>
      </c>
    </row>
    <row r="56" spans="1:65" ht="9" customHeight="1" x14ac:dyDescent="0.15">
      <c r="A56" s="612" t="str">
        <f>'Published Balance'!A56</f>
        <v>NON-ENERGY USE</v>
      </c>
      <c r="B56" s="612">
        <f t="shared" ca="1" si="59"/>
        <v>0</v>
      </c>
      <c r="C56" s="612">
        <f t="shared" ca="1" si="60"/>
        <v>0</v>
      </c>
      <c r="D56" s="612">
        <f t="shared" ca="1" si="61"/>
        <v>0</v>
      </c>
      <c r="E56" s="612">
        <f t="shared" ca="1" si="62"/>
        <v>1000</v>
      </c>
      <c r="F56" s="612">
        <f t="shared" ca="1" si="63"/>
        <v>0</v>
      </c>
      <c r="G56" s="612">
        <f t="shared" ca="1" si="64"/>
        <v>0</v>
      </c>
      <c r="H56" s="612">
        <f t="shared" ca="1" si="65"/>
        <v>0</v>
      </c>
      <c r="I56" s="612">
        <f t="shared" ca="1" si="66"/>
        <v>0</v>
      </c>
      <c r="J56" s="612">
        <f t="shared" ca="1" si="67"/>
        <v>0</v>
      </c>
      <c r="K56" s="612">
        <f t="shared" ca="1" si="68"/>
        <v>0</v>
      </c>
      <c r="L56" s="612">
        <f t="shared" ca="1" si="69"/>
        <v>1000</v>
      </c>
      <c r="M56" s="611" t="str">
        <f t="shared" si="76"/>
        <v/>
      </c>
      <c r="N56" s="1140"/>
      <c r="O56" s="612" t="s">
        <v>7161</v>
      </c>
      <c r="P56" s="612"/>
      <c r="Q56" s="612"/>
      <c r="R56" s="612"/>
      <c r="S56" s="612"/>
      <c r="T56" s="612"/>
      <c r="U56" s="612"/>
      <c r="V56" s="612"/>
      <c r="W56" s="612"/>
      <c r="X56" s="612"/>
      <c r="Y56" s="612"/>
      <c r="Z56" s="612"/>
      <c r="AA56" s="612"/>
      <c r="AB56" s="612"/>
      <c r="AC56" s="612"/>
      <c r="AD56" s="612"/>
      <c r="AE56" s="612"/>
      <c r="AF56" s="612"/>
      <c r="AG56" s="1108">
        <f>SUM(AG57,AG59:AG60)</f>
        <v>0</v>
      </c>
      <c r="AH56" s="1108">
        <f t="shared" ref="AH56:AO56" si="77">SUM(AH57,AH59:AH60)</f>
        <v>0</v>
      </c>
      <c r="AI56" s="1108">
        <f t="shared" si="77"/>
        <v>0</v>
      </c>
      <c r="AJ56" s="1108">
        <f t="shared" si="77"/>
        <v>1000</v>
      </c>
      <c r="AK56" s="1108">
        <f t="shared" si="77"/>
        <v>0</v>
      </c>
      <c r="AL56" s="1108">
        <f t="shared" si="77"/>
        <v>0</v>
      </c>
      <c r="AM56" s="1108">
        <f t="shared" si="77"/>
        <v>0</v>
      </c>
      <c r="AN56" s="1108">
        <f t="shared" si="77"/>
        <v>0</v>
      </c>
      <c r="AO56" s="1108">
        <f t="shared" si="77"/>
        <v>0</v>
      </c>
      <c r="AP56" s="1108">
        <f>SUM(AP57,AP59:AP60)</f>
        <v>0</v>
      </c>
      <c r="AQ56" s="1109">
        <f t="shared" si="48"/>
        <v>1000</v>
      </c>
      <c r="AR56" s="1108">
        <f>SUM(AR57,AR59:AR60)</f>
        <v>0</v>
      </c>
      <c r="AS56" s="1108">
        <f t="shared" ref="AS56:AZ56" si="78">SUM(AS57,AS59:AS60)</f>
        <v>0</v>
      </c>
      <c r="AT56" s="1108">
        <f t="shared" si="78"/>
        <v>0</v>
      </c>
      <c r="AU56" s="1108">
        <f t="shared" si="78"/>
        <v>1000</v>
      </c>
      <c r="AV56" s="1108">
        <f t="shared" si="78"/>
        <v>0</v>
      </c>
      <c r="AW56" s="1108">
        <f t="shared" si="78"/>
        <v>0</v>
      </c>
      <c r="AX56" s="1108">
        <f t="shared" si="78"/>
        <v>0</v>
      </c>
      <c r="AY56" s="1108">
        <f t="shared" si="78"/>
        <v>0</v>
      </c>
      <c r="AZ56" s="1108">
        <f t="shared" si="78"/>
        <v>0</v>
      </c>
      <c r="BA56" s="1108">
        <f>SUM(BA57,BA59:BA60)</f>
        <v>0</v>
      </c>
      <c r="BB56" s="1109">
        <f t="shared" si="49"/>
        <v>1000</v>
      </c>
      <c r="BC56" s="1108">
        <f>SUM(BC57,BC59:BC60)</f>
        <v>0</v>
      </c>
      <c r="BD56" s="1108">
        <f t="shared" ref="BD56:BK56" si="79">SUM(BD57,BD59:BD60)</f>
        <v>0</v>
      </c>
      <c r="BE56" s="1108">
        <f t="shared" si="79"/>
        <v>50</v>
      </c>
      <c r="BF56" s="1108">
        <f t="shared" si="79"/>
        <v>1000</v>
      </c>
      <c r="BG56" s="1108">
        <f t="shared" si="79"/>
        <v>0</v>
      </c>
      <c r="BH56" s="1108">
        <f t="shared" si="79"/>
        <v>0</v>
      </c>
      <c r="BI56" s="1108">
        <f t="shared" si="79"/>
        <v>0</v>
      </c>
      <c r="BJ56" s="1108">
        <f t="shared" si="79"/>
        <v>100</v>
      </c>
      <c r="BK56" s="1108">
        <f t="shared" si="79"/>
        <v>100</v>
      </c>
      <c r="BL56" s="1108">
        <f>SUM(BL57,BL59:BL60)</f>
        <v>0</v>
      </c>
      <c r="BM56" s="1109">
        <f t="shared" si="50"/>
        <v>1250</v>
      </c>
    </row>
    <row r="57" spans="1:65" ht="9" customHeight="1" x14ac:dyDescent="0.15">
      <c r="A57" s="611" t="str">
        <f>'Published Balance'!A57</f>
        <v>in industry/transf./energy</v>
      </c>
      <c r="B57" s="611">
        <f t="shared" ca="1" si="59"/>
        <v>0</v>
      </c>
      <c r="C57" s="611">
        <f t="shared" ca="1" si="60"/>
        <v>0</v>
      </c>
      <c r="D57" s="611">
        <f t="shared" ca="1" si="61"/>
        <v>0</v>
      </c>
      <c r="E57" s="611">
        <f t="shared" ca="1" si="62"/>
        <v>1000</v>
      </c>
      <c r="F57" s="611">
        <f t="shared" ca="1" si="63"/>
        <v>0</v>
      </c>
      <c r="G57" s="611">
        <f t="shared" ca="1" si="64"/>
        <v>0</v>
      </c>
      <c r="H57" s="611">
        <f t="shared" ca="1" si="65"/>
        <v>0</v>
      </c>
      <c r="I57" s="611">
        <f t="shared" ca="1" si="66"/>
        <v>0</v>
      </c>
      <c r="J57" s="611">
        <f t="shared" ca="1" si="67"/>
        <v>0</v>
      </c>
      <c r="K57" s="611">
        <f t="shared" ca="1" si="68"/>
        <v>0</v>
      </c>
      <c r="L57" s="611">
        <f t="shared" ca="1" si="69"/>
        <v>1000</v>
      </c>
      <c r="M57" s="611" t="str">
        <f t="shared" si="76"/>
        <v/>
      </c>
      <c r="N57" s="1140"/>
      <c r="O57" s="611" t="s">
        <v>7162</v>
      </c>
      <c r="P57" s="611"/>
      <c r="Q57" s="611"/>
      <c r="R57" s="611"/>
      <c r="S57" s="611"/>
      <c r="T57" s="611"/>
      <c r="U57" s="611"/>
      <c r="V57" s="611"/>
      <c r="W57" s="611"/>
      <c r="X57" s="611"/>
      <c r="Y57" s="611"/>
      <c r="Z57" s="611"/>
      <c r="AA57" s="611"/>
      <c r="AB57" s="611"/>
      <c r="AC57" s="611"/>
      <c r="AD57" s="611"/>
      <c r="AE57" s="611"/>
      <c r="AF57" s="611"/>
      <c r="AG57" s="611">
        <v>0</v>
      </c>
      <c r="AH57" s="611">
        <v>0</v>
      </c>
      <c r="AI57" s="611">
        <v>0</v>
      </c>
      <c r="AJ57" s="612">
        <v>1000</v>
      </c>
      <c r="AK57" s="611">
        <v>0</v>
      </c>
      <c r="AL57" s="611">
        <v>0</v>
      </c>
      <c r="AM57" s="611">
        <v>0</v>
      </c>
      <c r="AN57" s="611">
        <v>0</v>
      </c>
      <c r="AO57" s="611">
        <v>0</v>
      </c>
      <c r="AP57" s="611">
        <v>0</v>
      </c>
      <c r="AQ57" s="1103">
        <f t="shared" si="48"/>
        <v>1000</v>
      </c>
      <c r="AR57" s="611">
        <v>0</v>
      </c>
      <c r="AS57" s="611">
        <v>0</v>
      </c>
      <c r="AT57" s="611">
        <v>0</v>
      </c>
      <c r="AU57" s="612">
        <v>1000</v>
      </c>
      <c r="AV57" s="611">
        <v>0</v>
      </c>
      <c r="AW57" s="611">
        <v>0</v>
      </c>
      <c r="AX57" s="611">
        <v>0</v>
      </c>
      <c r="AY57" s="611">
        <v>0</v>
      </c>
      <c r="AZ57" s="611">
        <v>0</v>
      </c>
      <c r="BA57" s="611">
        <v>0</v>
      </c>
      <c r="BB57" s="1103">
        <f t="shared" si="49"/>
        <v>1000</v>
      </c>
      <c r="BC57" s="611">
        <v>0</v>
      </c>
      <c r="BD57" s="611">
        <v>0</v>
      </c>
      <c r="BE57" s="611">
        <v>0</v>
      </c>
      <c r="BF57" s="612">
        <v>1000</v>
      </c>
      <c r="BG57" s="611">
        <v>0</v>
      </c>
      <c r="BH57" s="611">
        <v>0</v>
      </c>
      <c r="BI57" s="611">
        <v>0</v>
      </c>
      <c r="BJ57" s="1128">
        <v>100</v>
      </c>
      <c r="BK57" s="611">
        <v>0</v>
      </c>
      <c r="BL57" s="611">
        <v>0</v>
      </c>
      <c r="BM57" s="1103">
        <f t="shared" si="50"/>
        <v>1100</v>
      </c>
    </row>
    <row r="58" spans="1:65" ht="9" customHeight="1" x14ac:dyDescent="0.15">
      <c r="A58" s="613" t="str">
        <f>'Published Balance'!A58</f>
        <v>of which: chem./petrochem.</v>
      </c>
      <c r="B58" s="611">
        <f t="shared" ca="1" si="59"/>
        <v>0</v>
      </c>
      <c r="C58" s="611">
        <f t="shared" ca="1" si="60"/>
        <v>0</v>
      </c>
      <c r="D58" s="611">
        <f t="shared" ca="1" si="61"/>
        <v>0</v>
      </c>
      <c r="E58" s="611">
        <f t="shared" ca="1" si="62"/>
        <v>0</v>
      </c>
      <c r="F58" s="611">
        <f t="shared" ca="1" si="63"/>
        <v>0</v>
      </c>
      <c r="G58" s="611">
        <f t="shared" ca="1" si="64"/>
        <v>0</v>
      </c>
      <c r="H58" s="611">
        <f t="shared" ca="1" si="65"/>
        <v>0</v>
      </c>
      <c r="I58" s="611">
        <f t="shared" ca="1" si="66"/>
        <v>0</v>
      </c>
      <c r="J58" s="611">
        <f t="shared" ca="1" si="67"/>
        <v>0</v>
      </c>
      <c r="K58" s="611">
        <f t="shared" ca="1" si="68"/>
        <v>0</v>
      </c>
      <c r="L58" s="611">
        <f t="shared" ca="1" si="69"/>
        <v>0</v>
      </c>
      <c r="M58" s="611" t="str">
        <f t="shared" si="76"/>
        <v/>
      </c>
      <c r="N58" s="1140"/>
      <c r="O58" s="611" t="s">
        <v>7163</v>
      </c>
      <c r="P58" s="611"/>
      <c r="Q58" s="611"/>
      <c r="R58" s="611"/>
      <c r="S58" s="611"/>
      <c r="T58" s="611"/>
      <c r="U58" s="611"/>
      <c r="V58" s="611"/>
      <c r="W58" s="611"/>
      <c r="X58" s="611"/>
      <c r="Y58" s="611"/>
      <c r="Z58" s="611"/>
      <c r="AA58" s="611"/>
      <c r="AB58" s="611"/>
      <c r="AC58" s="611"/>
      <c r="AD58" s="611"/>
      <c r="AE58" s="611"/>
      <c r="AF58" s="611"/>
      <c r="AG58" s="611">
        <v>0</v>
      </c>
      <c r="AH58" s="611">
        <v>0</v>
      </c>
      <c r="AI58" s="611">
        <v>0</v>
      </c>
      <c r="AJ58" s="611">
        <v>0</v>
      </c>
      <c r="AK58" s="611">
        <v>0</v>
      </c>
      <c r="AL58" s="611">
        <v>0</v>
      </c>
      <c r="AM58" s="611">
        <v>0</v>
      </c>
      <c r="AN58" s="611">
        <v>0</v>
      </c>
      <c r="AO58" s="611">
        <v>0</v>
      </c>
      <c r="AP58" s="611">
        <v>0</v>
      </c>
      <c r="AQ58" s="1103">
        <f t="shared" si="48"/>
        <v>0</v>
      </c>
      <c r="AR58" s="611">
        <v>0</v>
      </c>
      <c r="AS58" s="611">
        <v>0</v>
      </c>
      <c r="AT58" s="611">
        <v>0</v>
      </c>
      <c r="AU58" s="611">
        <v>0</v>
      </c>
      <c r="AV58" s="611">
        <v>0</v>
      </c>
      <c r="AW58" s="611">
        <v>0</v>
      </c>
      <c r="AX58" s="611">
        <v>0</v>
      </c>
      <c r="AY58" s="611">
        <v>0</v>
      </c>
      <c r="AZ58" s="611">
        <v>0</v>
      </c>
      <c r="BA58" s="611">
        <v>0</v>
      </c>
      <c r="BB58" s="1103">
        <f t="shared" si="49"/>
        <v>0</v>
      </c>
      <c r="BC58" s="611">
        <v>0</v>
      </c>
      <c r="BD58" s="611">
        <v>0</v>
      </c>
      <c r="BE58" s="611">
        <v>0</v>
      </c>
      <c r="BF58" s="611">
        <v>0</v>
      </c>
      <c r="BG58" s="611">
        <v>0</v>
      </c>
      <c r="BH58" s="611">
        <v>0</v>
      </c>
      <c r="BI58" s="611">
        <v>0</v>
      </c>
      <c r="BJ58" s="611">
        <v>0</v>
      </c>
      <c r="BK58" s="611">
        <v>0</v>
      </c>
      <c r="BL58" s="611">
        <v>0</v>
      </c>
      <c r="BM58" s="1103">
        <f t="shared" si="50"/>
        <v>0</v>
      </c>
    </row>
    <row r="59" spans="1:65" ht="9" customHeight="1" x14ac:dyDescent="0.15">
      <c r="A59" s="611" t="str">
        <f>'Published Balance'!A59</f>
        <v>in transport</v>
      </c>
      <c r="B59" s="611">
        <f t="shared" ca="1" si="59"/>
        <v>0</v>
      </c>
      <c r="C59" s="611">
        <f t="shared" ca="1" si="60"/>
        <v>0</v>
      </c>
      <c r="D59" s="611">
        <f t="shared" ca="1" si="61"/>
        <v>0</v>
      </c>
      <c r="E59" s="611">
        <f t="shared" ca="1" si="62"/>
        <v>0</v>
      </c>
      <c r="F59" s="611">
        <f t="shared" ca="1" si="63"/>
        <v>0</v>
      </c>
      <c r="G59" s="611">
        <f t="shared" ca="1" si="64"/>
        <v>0</v>
      </c>
      <c r="H59" s="611">
        <f t="shared" ca="1" si="65"/>
        <v>0</v>
      </c>
      <c r="I59" s="611">
        <f t="shared" ca="1" si="66"/>
        <v>0</v>
      </c>
      <c r="J59" s="611">
        <f t="shared" ca="1" si="67"/>
        <v>0</v>
      </c>
      <c r="K59" s="611">
        <f t="shared" ca="1" si="68"/>
        <v>0</v>
      </c>
      <c r="L59" s="611">
        <f t="shared" ca="1" si="69"/>
        <v>0</v>
      </c>
      <c r="M59" s="611" t="str">
        <f t="shared" si="76"/>
        <v/>
      </c>
      <c r="N59" s="1140"/>
      <c r="O59" s="611" t="s">
        <v>7164</v>
      </c>
      <c r="P59" s="611"/>
      <c r="Q59" s="611"/>
      <c r="R59" s="611"/>
      <c r="S59" s="611"/>
      <c r="T59" s="611"/>
      <c r="U59" s="611"/>
      <c r="V59" s="611"/>
      <c r="W59" s="611"/>
      <c r="X59" s="611"/>
      <c r="Y59" s="611"/>
      <c r="Z59" s="611"/>
      <c r="AA59" s="611"/>
      <c r="AB59" s="611"/>
      <c r="AC59" s="611"/>
      <c r="AD59" s="611"/>
      <c r="AE59" s="611"/>
      <c r="AF59" s="611"/>
      <c r="AG59" s="611">
        <v>0</v>
      </c>
      <c r="AH59" s="611">
        <v>0</v>
      </c>
      <c r="AI59" s="611">
        <v>0</v>
      </c>
      <c r="AJ59" s="611">
        <v>0</v>
      </c>
      <c r="AK59" s="611">
        <v>0</v>
      </c>
      <c r="AL59" s="611">
        <v>0</v>
      </c>
      <c r="AM59" s="611">
        <v>0</v>
      </c>
      <c r="AN59" s="611">
        <v>0</v>
      </c>
      <c r="AO59" s="611">
        <v>0</v>
      </c>
      <c r="AP59" s="611">
        <v>0</v>
      </c>
      <c r="AQ59" s="1103">
        <f t="shared" si="48"/>
        <v>0</v>
      </c>
      <c r="AR59" s="611">
        <v>0</v>
      </c>
      <c r="AS59" s="611">
        <v>0</v>
      </c>
      <c r="AT59" s="611">
        <v>0</v>
      </c>
      <c r="AU59" s="611">
        <v>0</v>
      </c>
      <c r="AV59" s="611">
        <v>0</v>
      </c>
      <c r="AW59" s="611">
        <v>0</v>
      </c>
      <c r="AX59" s="611">
        <v>0</v>
      </c>
      <c r="AY59" s="611">
        <v>0</v>
      </c>
      <c r="AZ59" s="611">
        <v>0</v>
      </c>
      <c r="BA59" s="611">
        <v>0</v>
      </c>
      <c r="BB59" s="1103">
        <f t="shared" si="49"/>
        <v>0</v>
      </c>
      <c r="BC59" s="611">
        <v>0</v>
      </c>
      <c r="BD59" s="611">
        <v>0</v>
      </c>
      <c r="BE59" s="612">
        <v>50</v>
      </c>
      <c r="BF59" s="611">
        <v>0</v>
      </c>
      <c r="BG59" s="611">
        <v>0</v>
      </c>
      <c r="BH59" s="611">
        <v>0</v>
      </c>
      <c r="BI59" s="611">
        <v>0</v>
      </c>
      <c r="BJ59" s="611">
        <v>0</v>
      </c>
      <c r="BK59" s="611">
        <v>0</v>
      </c>
      <c r="BL59" s="611">
        <v>0</v>
      </c>
      <c r="BM59" s="1103">
        <f t="shared" si="50"/>
        <v>50</v>
      </c>
    </row>
    <row r="60" spans="1:65" ht="9" customHeight="1" x14ac:dyDescent="0.15">
      <c r="A60" s="830" t="str">
        <f>'Published Balance'!A60</f>
        <v>in other</v>
      </c>
      <c r="B60" s="830">
        <f t="shared" ca="1" si="59"/>
        <v>0</v>
      </c>
      <c r="C60" s="830">
        <f t="shared" ca="1" si="60"/>
        <v>0</v>
      </c>
      <c r="D60" s="830">
        <f t="shared" ca="1" si="61"/>
        <v>0</v>
      </c>
      <c r="E60" s="830">
        <f t="shared" ca="1" si="62"/>
        <v>0</v>
      </c>
      <c r="F60" s="830">
        <f t="shared" ca="1" si="63"/>
        <v>0</v>
      </c>
      <c r="G60" s="830">
        <f t="shared" ca="1" si="64"/>
        <v>0</v>
      </c>
      <c r="H60" s="830">
        <f t="shared" ca="1" si="65"/>
        <v>0</v>
      </c>
      <c r="I60" s="830">
        <f t="shared" ca="1" si="66"/>
        <v>0</v>
      </c>
      <c r="J60" s="830">
        <f t="shared" ca="1" si="67"/>
        <v>0</v>
      </c>
      <c r="K60" s="830">
        <f t="shared" ca="1" si="68"/>
        <v>0</v>
      </c>
      <c r="L60" s="830">
        <f t="shared" ca="1" si="69"/>
        <v>0</v>
      </c>
      <c r="M60" s="611" t="str">
        <f t="shared" si="76"/>
        <v/>
      </c>
      <c r="N60" s="1140"/>
      <c r="O60" s="611"/>
      <c r="P60" s="611"/>
      <c r="Q60" s="611"/>
      <c r="R60" s="611"/>
      <c r="S60" s="611"/>
      <c r="T60" s="611"/>
      <c r="U60" s="611"/>
      <c r="V60" s="611"/>
      <c r="W60" s="611"/>
      <c r="X60" s="611"/>
      <c r="Y60" s="611"/>
      <c r="Z60" s="611"/>
      <c r="AA60" s="611"/>
      <c r="AB60" s="611"/>
      <c r="AC60" s="611"/>
      <c r="AD60" s="611"/>
      <c r="AE60" s="611"/>
      <c r="AF60" s="611"/>
      <c r="AG60" s="830">
        <v>0</v>
      </c>
      <c r="AH60" s="830">
        <v>0</v>
      </c>
      <c r="AI60" s="830">
        <v>0</v>
      </c>
      <c r="AJ60" s="830">
        <v>0</v>
      </c>
      <c r="AK60" s="830">
        <v>0</v>
      </c>
      <c r="AL60" s="830">
        <v>0</v>
      </c>
      <c r="AM60" s="830">
        <v>0</v>
      </c>
      <c r="AN60" s="830">
        <v>0</v>
      </c>
      <c r="AO60" s="830">
        <v>0</v>
      </c>
      <c r="AP60" s="830">
        <v>0</v>
      </c>
      <c r="AQ60" s="1110">
        <f t="shared" si="48"/>
        <v>0</v>
      </c>
      <c r="AR60" s="830">
        <v>0</v>
      </c>
      <c r="AS60" s="830">
        <v>0</v>
      </c>
      <c r="AT60" s="830">
        <v>0</v>
      </c>
      <c r="AU60" s="830">
        <v>0</v>
      </c>
      <c r="AV60" s="830">
        <v>0</v>
      </c>
      <c r="AW60" s="830">
        <v>0</v>
      </c>
      <c r="AX60" s="830">
        <v>0</v>
      </c>
      <c r="AY60" s="830">
        <v>0</v>
      </c>
      <c r="AZ60" s="830">
        <v>0</v>
      </c>
      <c r="BA60" s="830">
        <v>0</v>
      </c>
      <c r="BB60" s="1110">
        <f t="shared" si="49"/>
        <v>0</v>
      </c>
      <c r="BC60" s="830">
        <v>0</v>
      </c>
      <c r="BD60" s="830">
        <v>0</v>
      </c>
      <c r="BE60" s="830">
        <v>0</v>
      </c>
      <c r="BF60" s="830">
        <v>0</v>
      </c>
      <c r="BG60" s="830">
        <v>0</v>
      </c>
      <c r="BH60" s="830">
        <v>0</v>
      </c>
      <c r="BI60" s="830">
        <v>0</v>
      </c>
      <c r="BJ60" s="830">
        <v>0</v>
      </c>
      <c r="BK60" s="1131">
        <v>100</v>
      </c>
      <c r="BL60" s="830">
        <v>0</v>
      </c>
      <c r="BM60" s="1110">
        <f t="shared" si="50"/>
        <v>100</v>
      </c>
    </row>
    <row r="61" spans="1:65" x14ac:dyDescent="0.15">
      <c r="A61" s="2310" t="str">
        <f>'Published Balance'!A61</f>
        <v>Electricity and heat output</v>
      </c>
      <c r="B61" s="2310" t="str">
        <f>'Published Balance'!B61</f>
        <v>Electricity and heat output</v>
      </c>
      <c r="C61" s="2310" t="str">
        <f>'Published Balance'!C61</f>
        <v>Electricity and heat output</v>
      </c>
      <c r="D61" s="2310" t="str">
        <f>'Published Balance'!D61</f>
        <v>Electricity and heat output</v>
      </c>
      <c r="E61" s="2310" t="str">
        <f>'Published Balance'!E61</f>
        <v>Electricity and heat output</v>
      </c>
      <c r="F61" s="2310" t="str">
        <f>'Published Balance'!F61</f>
        <v>Electricity and heat output</v>
      </c>
      <c r="G61" s="2310" t="str">
        <f>'Published Balance'!G61</f>
        <v>Electricity and heat output</v>
      </c>
      <c r="H61" s="2310" t="str">
        <f>'Published Balance'!H61</f>
        <v>Electricity and heat output</v>
      </c>
      <c r="I61" s="2310" t="str">
        <f>'Published Balance'!I61</f>
        <v>Electricity and heat output</v>
      </c>
      <c r="J61" s="2310" t="str">
        <f>'Published Balance'!J61</f>
        <v>Electricity and heat output</v>
      </c>
      <c r="K61" s="2310" t="str">
        <f>'Published Balance'!K61</f>
        <v>Electricity and heat output</v>
      </c>
      <c r="L61" s="2310" t="str">
        <f>'Published Balance'!L61</f>
        <v>Electricity and heat output</v>
      </c>
      <c r="M61" s="1117" t="str">
        <f t="shared" si="76"/>
        <v/>
      </c>
      <c r="N61" s="1140"/>
      <c r="O61" s="1117" t="s">
        <v>7165</v>
      </c>
      <c r="P61" s="614"/>
      <c r="Q61" s="614"/>
      <c r="R61" s="614"/>
      <c r="S61" s="614"/>
      <c r="T61" s="614"/>
      <c r="U61" s="614"/>
      <c r="V61" s="614"/>
      <c r="W61" s="614"/>
      <c r="X61" s="614"/>
      <c r="Y61" s="614"/>
      <c r="Z61" s="614"/>
      <c r="AA61" s="614"/>
      <c r="AB61" s="614"/>
      <c r="AC61" s="614"/>
      <c r="AD61" s="614"/>
      <c r="AE61" s="614"/>
      <c r="AF61" s="614"/>
      <c r="AG61" s="1105"/>
      <c r="AH61" s="1105"/>
      <c r="AI61" s="1106"/>
      <c r="AJ61" s="1106"/>
      <c r="AK61" s="1106"/>
      <c r="AL61" s="1106"/>
      <c r="AM61" s="1106"/>
      <c r="AN61" s="1106"/>
      <c r="AO61" s="1106"/>
      <c r="AP61" s="1106"/>
      <c r="AQ61" s="1107"/>
      <c r="AR61" s="1105"/>
      <c r="AS61" s="1105"/>
      <c r="AT61" s="1106"/>
      <c r="AU61" s="1106"/>
      <c r="AV61" s="1106"/>
      <c r="AW61" s="1106"/>
      <c r="AX61" s="1106"/>
      <c r="AY61" s="1106"/>
      <c r="AZ61" s="1106"/>
      <c r="BA61" s="1106"/>
      <c r="BB61" s="1107"/>
      <c r="BC61" s="1105"/>
      <c r="BD61" s="1105"/>
      <c r="BE61" s="1106"/>
      <c r="BF61" s="1106"/>
      <c r="BG61" s="1106"/>
      <c r="BH61" s="1106"/>
      <c r="BI61" s="1106"/>
      <c r="BJ61" s="1106"/>
      <c r="BK61" s="1106"/>
      <c r="BL61" s="1106"/>
      <c r="BM61" s="1107"/>
    </row>
    <row r="62" spans="1:65" x14ac:dyDescent="0.15">
      <c r="A62" s="612" t="str">
        <f>'Published Balance'!A62</f>
        <v>Electr. Generated - GWh</v>
      </c>
      <c r="B62" s="612">
        <f t="shared" ref="B62:L67" ca="1" si="80">OFFSET($AF62,0,($AF$4-1)*$AQ$5+AG$5)</f>
        <v>29069.767441860469</v>
      </c>
      <c r="C62" s="612">
        <f t="shared" ca="1" si="80"/>
        <v>0</v>
      </c>
      <c r="D62" s="612">
        <f t="shared" ca="1" si="80"/>
        <v>0</v>
      </c>
      <c r="E62" s="612">
        <f t="shared" ca="1" si="80"/>
        <v>15116.279069767443</v>
      </c>
      <c r="F62" s="612">
        <f t="shared" ca="1" si="80"/>
        <v>0</v>
      </c>
      <c r="G62" s="612">
        <f t="shared" ca="1" si="80"/>
        <v>0</v>
      </c>
      <c r="H62" s="612">
        <f t="shared" ca="1" si="80"/>
        <v>0</v>
      </c>
      <c r="I62" s="612">
        <f t="shared" ca="1" si="80"/>
        <v>0</v>
      </c>
      <c r="J62" s="612">
        <f t="shared" ca="1" si="80"/>
        <v>0</v>
      </c>
      <c r="K62" s="612">
        <f t="shared" ca="1" si="80"/>
        <v>0</v>
      </c>
      <c r="L62" s="612">
        <f t="shared" ca="1" si="80"/>
        <v>44186.046511627908</v>
      </c>
      <c r="M62" s="611" t="str">
        <f t="shared" si="76"/>
        <v/>
      </c>
      <c r="N62" s="1140"/>
      <c r="O62" s="611" t="s">
        <v>7166</v>
      </c>
      <c r="P62" s="612"/>
      <c r="Q62" s="612"/>
      <c r="R62" s="612"/>
      <c r="S62" s="612"/>
      <c r="T62" s="612"/>
      <c r="U62" s="612"/>
      <c r="V62" s="612"/>
      <c r="W62" s="612"/>
      <c r="X62" s="612"/>
      <c r="Y62" s="612"/>
      <c r="Z62" s="612"/>
      <c r="AA62" s="612"/>
      <c r="AB62" s="612"/>
      <c r="AC62" s="612"/>
      <c r="AD62" s="612"/>
      <c r="AE62" s="612"/>
      <c r="AF62" s="612"/>
      <c r="AG62" s="1108">
        <f>SUM(AG63:AG64)</f>
        <v>29069.767441860469</v>
      </c>
      <c r="AH62" s="1108">
        <f t="shared" ref="AH62:AP62" si="81">SUM(AH63:AH64)</f>
        <v>0</v>
      </c>
      <c r="AI62" s="1108">
        <f t="shared" si="81"/>
        <v>0</v>
      </c>
      <c r="AJ62" s="1108">
        <f t="shared" si="81"/>
        <v>15116.279069767443</v>
      </c>
      <c r="AK62" s="1108">
        <f t="shared" si="81"/>
        <v>0</v>
      </c>
      <c r="AL62" s="1108">
        <f t="shared" si="81"/>
        <v>0</v>
      </c>
      <c r="AM62" s="1108">
        <f t="shared" si="81"/>
        <v>0</v>
      </c>
      <c r="AN62" s="1108">
        <f t="shared" si="81"/>
        <v>0</v>
      </c>
      <c r="AO62" s="1108">
        <f t="shared" si="81"/>
        <v>0</v>
      </c>
      <c r="AP62" s="1108">
        <f t="shared" si="81"/>
        <v>0</v>
      </c>
      <c r="AQ62" s="1109">
        <f t="shared" si="48"/>
        <v>44186.046511627908</v>
      </c>
      <c r="AR62" s="1108">
        <f>SUM(AR63:AR64)</f>
        <v>29069.767441860469</v>
      </c>
      <c r="AS62" s="1108">
        <f t="shared" ref="AS62" si="82">SUM(AS63:AS64)</f>
        <v>0</v>
      </c>
      <c r="AT62" s="1108">
        <f t="shared" ref="AT62" si="83">SUM(AT63:AT64)</f>
        <v>0</v>
      </c>
      <c r="AU62" s="1108">
        <f t="shared" ref="AU62" si="84">SUM(AU63:AU64)</f>
        <v>26744.18604651163</v>
      </c>
      <c r="AV62" s="1108">
        <f t="shared" ref="AV62" si="85">SUM(AV63:AV64)</f>
        <v>0</v>
      </c>
      <c r="AW62" s="1108">
        <f t="shared" ref="AW62" si="86">SUM(AW63:AW64)</f>
        <v>0</v>
      </c>
      <c r="AX62" s="1108">
        <f t="shared" ref="AX62" si="87">SUM(AX63:AX64)</f>
        <v>0</v>
      </c>
      <c r="AY62" s="1108">
        <f t="shared" ref="AY62" si="88">SUM(AY63:AY64)</f>
        <v>0</v>
      </c>
      <c r="AZ62" s="1108">
        <f t="shared" ref="AZ62" si="89">SUM(AZ63:AZ64)</f>
        <v>0</v>
      </c>
      <c r="BA62" s="1108">
        <f t="shared" ref="BA62" si="90">SUM(BA63:BA64)</f>
        <v>0</v>
      </c>
      <c r="BB62" s="1109">
        <f t="shared" ref="BB62:BB67" si="91">SUM(AR62:BA62)</f>
        <v>55813.953488372099</v>
      </c>
      <c r="BC62" s="1108">
        <f>SUM(BC63:BC64)</f>
        <v>29069.767441860469</v>
      </c>
      <c r="BD62" s="1108">
        <f t="shared" ref="BD62" si="92">SUM(BD63:BD64)</f>
        <v>0</v>
      </c>
      <c r="BE62" s="1108">
        <f t="shared" ref="BE62" si="93">SUM(BE63:BE64)</f>
        <v>0</v>
      </c>
      <c r="BF62" s="1108">
        <f t="shared" ref="BF62" si="94">SUM(BF63:BF64)</f>
        <v>15116.279069767443</v>
      </c>
      <c r="BG62" s="1108">
        <f t="shared" ref="BG62" si="95">SUM(BG63:BG64)</f>
        <v>0</v>
      </c>
      <c r="BH62" s="1108">
        <f t="shared" ref="BH62" si="96">SUM(BH63:BH64)</f>
        <v>0</v>
      </c>
      <c r="BI62" s="1108">
        <f t="shared" ref="BI62" si="97">SUM(BI63:BI64)</f>
        <v>0</v>
      </c>
      <c r="BJ62" s="1108">
        <f t="shared" ref="BJ62" si="98">SUM(BJ63:BJ64)</f>
        <v>0</v>
      </c>
      <c r="BK62" s="1108">
        <f t="shared" ref="BK62" si="99">SUM(BK63:BK64)</f>
        <v>0</v>
      </c>
      <c r="BL62" s="1108">
        <f t="shared" ref="BL62" si="100">SUM(BL63:BL64)</f>
        <v>0</v>
      </c>
      <c r="BM62" s="1109">
        <f t="shared" ref="BM62:BM67" si="101">SUM(BC62:BL62)</f>
        <v>44186.046511627908</v>
      </c>
    </row>
    <row r="63" spans="1:65" x14ac:dyDescent="0.15">
      <c r="A63" s="613" t="str">
        <f>'Published Balance'!A63</f>
        <v>Electricity plants</v>
      </c>
      <c r="B63" s="614">
        <f t="shared" ca="1" si="80"/>
        <v>29069.767441860469</v>
      </c>
      <c r="C63" s="614">
        <f t="shared" ca="1" si="80"/>
        <v>0</v>
      </c>
      <c r="D63" s="614">
        <f t="shared" ca="1" si="80"/>
        <v>0</v>
      </c>
      <c r="E63" s="614">
        <f t="shared" ca="1" si="80"/>
        <v>0</v>
      </c>
      <c r="F63" s="614">
        <f t="shared" ca="1" si="80"/>
        <v>0</v>
      </c>
      <c r="G63" s="614">
        <f t="shared" ca="1" si="80"/>
        <v>0</v>
      </c>
      <c r="H63" s="614">
        <f t="shared" ca="1" si="80"/>
        <v>0</v>
      </c>
      <c r="I63" s="614">
        <f t="shared" ca="1" si="80"/>
        <v>0</v>
      </c>
      <c r="J63" s="614">
        <f t="shared" ca="1" si="80"/>
        <v>0</v>
      </c>
      <c r="K63" s="614">
        <f t="shared" ca="1" si="80"/>
        <v>0</v>
      </c>
      <c r="L63" s="614">
        <f t="shared" ca="1" si="80"/>
        <v>29069.767441860469</v>
      </c>
      <c r="M63" s="614" t="str">
        <f t="shared" si="76"/>
        <v/>
      </c>
      <c r="N63" s="1140"/>
      <c r="O63" s="611" t="s">
        <v>7167</v>
      </c>
      <c r="P63" s="614"/>
      <c r="Q63" s="614"/>
      <c r="R63" s="614"/>
      <c r="S63" s="614"/>
      <c r="T63" s="614"/>
      <c r="U63" s="614"/>
      <c r="V63" s="614"/>
      <c r="W63" s="614"/>
      <c r="X63" s="614"/>
      <c r="Y63" s="614"/>
      <c r="Z63" s="614"/>
      <c r="AA63" s="614"/>
      <c r="AB63" s="614"/>
      <c r="AC63" s="614"/>
      <c r="AD63" s="614"/>
      <c r="AE63" s="614"/>
      <c r="AF63" s="614"/>
      <c r="AG63" s="1117">
        <f>1/0.086*AO16</f>
        <v>29069.767441860469</v>
      </c>
      <c r="AH63" s="614">
        <v>0</v>
      </c>
      <c r="AI63" s="614">
        <v>0</v>
      </c>
      <c r="AJ63" s="614">
        <v>0</v>
      </c>
      <c r="AK63" s="614">
        <v>0</v>
      </c>
      <c r="AL63" s="614">
        <v>0</v>
      </c>
      <c r="AM63" s="614">
        <v>0</v>
      </c>
      <c r="AN63" s="614">
        <v>0</v>
      </c>
      <c r="AO63" s="614">
        <v>0</v>
      </c>
      <c r="AP63" s="614">
        <v>0</v>
      </c>
      <c r="AQ63" s="1104">
        <f t="shared" si="48"/>
        <v>29069.767441860469</v>
      </c>
      <c r="AR63" s="1117">
        <f>1/0.086*AZ16</f>
        <v>29069.767441860469</v>
      </c>
      <c r="AS63" s="614">
        <v>0</v>
      </c>
      <c r="AT63" s="614">
        <v>0</v>
      </c>
      <c r="AU63" s="614">
        <v>0</v>
      </c>
      <c r="AV63" s="614">
        <v>0</v>
      </c>
      <c r="AW63" s="614">
        <v>0</v>
      </c>
      <c r="AX63" s="614">
        <v>0</v>
      </c>
      <c r="AY63" s="614">
        <v>0</v>
      </c>
      <c r="AZ63" s="614">
        <v>0</v>
      </c>
      <c r="BA63" s="614">
        <v>0</v>
      </c>
      <c r="BB63" s="1104">
        <f t="shared" si="91"/>
        <v>29069.767441860469</v>
      </c>
      <c r="BC63" s="1117">
        <f>1/0.086*BK16</f>
        <v>29069.767441860469</v>
      </c>
      <c r="BD63" s="614">
        <v>0</v>
      </c>
      <c r="BE63" s="614">
        <v>0</v>
      </c>
      <c r="BF63" s="614">
        <v>0</v>
      </c>
      <c r="BG63" s="614">
        <v>0</v>
      </c>
      <c r="BH63" s="614">
        <v>0</v>
      </c>
      <c r="BI63" s="614">
        <v>0</v>
      </c>
      <c r="BJ63" s="614">
        <v>0</v>
      </c>
      <c r="BK63" s="614">
        <v>0</v>
      </c>
      <c r="BL63" s="614">
        <v>0</v>
      </c>
      <c r="BM63" s="1104">
        <f t="shared" si="101"/>
        <v>29069.767441860469</v>
      </c>
    </row>
    <row r="64" spans="1:65" x14ac:dyDescent="0.15">
      <c r="A64" s="613" t="str">
        <f>'Published Balance'!A64</f>
        <v>CHP plants</v>
      </c>
      <c r="B64" s="614">
        <f t="shared" ca="1" si="80"/>
        <v>0</v>
      </c>
      <c r="C64" s="614">
        <f t="shared" ca="1" si="80"/>
        <v>0</v>
      </c>
      <c r="D64" s="614">
        <f t="shared" ca="1" si="80"/>
        <v>0</v>
      </c>
      <c r="E64" s="614">
        <f t="shared" ca="1" si="80"/>
        <v>15116.279069767443</v>
      </c>
      <c r="F64" s="614">
        <f t="shared" ca="1" si="80"/>
        <v>0</v>
      </c>
      <c r="G64" s="614">
        <f t="shared" ca="1" si="80"/>
        <v>0</v>
      </c>
      <c r="H64" s="614">
        <f t="shared" ca="1" si="80"/>
        <v>0</v>
      </c>
      <c r="I64" s="614">
        <f t="shared" ca="1" si="80"/>
        <v>0</v>
      </c>
      <c r="J64" s="614">
        <f t="shared" ca="1" si="80"/>
        <v>0</v>
      </c>
      <c r="K64" s="614">
        <f t="shared" ca="1" si="80"/>
        <v>0</v>
      </c>
      <c r="L64" s="614">
        <f t="shared" ca="1" si="80"/>
        <v>15116.279069767443</v>
      </c>
      <c r="M64" s="614" t="str">
        <f t="shared" si="76"/>
        <v/>
      </c>
      <c r="N64" s="1140"/>
      <c r="O64" s="611" t="s">
        <v>7168</v>
      </c>
      <c r="P64" s="614"/>
      <c r="Q64" s="614"/>
      <c r="R64" s="614"/>
      <c r="S64" s="614"/>
      <c r="T64" s="614"/>
      <c r="U64" s="614"/>
      <c r="V64" s="614"/>
      <c r="W64" s="614"/>
      <c r="X64" s="614"/>
      <c r="Y64" s="614"/>
      <c r="Z64" s="614"/>
      <c r="AA64" s="614"/>
      <c r="AB64" s="614"/>
      <c r="AC64" s="614"/>
      <c r="AD64" s="614"/>
      <c r="AE64" s="614"/>
      <c r="AF64" s="614"/>
      <c r="AG64" s="614">
        <v>0</v>
      </c>
      <c r="AH64" s="614">
        <v>0</v>
      </c>
      <c r="AI64" s="614">
        <v>0</v>
      </c>
      <c r="AJ64" s="1117">
        <f>1/0.086*AO17</f>
        <v>15116.279069767443</v>
      </c>
      <c r="AK64" s="614">
        <v>0</v>
      </c>
      <c r="AL64" s="614">
        <v>0</v>
      </c>
      <c r="AM64" s="614">
        <v>0</v>
      </c>
      <c r="AN64" s="614">
        <v>0</v>
      </c>
      <c r="AO64" s="614">
        <v>0</v>
      </c>
      <c r="AP64" s="614">
        <v>0</v>
      </c>
      <c r="AQ64" s="1104">
        <f t="shared" si="48"/>
        <v>15116.279069767443</v>
      </c>
      <c r="AR64" s="614">
        <v>0</v>
      </c>
      <c r="AS64" s="614">
        <v>0</v>
      </c>
      <c r="AT64" s="614">
        <v>0</v>
      </c>
      <c r="AU64" s="1117">
        <f>1/0.086*AZ17</f>
        <v>26744.18604651163</v>
      </c>
      <c r="AV64" s="614">
        <v>0</v>
      </c>
      <c r="AW64" s="614">
        <v>0</v>
      </c>
      <c r="AX64" s="614">
        <v>0</v>
      </c>
      <c r="AY64" s="614">
        <v>0</v>
      </c>
      <c r="AZ64" s="614">
        <v>0</v>
      </c>
      <c r="BA64" s="614">
        <v>0</v>
      </c>
      <c r="BB64" s="1104">
        <f t="shared" si="91"/>
        <v>26744.18604651163</v>
      </c>
      <c r="BC64" s="614">
        <v>0</v>
      </c>
      <c r="BD64" s="614">
        <v>0</v>
      </c>
      <c r="BE64" s="614">
        <v>0</v>
      </c>
      <c r="BF64" s="1117">
        <f>1/0.086*BK17</f>
        <v>15116.279069767443</v>
      </c>
      <c r="BG64" s="614">
        <v>0</v>
      </c>
      <c r="BH64" s="614">
        <v>0</v>
      </c>
      <c r="BI64" s="614">
        <v>0</v>
      </c>
      <c r="BJ64" s="614">
        <v>0</v>
      </c>
      <c r="BK64" s="614">
        <v>0</v>
      </c>
      <c r="BL64" s="614">
        <v>0</v>
      </c>
      <c r="BM64" s="1104">
        <f t="shared" si="101"/>
        <v>15116.279069767443</v>
      </c>
    </row>
    <row r="65" spans="1:65" x14ac:dyDescent="0.15">
      <c r="A65" s="612" t="str">
        <f>'Published Balance'!A65</f>
        <v>Heat generated - TJ</v>
      </c>
      <c r="B65" s="612">
        <f t="shared" ca="1" si="80"/>
        <v>0</v>
      </c>
      <c r="C65" s="612">
        <f t="shared" ca="1" si="80"/>
        <v>0</v>
      </c>
      <c r="D65" s="612">
        <f t="shared" ca="1" si="80"/>
        <v>0</v>
      </c>
      <c r="E65" s="612">
        <f t="shared" ca="1" si="80"/>
        <v>113065.32663316582</v>
      </c>
      <c r="F65" s="612">
        <f t="shared" ca="1" si="80"/>
        <v>0</v>
      </c>
      <c r="G65" s="612">
        <f t="shared" ca="1" si="80"/>
        <v>0</v>
      </c>
      <c r="H65" s="612">
        <f t="shared" ca="1" si="80"/>
        <v>0</v>
      </c>
      <c r="I65" s="612">
        <f t="shared" ca="1" si="80"/>
        <v>0</v>
      </c>
      <c r="J65" s="612">
        <f t="shared" ca="1" si="80"/>
        <v>0</v>
      </c>
      <c r="K65" s="612">
        <f t="shared" ca="1" si="80"/>
        <v>0</v>
      </c>
      <c r="L65" s="612">
        <f t="shared" ca="1" si="80"/>
        <v>113065.32663316582</v>
      </c>
      <c r="M65" s="611" t="str">
        <f t="shared" si="76"/>
        <v/>
      </c>
      <c r="N65" s="1140"/>
      <c r="O65" s="611" t="s">
        <v>7169</v>
      </c>
      <c r="P65" s="612"/>
      <c r="Q65" s="612"/>
      <c r="R65" s="612"/>
      <c r="S65" s="612"/>
      <c r="T65" s="612"/>
      <c r="U65" s="612"/>
      <c r="V65" s="612"/>
      <c r="W65" s="612"/>
      <c r="X65" s="612"/>
      <c r="Y65" s="612"/>
      <c r="Z65" s="612"/>
      <c r="AA65" s="612"/>
      <c r="AB65" s="612"/>
      <c r="AC65" s="612"/>
      <c r="AD65" s="612"/>
      <c r="AE65" s="612"/>
      <c r="AF65" s="612"/>
      <c r="AG65" s="1108">
        <f>SUM(AG66:AG67)</f>
        <v>0</v>
      </c>
      <c r="AH65" s="1108">
        <f t="shared" ref="AH65:AP65" si="102">SUM(AH66:AH67)</f>
        <v>0</v>
      </c>
      <c r="AI65" s="1108">
        <f t="shared" si="102"/>
        <v>0</v>
      </c>
      <c r="AJ65" s="1108">
        <f t="shared" si="102"/>
        <v>113065.32663316582</v>
      </c>
      <c r="AK65" s="1108">
        <f t="shared" si="102"/>
        <v>0</v>
      </c>
      <c r="AL65" s="1108">
        <f t="shared" si="102"/>
        <v>0</v>
      </c>
      <c r="AM65" s="1108">
        <f t="shared" si="102"/>
        <v>0</v>
      </c>
      <c r="AN65" s="1108">
        <f t="shared" si="102"/>
        <v>0</v>
      </c>
      <c r="AO65" s="1108">
        <f t="shared" si="102"/>
        <v>0</v>
      </c>
      <c r="AP65" s="1108">
        <f t="shared" si="102"/>
        <v>0</v>
      </c>
      <c r="AQ65" s="1109">
        <f t="shared" si="48"/>
        <v>113065.32663316582</v>
      </c>
      <c r="AR65" s="1108">
        <f>SUM(AR66:AR67)</f>
        <v>0</v>
      </c>
      <c r="AS65" s="1108">
        <f t="shared" ref="AS65" si="103">SUM(AS66:AS67)</f>
        <v>0</v>
      </c>
      <c r="AT65" s="1108">
        <f t="shared" ref="AT65" si="104">SUM(AT66:AT67)</f>
        <v>0</v>
      </c>
      <c r="AU65" s="1108">
        <f t="shared" ref="AU65" si="105">SUM(AU66:AU67)</f>
        <v>113065.32663316582</v>
      </c>
      <c r="AV65" s="1108">
        <f t="shared" ref="AV65" si="106">SUM(AV66:AV67)</f>
        <v>0</v>
      </c>
      <c r="AW65" s="1108">
        <f t="shared" ref="AW65" si="107">SUM(AW66:AW67)</f>
        <v>0</v>
      </c>
      <c r="AX65" s="1108">
        <f t="shared" ref="AX65" si="108">SUM(AX66:AX67)</f>
        <v>0</v>
      </c>
      <c r="AY65" s="1108">
        <f t="shared" ref="AY65" si="109">SUM(AY66:AY67)</f>
        <v>0</v>
      </c>
      <c r="AZ65" s="1108">
        <f t="shared" ref="AZ65" si="110">SUM(AZ66:AZ67)</f>
        <v>0</v>
      </c>
      <c r="BA65" s="1108">
        <f t="shared" ref="BA65" si="111">SUM(BA66:BA67)</f>
        <v>0</v>
      </c>
      <c r="BB65" s="1109">
        <f t="shared" si="91"/>
        <v>113065.32663316582</v>
      </c>
      <c r="BC65" s="1108">
        <f>SUM(BC66:BC67)</f>
        <v>0</v>
      </c>
      <c r="BD65" s="1108">
        <f t="shared" ref="BD65" si="112">SUM(BD66:BD67)</f>
        <v>0</v>
      </c>
      <c r="BE65" s="1108">
        <f t="shared" ref="BE65" si="113">SUM(BE66:BE67)</f>
        <v>0</v>
      </c>
      <c r="BF65" s="1108">
        <f t="shared" ref="BF65" si="114">SUM(BF66:BF67)</f>
        <v>113065.32663316582</v>
      </c>
      <c r="BG65" s="1108">
        <f t="shared" ref="BG65" si="115">SUM(BG66:BG67)</f>
        <v>0</v>
      </c>
      <c r="BH65" s="1108">
        <f t="shared" ref="BH65" si="116">SUM(BH66:BH67)</f>
        <v>0</v>
      </c>
      <c r="BI65" s="1108">
        <f t="shared" ref="BI65" si="117">SUM(BI66:BI67)</f>
        <v>0</v>
      </c>
      <c r="BJ65" s="1108">
        <f t="shared" ref="BJ65" si="118">SUM(BJ66:BJ67)</f>
        <v>0</v>
      </c>
      <c r="BK65" s="1108">
        <f t="shared" ref="BK65" si="119">SUM(BK66:BK67)</f>
        <v>0</v>
      </c>
      <c r="BL65" s="1108">
        <f t="shared" ref="BL65" si="120">SUM(BL66:BL67)</f>
        <v>0</v>
      </c>
      <c r="BM65" s="1109">
        <f t="shared" si="101"/>
        <v>113065.32663316582</v>
      </c>
    </row>
    <row r="66" spans="1:65" x14ac:dyDescent="0.15">
      <c r="A66" s="613" t="str">
        <f>'Published Balance'!A66</f>
        <v>CHP plants</v>
      </c>
      <c r="B66" s="614">
        <f t="shared" ca="1" si="80"/>
        <v>0</v>
      </c>
      <c r="C66" s="614">
        <f t="shared" ca="1" si="80"/>
        <v>0</v>
      </c>
      <c r="D66" s="614">
        <f t="shared" ca="1" si="80"/>
        <v>0</v>
      </c>
      <c r="E66" s="614">
        <f t="shared" ca="1" si="80"/>
        <v>113065.32663316582</v>
      </c>
      <c r="F66" s="614">
        <f t="shared" ca="1" si="80"/>
        <v>0</v>
      </c>
      <c r="G66" s="614">
        <f t="shared" ca="1" si="80"/>
        <v>0</v>
      </c>
      <c r="H66" s="614">
        <f t="shared" ca="1" si="80"/>
        <v>0</v>
      </c>
      <c r="I66" s="614">
        <f t="shared" ca="1" si="80"/>
        <v>0</v>
      </c>
      <c r="J66" s="614">
        <f t="shared" ca="1" si="80"/>
        <v>0</v>
      </c>
      <c r="K66" s="614">
        <f t="shared" ca="1" si="80"/>
        <v>0</v>
      </c>
      <c r="L66" s="614">
        <f t="shared" ca="1" si="80"/>
        <v>113065.32663316582</v>
      </c>
      <c r="M66" s="614" t="str">
        <f t="shared" si="76"/>
        <v/>
      </c>
      <c r="N66" s="1142"/>
      <c r="O66" s="611" t="s">
        <v>7170</v>
      </c>
      <c r="P66" s="614"/>
      <c r="Q66" s="614"/>
      <c r="R66" s="614"/>
      <c r="S66" s="614"/>
      <c r="T66" s="614"/>
      <c r="U66" s="614"/>
      <c r="V66" s="614"/>
      <c r="W66" s="614"/>
      <c r="X66" s="614"/>
      <c r="Y66" s="614"/>
      <c r="Z66" s="614"/>
      <c r="AA66" s="614"/>
      <c r="AB66" s="614"/>
      <c r="AC66" s="614"/>
      <c r="AD66" s="614"/>
      <c r="AE66" s="614"/>
      <c r="AF66" s="614"/>
      <c r="AG66" s="614">
        <v>0</v>
      </c>
      <c r="AH66" s="614">
        <v>0</v>
      </c>
      <c r="AI66" s="614">
        <v>0</v>
      </c>
      <c r="AJ66" s="1117">
        <f>1/0.02388*AP17</f>
        <v>113065.32663316582</v>
      </c>
      <c r="AK66" s="614">
        <v>0</v>
      </c>
      <c r="AL66" s="614">
        <v>0</v>
      </c>
      <c r="AM66" s="614">
        <v>0</v>
      </c>
      <c r="AN66" s="614">
        <v>0</v>
      </c>
      <c r="AO66" s="614">
        <v>0</v>
      </c>
      <c r="AP66" s="614">
        <v>0</v>
      </c>
      <c r="AQ66" s="1104">
        <f t="shared" si="48"/>
        <v>113065.32663316582</v>
      </c>
      <c r="AR66" s="614">
        <v>0</v>
      </c>
      <c r="AS66" s="614">
        <v>0</v>
      </c>
      <c r="AT66" s="614">
        <v>0</v>
      </c>
      <c r="AU66" s="1117">
        <f>1/0.02388*BA17</f>
        <v>113065.32663316582</v>
      </c>
      <c r="AV66" s="614">
        <v>0</v>
      </c>
      <c r="AW66" s="614">
        <v>0</v>
      </c>
      <c r="AX66" s="614">
        <v>0</v>
      </c>
      <c r="AY66" s="614">
        <v>0</v>
      </c>
      <c r="AZ66" s="614">
        <v>0</v>
      </c>
      <c r="BA66" s="614">
        <v>0</v>
      </c>
      <c r="BB66" s="1104">
        <f t="shared" si="91"/>
        <v>113065.32663316582</v>
      </c>
      <c r="BC66" s="614">
        <v>0</v>
      </c>
      <c r="BD66" s="614">
        <v>0</v>
      </c>
      <c r="BE66" s="614">
        <v>0</v>
      </c>
      <c r="BF66" s="1117">
        <f>1/0.02388*BL17</f>
        <v>113065.32663316582</v>
      </c>
      <c r="BG66" s="614">
        <v>0</v>
      </c>
      <c r="BH66" s="614">
        <v>0</v>
      </c>
      <c r="BI66" s="614">
        <v>0</v>
      </c>
      <c r="BJ66" s="614">
        <v>0</v>
      </c>
      <c r="BK66" s="614">
        <v>0</v>
      </c>
      <c r="BL66" s="614">
        <v>0</v>
      </c>
      <c r="BM66" s="1104">
        <f t="shared" si="101"/>
        <v>113065.32663316582</v>
      </c>
    </row>
    <row r="67" spans="1:65" x14ac:dyDescent="0.15">
      <c r="A67" s="613" t="str">
        <f>'Published Balance'!A67</f>
        <v>Heat plants</v>
      </c>
      <c r="B67" s="614">
        <f t="shared" ca="1" si="80"/>
        <v>0</v>
      </c>
      <c r="C67" s="614">
        <f t="shared" ca="1" si="80"/>
        <v>0</v>
      </c>
      <c r="D67" s="614">
        <f t="shared" ca="1" si="80"/>
        <v>0</v>
      </c>
      <c r="E67" s="614">
        <f t="shared" ca="1" si="80"/>
        <v>0</v>
      </c>
      <c r="F67" s="614">
        <f t="shared" ca="1" si="80"/>
        <v>0</v>
      </c>
      <c r="G67" s="614">
        <f t="shared" ca="1" si="80"/>
        <v>0</v>
      </c>
      <c r="H67" s="614">
        <f t="shared" ca="1" si="80"/>
        <v>0</v>
      </c>
      <c r="I67" s="614">
        <f t="shared" ca="1" si="80"/>
        <v>0</v>
      </c>
      <c r="J67" s="614">
        <f t="shared" ca="1" si="80"/>
        <v>0</v>
      </c>
      <c r="K67" s="614">
        <f t="shared" ca="1" si="80"/>
        <v>0</v>
      </c>
      <c r="L67" s="614">
        <f t="shared" ca="1" si="80"/>
        <v>0</v>
      </c>
      <c r="M67" s="614" t="str">
        <f t="shared" si="76"/>
        <v/>
      </c>
      <c r="N67" s="1141"/>
      <c r="O67" s="614"/>
      <c r="P67" s="614"/>
      <c r="Q67" s="614"/>
      <c r="R67" s="614"/>
      <c r="S67" s="614"/>
      <c r="T67" s="614"/>
      <c r="U67" s="614"/>
      <c r="V67" s="614"/>
      <c r="W67" s="614"/>
      <c r="X67" s="614"/>
      <c r="Y67" s="614"/>
      <c r="Z67" s="614"/>
      <c r="AA67" s="614"/>
      <c r="AB67" s="614"/>
      <c r="AC67" s="614"/>
      <c r="AD67" s="614"/>
      <c r="AE67" s="614"/>
      <c r="AF67" s="614"/>
      <c r="AG67" s="614">
        <v>0</v>
      </c>
      <c r="AH67" s="614">
        <v>0</v>
      </c>
      <c r="AI67" s="614">
        <v>0</v>
      </c>
      <c r="AJ67" s="614">
        <v>0</v>
      </c>
      <c r="AK67" s="614">
        <v>0</v>
      </c>
      <c r="AL67" s="614">
        <v>0</v>
      </c>
      <c r="AM67" s="614">
        <v>0</v>
      </c>
      <c r="AN67" s="614">
        <v>0</v>
      </c>
      <c r="AO67" s="614">
        <v>0</v>
      </c>
      <c r="AP67" s="614">
        <v>0</v>
      </c>
      <c r="AQ67" s="1104">
        <f t="shared" si="48"/>
        <v>0</v>
      </c>
      <c r="AR67" s="614">
        <v>0</v>
      </c>
      <c r="AS67" s="614">
        <v>0</v>
      </c>
      <c r="AT67" s="614">
        <v>0</v>
      </c>
      <c r="AU67" s="614">
        <v>0</v>
      </c>
      <c r="AV67" s="614">
        <v>0</v>
      </c>
      <c r="AW67" s="614">
        <v>0</v>
      </c>
      <c r="AX67" s="614">
        <v>0</v>
      </c>
      <c r="AY67" s="614">
        <v>0</v>
      </c>
      <c r="AZ67" s="614">
        <v>0</v>
      </c>
      <c r="BA67" s="614">
        <v>0</v>
      </c>
      <c r="BB67" s="1104">
        <f t="shared" si="91"/>
        <v>0</v>
      </c>
      <c r="BC67" s="614">
        <v>0</v>
      </c>
      <c r="BD67" s="614">
        <v>0</v>
      </c>
      <c r="BE67" s="614">
        <v>0</v>
      </c>
      <c r="BF67" s="614">
        <v>0</v>
      </c>
      <c r="BG67" s="614">
        <v>0</v>
      </c>
      <c r="BH67" s="614">
        <v>0</v>
      </c>
      <c r="BI67" s="614">
        <v>0</v>
      </c>
      <c r="BJ67" s="614">
        <v>0</v>
      </c>
      <c r="BK67" s="614">
        <v>0</v>
      </c>
      <c r="BL67" s="614">
        <v>0</v>
      </c>
      <c r="BM67" s="1104">
        <f t="shared" si="101"/>
        <v>0</v>
      </c>
    </row>
    <row r="68" spans="1:65" x14ac:dyDescent="0.15">
      <c r="N68" s="612" t="str">
        <f>HLOOKUP(LangChoice,$AB$3:$AD$49,$AA31+1)</f>
        <v>Hints:</v>
      </c>
    </row>
    <row r="69" spans="1:65" x14ac:dyDescent="0.15">
      <c r="N69" s="613" t="str">
        <f>HLOOKUP(LangChoice,$AB$3:$AD$49,$AA32+1)</f>
        <v>There are at least eight (8) figures requiring double-checking</v>
      </c>
    </row>
    <row r="70" spans="1:65" x14ac:dyDescent="0.15">
      <c r="N70" s="613" t="str">
        <f>HLOOKUP(LangChoice,$AB$3:$AD$49,$AA33+1)</f>
        <v>There are at least five (5) incorrect figures</v>
      </c>
    </row>
    <row r="71" spans="1:65" ht="11.25" x14ac:dyDescent="0.2">
      <c r="M71" s="555"/>
      <c r="N71" s="555"/>
      <c r="O71" s="555"/>
      <c r="P71" s="555"/>
      <c r="Q71" s="555"/>
      <c r="R71" s="555"/>
      <c r="S71" s="555"/>
      <c r="T71" s="555"/>
      <c r="U71" s="555"/>
      <c r="V71" s="555"/>
      <c r="W71" s="555"/>
      <c r="X71" s="555"/>
      <c r="Y71" s="555"/>
      <c r="Z71" s="555"/>
      <c r="AA71" s="555"/>
      <c r="AB71" s="555"/>
      <c r="AC71" s="555"/>
      <c r="AD71" s="555"/>
      <c r="AE71" s="555"/>
      <c r="AF71" s="555"/>
      <c r="AG71" s="555"/>
      <c r="AH71" s="555"/>
    </row>
  </sheetData>
  <mergeCells count="11">
    <mergeCell ref="A2:L2"/>
    <mergeCell ref="N7:N8"/>
    <mergeCell ref="N9:N11"/>
    <mergeCell ref="N28:N30"/>
    <mergeCell ref="N26:N27"/>
    <mergeCell ref="A61:L61"/>
    <mergeCell ref="A3:L3"/>
    <mergeCell ref="A5:L5"/>
    <mergeCell ref="N3:N5"/>
    <mergeCell ref="N51:N53"/>
    <mergeCell ref="N49:N50"/>
  </mergeCells>
  <conditionalFormatting sqref="N7:N8">
    <cfRule type="expression" dxfId="29" priority="3">
      <formula>N7=$A$2</formula>
    </cfRule>
  </conditionalFormatting>
  <conditionalFormatting sqref="N26:N27">
    <cfRule type="expression" dxfId="28" priority="2">
      <formula>N26=$A$2</formula>
    </cfRule>
  </conditionalFormatting>
  <conditionalFormatting sqref="N49:N50">
    <cfRule type="expression" dxfId="27" priority="1">
      <formula>N49=$A$2</formula>
    </cfRule>
  </conditionalFormatting>
  <dataValidations count="2">
    <dataValidation type="list" allowBlank="1" showInputMessage="1" showErrorMessage="1" sqref="A2:L2" xr:uid="{00000000-0002-0000-0F00-000000000000}">
      <formula1>$AG$2:$AI$2</formula1>
    </dataValidation>
    <dataValidation type="list" allowBlank="1" showInputMessage="1" showErrorMessage="1" sqref="N2" xr:uid="{00000000-0002-0000-0F00-000001000000}">
      <formula1>$AB$1:$AC$1</formula1>
    </dataValidation>
  </dataValidations>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2">
    <tabColor theme="1"/>
  </sheetPr>
  <dimension ref="A1:BL75"/>
  <sheetViews>
    <sheetView showGridLines="0" zoomScale="115" zoomScaleNormal="115" workbookViewId="0">
      <pane xSplit="1" ySplit="6" topLeftCell="B7" activePane="bottomRight" state="frozen"/>
      <selection pane="topRight" sqref="A1:I1"/>
      <selection pane="bottomLeft" sqref="A1:I1"/>
      <selection pane="bottomRight" activeCell="K45" sqref="K45"/>
    </sheetView>
  </sheetViews>
  <sheetFormatPr defaultColWidth="9.140625" defaultRowHeight="9" x14ac:dyDescent="0.15"/>
  <cols>
    <col min="1" max="1" width="30" style="209" customWidth="1"/>
    <col min="2" max="7" width="5.42578125" style="209" customWidth="1"/>
    <col min="8" max="11" width="6.5703125" style="209" customWidth="1"/>
    <col min="12" max="14" width="5.7109375" style="209" customWidth="1"/>
    <col min="15" max="17" width="6.28515625" style="209" customWidth="1"/>
    <col min="18" max="20" width="5.140625" style="209" customWidth="1"/>
    <col min="21" max="23" width="6.85546875" style="209" customWidth="1"/>
    <col min="24" max="26" width="5.7109375" style="209" customWidth="1"/>
    <col min="27" max="29" width="6" style="209" customWidth="1"/>
    <col min="30" max="32" width="5.28515625" style="209" customWidth="1"/>
    <col min="33" max="33" width="5.85546875" style="209" customWidth="1"/>
    <col min="34" max="46" width="6.140625" style="209" customWidth="1"/>
    <col min="47" max="47" width="9.140625" style="209"/>
    <col min="48" max="48" width="7" style="209" hidden="1" customWidth="1"/>
    <col min="49" max="49" width="13.5703125" style="209" hidden="1" customWidth="1"/>
    <col min="50" max="50" width="9.140625" style="209" hidden="1" customWidth="1"/>
    <col min="51" max="51" width="11.5703125" style="209" hidden="1" customWidth="1"/>
    <col min="52" max="52" width="1.28515625" style="209" hidden="1" customWidth="1"/>
    <col min="53" max="53" width="11.42578125" style="209" hidden="1" customWidth="1"/>
    <col min="54" max="54" width="3.85546875" style="209" hidden="1" customWidth="1"/>
    <col min="55" max="56" width="6.28515625" style="209" hidden="1" customWidth="1"/>
    <col min="57" max="57" width="5.28515625" style="209" hidden="1" customWidth="1"/>
    <col min="58" max="58" width="6.28515625" style="209" hidden="1" customWidth="1"/>
    <col min="59" max="59" width="5.28515625" style="209" hidden="1" customWidth="1"/>
    <col min="60" max="60" width="7.7109375" style="209" hidden="1" customWidth="1"/>
    <col min="61" max="61" width="6.42578125" style="209" hidden="1" customWidth="1"/>
    <col min="62" max="62" width="6.7109375" style="209" hidden="1" customWidth="1"/>
    <col min="63" max="63" width="3.85546875" style="209" hidden="1" customWidth="1"/>
    <col min="64" max="64" width="4.140625" style="209" hidden="1" customWidth="1"/>
    <col min="65" max="73" width="9.140625" style="209" customWidth="1"/>
    <col min="74" max="16384" width="9.140625" style="209"/>
  </cols>
  <sheetData>
    <row r="1" spans="1:64" x14ac:dyDescent="0.15">
      <c r="A1" s="1335"/>
      <c r="B1" s="1334"/>
      <c r="C1" s="1334"/>
      <c r="D1" s="1334"/>
      <c r="E1" s="1334"/>
      <c r="F1" s="1334"/>
      <c r="G1" s="1334"/>
      <c r="H1" s="1334"/>
      <c r="I1" s="1334"/>
      <c r="J1" s="1334"/>
      <c r="K1" s="1334"/>
      <c r="L1" s="1334"/>
      <c r="M1" s="1334"/>
      <c r="N1" s="1334"/>
      <c r="O1" s="1334"/>
      <c r="P1" s="1334"/>
      <c r="Q1" s="1334"/>
      <c r="R1" s="1334"/>
      <c r="S1" s="1334"/>
      <c r="T1" s="1334"/>
      <c r="U1" s="1334"/>
      <c r="V1" s="1334"/>
      <c r="W1" s="1334"/>
      <c r="X1" s="1334"/>
      <c r="Y1" s="1334"/>
      <c r="Z1" s="1334"/>
      <c r="AA1" s="1334"/>
      <c r="AB1" s="1334"/>
      <c r="AC1" s="1334"/>
      <c r="AD1" s="1334"/>
      <c r="AE1" s="1334"/>
      <c r="AF1" s="1334"/>
      <c r="AG1" s="1334"/>
      <c r="AH1" s="1334"/>
      <c r="AI1" s="1334"/>
      <c r="AJ1" s="802"/>
      <c r="AK1" s="802"/>
      <c r="AL1" s="802"/>
      <c r="AM1" s="802"/>
      <c r="AN1" s="802"/>
      <c r="AO1" s="802"/>
      <c r="AP1" s="802"/>
      <c r="AQ1" s="802"/>
      <c r="AR1" s="802"/>
      <c r="AS1" s="802"/>
      <c r="AT1" s="802"/>
      <c r="AV1" s="1111" t="s">
        <v>7016</v>
      </c>
      <c r="AW1" s="615"/>
      <c r="AX1" s="615"/>
      <c r="AY1" s="615"/>
      <c r="AZ1" s="615"/>
      <c r="BA1" s="805"/>
      <c r="BB1" s="615"/>
      <c r="BC1" s="615"/>
      <c r="BD1" s="615"/>
      <c r="BE1" s="615"/>
      <c r="BF1" s="615"/>
      <c r="BG1" s="615"/>
      <c r="BH1" s="615"/>
      <c r="BI1" s="615"/>
      <c r="BJ1" s="615"/>
      <c r="BK1" s="615"/>
      <c r="BL1" s="1180" t="s">
        <v>7017</v>
      </c>
    </row>
    <row r="3" spans="1:64" ht="15" x14ac:dyDescent="0.15">
      <c r="A3" s="803" t="str">
        <f>CountryName</f>
        <v>South Africa</v>
      </c>
      <c r="B3" s="803"/>
      <c r="C3" s="803"/>
      <c r="D3" s="1344"/>
      <c r="E3" s="1075" t="s">
        <v>7171</v>
      </c>
      <c r="F3" s="803"/>
      <c r="G3" s="803"/>
      <c r="H3" s="803"/>
      <c r="I3" s="803"/>
      <c r="J3" s="803"/>
      <c r="K3" s="803"/>
      <c r="L3" s="803"/>
      <c r="M3" s="803"/>
      <c r="N3" s="803"/>
      <c r="O3" s="803"/>
      <c r="P3" s="803"/>
      <c r="Q3" s="803"/>
      <c r="R3" s="803"/>
      <c r="S3" s="803"/>
      <c r="T3" s="803"/>
      <c r="U3" s="803"/>
      <c r="V3" s="803"/>
      <c r="W3" s="803"/>
      <c r="X3" s="803"/>
      <c r="Y3" s="803"/>
      <c r="Z3" s="803"/>
      <c r="AA3" s="803"/>
      <c r="AB3" s="803"/>
      <c r="AC3" s="803"/>
      <c r="AD3" s="803"/>
      <c r="AE3" s="803"/>
      <c r="AF3" s="803"/>
      <c r="AG3" s="803"/>
      <c r="AH3" s="786"/>
      <c r="AI3" s="786"/>
      <c r="AJ3" s="786"/>
      <c r="AK3" s="786"/>
      <c r="AL3" s="786"/>
      <c r="AM3" s="786"/>
      <c r="AN3" s="786"/>
      <c r="AO3" s="786"/>
      <c r="AP3" s="786"/>
      <c r="AQ3" s="786"/>
      <c r="AR3" s="786"/>
      <c r="AS3" s="786"/>
      <c r="AT3" s="786"/>
      <c r="AW3" s="2307" t="s">
        <v>7018</v>
      </c>
      <c r="AX3" s="2308"/>
      <c r="AY3" s="2309"/>
      <c r="AZ3" s="209" t="s">
        <v>322</v>
      </c>
      <c r="BA3" s="1177" t="s">
        <v>7019</v>
      </c>
      <c r="BB3" s="1175"/>
      <c r="BC3" s="1175"/>
      <c r="BD3" s="1175"/>
      <c r="BE3" s="1175"/>
      <c r="BF3" s="1175"/>
      <c r="BG3" s="1175"/>
      <c r="BH3" s="1175"/>
      <c r="BI3" s="1175"/>
      <c r="BJ3" s="1175"/>
      <c r="BK3" s="1175"/>
      <c r="BL3" s="1176"/>
    </row>
    <row r="4" spans="1:64" ht="15" x14ac:dyDescent="0.15">
      <c r="A4" s="825" t="str">
        <f>"Comparison: " &amp;DataYear &amp;" - "&amp; LatestYear</f>
        <v>Comparison: 2019 - 2021</v>
      </c>
      <c r="B4" s="826"/>
      <c r="C4" s="826"/>
      <c r="D4" s="826"/>
      <c r="E4" s="826"/>
      <c r="F4" s="826"/>
      <c r="G4" s="826"/>
      <c r="H4" s="826"/>
      <c r="I4" s="826"/>
      <c r="J4" s="826"/>
      <c r="K4" s="826"/>
      <c r="L4" s="826"/>
      <c r="M4" s="826"/>
      <c r="N4" s="826"/>
      <c r="O4" s="826"/>
      <c r="P4" s="826"/>
      <c r="Q4" s="826"/>
      <c r="R4" s="826"/>
      <c r="S4" s="826"/>
      <c r="T4" s="826"/>
      <c r="U4" s="826"/>
      <c r="V4" s="826"/>
      <c r="W4" s="826"/>
      <c r="X4" s="826"/>
      <c r="Y4" s="826"/>
      <c r="Z4" s="826"/>
      <c r="AA4" s="826"/>
      <c r="AB4" s="826"/>
      <c r="AC4" s="826"/>
      <c r="AD4" s="826"/>
      <c r="AE4" s="826"/>
      <c r="AF4" s="826"/>
      <c r="AG4" s="1227"/>
      <c r="AH4" s="803"/>
      <c r="AI4" s="803"/>
      <c r="AJ4" s="803"/>
      <c r="AK4" s="803"/>
      <c r="AL4" s="803"/>
      <c r="AM4" s="803"/>
      <c r="AN4" s="803"/>
      <c r="AO4" s="803"/>
      <c r="AP4" s="803"/>
      <c r="AQ4" s="803"/>
      <c r="AR4" s="803"/>
      <c r="AS4" s="803"/>
      <c r="AT4" s="803"/>
      <c r="AW4" s="609" t="s">
        <v>7</v>
      </c>
      <c r="AX4" s="609" t="s">
        <v>8</v>
      </c>
      <c r="AY4" s="609" t="s">
        <v>7021</v>
      </c>
      <c r="AZ4" s="209" t="s">
        <v>322</v>
      </c>
      <c r="BB4" s="209">
        <v>1</v>
      </c>
      <c r="BC4" s="209">
        <v>2</v>
      </c>
      <c r="BD4" s="209">
        <v>3</v>
      </c>
      <c r="BE4" s="209">
        <v>4</v>
      </c>
      <c r="BF4" s="209">
        <v>5</v>
      </c>
      <c r="BG4" s="209">
        <v>6</v>
      </c>
      <c r="BH4" s="209">
        <v>7</v>
      </c>
      <c r="BI4" s="209">
        <v>8</v>
      </c>
      <c r="BJ4" s="209">
        <v>9</v>
      </c>
      <c r="BK4" s="209">
        <v>10</v>
      </c>
      <c r="BL4" s="1179">
        <v>11</v>
      </c>
    </row>
    <row r="5" spans="1:64" ht="12.75" customHeight="1" x14ac:dyDescent="0.15">
      <c r="A5" s="1333"/>
      <c r="B5" s="1340">
        <f>DataYear</f>
        <v>2019</v>
      </c>
      <c r="C5" s="1341">
        <f>LatestYear</f>
        <v>2021</v>
      </c>
      <c r="D5" s="1342" t="s">
        <v>7172</v>
      </c>
      <c r="E5" s="1340">
        <f>DataYear</f>
        <v>2019</v>
      </c>
      <c r="F5" s="1341">
        <f>LatestYear</f>
        <v>2021</v>
      </c>
      <c r="G5" s="1342" t="s">
        <v>7172</v>
      </c>
      <c r="H5" s="1340">
        <f>DataYear</f>
        <v>2019</v>
      </c>
      <c r="I5" s="1341">
        <f>LatestYear</f>
        <v>2021</v>
      </c>
      <c r="J5" s="1342" t="s">
        <v>7172</v>
      </c>
      <c r="K5" s="1342" t="s">
        <v>7172</v>
      </c>
      <c r="L5" s="1340">
        <f>DataYear</f>
        <v>2019</v>
      </c>
      <c r="M5" s="1341">
        <f>LatestYear</f>
        <v>2021</v>
      </c>
      <c r="N5" s="1342" t="s">
        <v>7172</v>
      </c>
      <c r="O5" s="1340">
        <f>DataYear</f>
        <v>2019</v>
      </c>
      <c r="P5" s="1341">
        <f>LatestYear</f>
        <v>2021</v>
      </c>
      <c r="Q5" s="1342" t="s">
        <v>7172</v>
      </c>
      <c r="R5" s="1340">
        <f>DataYear</f>
        <v>2019</v>
      </c>
      <c r="S5" s="1341">
        <f>LatestYear</f>
        <v>2021</v>
      </c>
      <c r="T5" s="1342" t="s">
        <v>7172</v>
      </c>
      <c r="U5" s="1340">
        <f>DataYear</f>
        <v>2019</v>
      </c>
      <c r="V5" s="1341">
        <f>LatestYear</f>
        <v>2021</v>
      </c>
      <c r="W5" s="1342" t="s">
        <v>7172</v>
      </c>
      <c r="X5" s="1340">
        <f>DataYear</f>
        <v>2019</v>
      </c>
      <c r="Y5" s="1341">
        <f>LatestYear</f>
        <v>2021</v>
      </c>
      <c r="Z5" s="1342" t="s">
        <v>7172</v>
      </c>
      <c r="AA5" s="1340">
        <f>DataYear</f>
        <v>2019</v>
      </c>
      <c r="AB5" s="1341">
        <f>LatestYear</f>
        <v>2021</v>
      </c>
      <c r="AC5" s="1342" t="s">
        <v>7172</v>
      </c>
      <c r="AD5" s="1340">
        <f>DataYear</f>
        <v>2019</v>
      </c>
      <c r="AE5" s="1341">
        <f>LatestYear</f>
        <v>2021</v>
      </c>
      <c r="AF5" s="1342" t="s">
        <v>7172</v>
      </c>
      <c r="AG5" s="1340">
        <f>DataYear</f>
        <v>2019</v>
      </c>
      <c r="AH5" s="1341">
        <f>LatestYear</f>
        <v>2021</v>
      </c>
      <c r="AI5" s="1342" t="s">
        <v>7172</v>
      </c>
      <c r="AJ5" s="636"/>
      <c r="AK5" s="636"/>
      <c r="AL5" s="636"/>
      <c r="AM5" s="636"/>
      <c r="AN5" s="636"/>
      <c r="AO5" s="636"/>
      <c r="AP5" s="636"/>
      <c r="AQ5" s="636"/>
      <c r="AR5" s="636"/>
      <c r="AS5" s="636"/>
      <c r="AT5" s="636"/>
      <c r="AV5" s="209">
        <v>1</v>
      </c>
      <c r="AW5" s="209" t="s">
        <v>7022</v>
      </c>
      <c r="AX5" s="209" t="s">
        <v>7023</v>
      </c>
      <c r="AY5" s="209" t="s">
        <v>7024</v>
      </c>
      <c r="AZ5" s="209" t="s">
        <v>322</v>
      </c>
      <c r="BA5" s="616" t="s">
        <v>7</v>
      </c>
      <c r="BB5" s="1174" t="s">
        <v>165</v>
      </c>
      <c r="BC5" s="1174" t="s">
        <v>494</v>
      </c>
      <c r="BD5" s="1174" t="s">
        <v>7025</v>
      </c>
      <c r="BE5" s="1174" t="s">
        <v>650</v>
      </c>
      <c r="BF5" s="1174" t="s">
        <v>741</v>
      </c>
      <c r="BG5" s="1174" t="s">
        <v>751</v>
      </c>
      <c r="BH5" s="1174" t="s">
        <v>7026</v>
      </c>
      <c r="BI5" s="1174" t="s">
        <v>7027</v>
      </c>
      <c r="BJ5" s="1174" t="s">
        <v>7028</v>
      </c>
      <c r="BK5" s="1174" t="s">
        <v>831</v>
      </c>
      <c r="BL5" s="1174" t="s">
        <v>375</v>
      </c>
    </row>
    <row r="6" spans="1:64" ht="40.5" customHeight="1" x14ac:dyDescent="0.15">
      <c r="A6" s="828" t="str">
        <f t="shared" ref="A6:A37" si="0">HLOOKUP(LangChoice,$AW$4:$AY$67,$AV6+1)</f>
        <v>SUPPLY AND
CONSUMPTION</v>
      </c>
      <c r="B6" s="829" t="str">
        <f>VLOOKUP(LangChoice,$BA$4:$BL$7,BB4+1)</f>
        <v>Coal</v>
      </c>
      <c r="C6" s="1098"/>
      <c r="D6" s="1343"/>
      <c r="E6" s="1098" t="str">
        <f>VLOOKUP(LangChoice,$BA$4:$BL$7,BC4+1)</f>
        <v>Crude oil</v>
      </c>
      <c r="F6" s="1336"/>
      <c r="G6" s="1343"/>
      <c r="H6" s="1337" t="str">
        <f>VLOOKUP(LangChoice,$BA$4:$BL$7,BD4+1)</f>
        <v>Oil
products</v>
      </c>
      <c r="I6" s="1338"/>
      <c r="J6" s="1343"/>
      <c r="K6" s="1283" t="s">
        <v>7173</v>
      </c>
      <c r="L6" s="1337" t="str">
        <f>VLOOKUP(LangChoice,$BA$4:$BL$7,BE4+1)</f>
        <v>Natural gas</v>
      </c>
      <c r="M6" s="1338"/>
      <c r="N6" s="1343"/>
      <c r="O6" s="1337" t="str">
        <f>VLOOKUP(LangChoice,$BA$4:$BL$7,BF4+1)</f>
        <v>Nuclear</v>
      </c>
      <c r="P6" s="1338"/>
      <c r="Q6" s="1343"/>
      <c r="R6" s="1337" t="str">
        <f>VLOOKUP(LangChoice,$BA$4:$BL$7,BG4+1)</f>
        <v>Hydro</v>
      </c>
      <c r="S6" s="1338"/>
      <c r="T6" s="1343"/>
      <c r="U6" s="1337" t="str">
        <f>VLOOKUP(LangChoice,$BA$4:$BL$7,BH4+1)</f>
        <v>Geo-therm./
Solar/
etc.</v>
      </c>
      <c r="V6" s="1338"/>
      <c r="W6" s="1343"/>
      <c r="X6" s="1337" t="str">
        <f>VLOOKUP(LangChoice,$BA$4:$BL$7,BI4+1)</f>
        <v>Biofuels/
Waste</v>
      </c>
      <c r="Y6" s="1338"/>
      <c r="Z6" s="1343"/>
      <c r="AA6" s="1337" t="str">
        <f>VLOOKUP(LangChoice,$BA$4:$BL$7,BJ4+1)</f>
        <v>Electri-city</v>
      </c>
      <c r="AB6" s="1338"/>
      <c r="AC6" s="1343"/>
      <c r="AD6" s="1337" t="str">
        <f>VLOOKUP(LangChoice,$BA$4:$BL$7,BK4+1)</f>
        <v>Heat</v>
      </c>
      <c r="AE6" s="1338"/>
      <c r="AF6" s="1343"/>
      <c r="AG6" s="1337" t="str">
        <f>VLOOKUP(LangChoice,$BA$4:$BL$7,BL4+1)</f>
        <v>Total</v>
      </c>
      <c r="AH6" s="1338"/>
      <c r="AI6" s="1343"/>
      <c r="AJ6" s="804"/>
      <c r="AK6" s="804"/>
      <c r="AL6" s="804"/>
      <c r="AM6" s="804"/>
      <c r="AN6" s="804"/>
      <c r="AO6" s="804"/>
      <c r="AP6" s="804"/>
      <c r="AQ6" s="804"/>
      <c r="AR6" s="804"/>
      <c r="AS6" s="804"/>
      <c r="AT6" s="804"/>
      <c r="AV6" s="209">
        <v>2</v>
      </c>
      <c r="AW6" s="610" t="s">
        <v>7029</v>
      </c>
      <c r="AX6" s="1231" t="s">
        <v>7030</v>
      </c>
      <c r="AY6" s="209" t="s">
        <v>148</v>
      </c>
      <c r="AZ6" s="209" t="s">
        <v>322</v>
      </c>
      <c r="BA6" s="1178" t="s">
        <v>8</v>
      </c>
      <c r="BB6" s="1327" t="s">
        <v>7031</v>
      </c>
      <c r="BC6" s="1327" t="s">
        <v>495</v>
      </c>
      <c r="BD6" s="1327" t="s">
        <v>529</v>
      </c>
      <c r="BE6" s="1328" t="str">
        <f>Definitions_ProdLang!D48</f>
        <v>Природный газ</v>
      </c>
      <c r="BF6" s="1327" t="s">
        <v>742</v>
      </c>
      <c r="BG6" s="1328" t="str">
        <f>Definitions_ProdLang!D63</f>
        <v>Гидроэнергия</v>
      </c>
      <c r="BH6" s="1327" t="s">
        <v>7032</v>
      </c>
      <c r="BI6" s="1327" t="s">
        <v>7033</v>
      </c>
      <c r="BJ6" s="1328" t="str">
        <f>Definitions_ProdLang!D73</f>
        <v>Электричество</v>
      </c>
      <c r="BK6" s="1328" t="str">
        <f>Definitions_ProdLang!D74</f>
        <v>Тепло</v>
      </c>
      <c r="BL6" s="1327" t="s">
        <v>376</v>
      </c>
    </row>
    <row r="7" spans="1:64" x14ac:dyDescent="0.15">
      <c r="A7" s="209" t="str">
        <f t="shared" si="0"/>
        <v>Production</v>
      </c>
      <c r="B7" s="611"/>
      <c r="C7" s="611"/>
      <c r="D7" s="1345" t="str">
        <f>IFERROR((C7-B7)/B7,"..")</f>
        <v>..</v>
      </c>
      <c r="E7" s="611"/>
      <c r="F7" s="611"/>
      <c r="G7" s="1345" t="str">
        <f>IFERROR((F7-E7)/E7,"..")</f>
        <v>..</v>
      </c>
      <c r="H7" s="611"/>
      <c r="I7" s="611"/>
      <c r="J7" s="1345" t="str">
        <f>IFERROR((I7-H7)/H7,"..")</f>
        <v>..</v>
      </c>
      <c r="K7" s="1345" t="str">
        <f>IFERROR(((F7+I7)-(E7+H7))/(E7+H7),"..")</f>
        <v>..</v>
      </c>
      <c r="L7" s="611"/>
      <c r="M7" s="611"/>
      <c r="N7" s="1345" t="str">
        <f>IFERROR((M7-L7)/L7,"..")</f>
        <v>..</v>
      </c>
      <c r="O7" s="611"/>
      <c r="P7" s="611"/>
      <c r="Q7" s="1345" t="str">
        <f>IFERROR((P7-O7)/O7,"..")</f>
        <v>..</v>
      </c>
      <c r="R7" s="611"/>
      <c r="S7" s="611"/>
      <c r="T7" s="1345" t="str">
        <f>IFERROR((S7-R7)/R7,"..")</f>
        <v>..</v>
      </c>
      <c r="U7" s="611"/>
      <c r="V7" s="611"/>
      <c r="W7" s="1345" t="str">
        <f>IFERROR((V7-U7)/U7,"..")</f>
        <v>..</v>
      </c>
      <c r="X7" s="611"/>
      <c r="Y7" s="611"/>
      <c r="Z7" s="1345" t="str">
        <f>IFERROR((Y7-X7)/X7,"..")</f>
        <v>..</v>
      </c>
      <c r="AA7" s="611"/>
      <c r="AB7" s="611"/>
      <c r="AC7" s="1345" t="str">
        <f>IFERROR((AB7-AA7)/AA7,"..")</f>
        <v>..</v>
      </c>
      <c r="AD7" s="611"/>
      <c r="AE7" s="611"/>
      <c r="AF7" s="1345" t="str">
        <f>IFERROR((AE7-AD7)/AD7,"..")</f>
        <v>..</v>
      </c>
      <c r="AG7" s="611"/>
      <c r="AH7" s="611"/>
      <c r="AI7" s="1345" t="str">
        <f>IFERROR((AH7-AG7)/AG7,"..")</f>
        <v>..</v>
      </c>
      <c r="AJ7" s="611"/>
      <c r="AK7" s="611"/>
      <c r="AL7" s="611"/>
      <c r="AM7" s="611"/>
      <c r="AN7" s="611"/>
      <c r="AO7" s="611"/>
      <c r="AP7" s="611"/>
      <c r="AQ7" s="611"/>
      <c r="AR7" s="611"/>
      <c r="AS7" s="611"/>
      <c r="AT7" s="611"/>
      <c r="AV7" s="209">
        <v>3</v>
      </c>
      <c r="AW7" s="1230" t="str">
        <f>Definitions_FlowLang!C5</f>
        <v>Production</v>
      </c>
      <c r="AX7" s="1230" t="str">
        <f>Definitions_FlowLang!D5</f>
        <v>Производство</v>
      </c>
      <c r="AY7" s="1230" t="str">
        <f>Definitions_FlowLang!E5</f>
        <v>产量</v>
      </c>
      <c r="AZ7" s="209" t="s">
        <v>322</v>
      </c>
      <c r="BA7" s="616" t="s">
        <v>7021</v>
      </c>
      <c r="BB7" s="209" t="s">
        <v>7034</v>
      </c>
      <c r="BC7" s="209" t="s">
        <v>496</v>
      </c>
      <c r="BD7" s="209" t="s">
        <v>530</v>
      </c>
      <c r="BE7" s="209" t="s">
        <v>652</v>
      </c>
      <c r="BF7" s="209" t="s">
        <v>743</v>
      </c>
      <c r="BG7" s="209" t="s">
        <v>7035</v>
      </c>
      <c r="BH7" s="209" t="s">
        <v>7036</v>
      </c>
      <c r="BI7" s="209" t="s">
        <v>386</v>
      </c>
      <c r="BJ7" s="209" t="s">
        <v>826</v>
      </c>
      <c r="BK7" s="209" t="s">
        <v>833</v>
      </c>
      <c r="BL7" s="209" t="s">
        <v>347</v>
      </c>
    </row>
    <row r="8" spans="1:64" x14ac:dyDescent="0.15">
      <c r="A8" s="209" t="str">
        <f t="shared" si="0"/>
        <v>Imports</v>
      </c>
      <c r="B8" s="611"/>
      <c r="C8" s="611"/>
      <c r="D8" s="1345" t="str">
        <f t="shared" ref="D8:D67" si="1">IFERROR((C8-B8)/B8,"..")</f>
        <v>..</v>
      </c>
      <c r="E8" s="611"/>
      <c r="F8" s="611"/>
      <c r="G8" s="1345" t="str">
        <f t="shared" ref="G8:G67" si="2">IFERROR((F8-E8)/E8,"..")</f>
        <v>..</v>
      </c>
      <c r="H8" s="611"/>
      <c r="I8" s="611"/>
      <c r="J8" s="1345" t="str">
        <f t="shared" ref="J8:J67" si="3">IFERROR((I8-H8)/H8,"..")</f>
        <v>..</v>
      </c>
      <c r="K8" s="1345" t="str">
        <f t="shared" ref="K8:K67" si="4">IFERROR(((F8+I8)-(E8+H8))/(E8+H8),"..")</f>
        <v>..</v>
      </c>
      <c r="L8" s="611"/>
      <c r="M8" s="611"/>
      <c r="N8" s="1345" t="str">
        <f t="shared" ref="N8:N67" si="5">IFERROR((M8-L8)/L8,"..")</f>
        <v>..</v>
      </c>
      <c r="O8" s="611"/>
      <c r="P8" s="611"/>
      <c r="Q8" s="1345" t="str">
        <f t="shared" ref="Q8:Q67" si="6">IFERROR((P8-O8)/O8,"..")</f>
        <v>..</v>
      </c>
      <c r="R8" s="611"/>
      <c r="S8" s="611"/>
      <c r="T8" s="1345" t="str">
        <f t="shared" ref="T8:T67" si="7">IFERROR((S8-R8)/R8,"..")</f>
        <v>..</v>
      </c>
      <c r="U8" s="611"/>
      <c r="V8" s="611"/>
      <c r="W8" s="1345" t="str">
        <f t="shared" ref="W8:W67" si="8">IFERROR((V8-U8)/U8,"..")</f>
        <v>..</v>
      </c>
      <c r="X8" s="611"/>
      <c r="Y8" s="611"/>
      <c r="Z8" s="1345" t="str">
        <f t="shared" ref="Z8:Z67" si="9">IFERROR((Y8-X8)/X8,"..")</f>
        <v>..</v>
      </c>
      <c r="AA8" s="611"/>
      <c r="AB8" s="611"/>
      <c r="AC8" s="1345" t="str">
        <f t="shared" ref="AC8:AC67" si="10">IFERROR((AB8-AA8)/AA8,"..")</f>
        <v>..</v>
      </c>
      <c r="AD8" s="611"/>
      <c r="AE8" s="611"/>
      <c r="AF8" s="1345" t="str">
        <f t="shared" ref="AF8:AF67" si="11">IFERROR((AE8-AD8)/AD8,"..")</f>
        <v>..</v>
      </c>
      <c r="AG8" s="611"/>
      <c r="AH8" s="611"/>
      <c r="AI8" s="1345" t="str">
        <f t="shared" ref="AI8:AI67" si="12">IFERROR((AH8-AG8)/AG8,"..")</f>
        <v>..</v>
      </c>
      <c r="AJ8" s="611"/>
      <c r="AK8" s="611"/>
      <c r="AL8" s="611"/>
      <c r="AM8" s="611"/>
      <c r="AN8" s="611"/>
      <c r="AO8" s="611"/>
      <c r="AP8" s="611"/>
      <c r="AQ8" s="611"/>
      <c r="AR8" s="611"/>
      <c r="AS8" s="611"/>
      <c r="AT8" s="611"/>
      <c r="AV8" s="209">
        <v>4</v>
      </c>
      <c r="AW8" s="1230" t="str">
        <f>Definitions_FlowLang!C12</f>
        <v>Imports</v>
      </c>
      <c r="AX8" s="1230" t="str">
        <f>Definitions_FlowLang!D12</f>
        <v>Импорт</v>
      </c>
      <c r="AY8" s="1230" t="str">
        <f>Definitions_FlowLang!E12</f>
        <v>进口量</v>
      </c>
      <c r="AZ8" s="209" t="s">
        <v>322</v>
      </c>
    </row>
    <row r="9" spans="1:64" x14ac:dyDescent="0.15">
      <c r="A9" s="209" t="str">
        <f t="shared" si="0"/>
        <v>Exports</v>
      </c>
      <c r="B9" s="611"/>
      <c r="C9" s="611"/>
      <c r="D9" s="1345" t="str">
        <f t="shared" si="1"/>
        <v>..</v>
      </c>
      <c r="E9" s="611"/>
      <c r="F9" s="611"/>
      <c r="G9" s="1345" t="str">
        <f t="shared" si="2"/>
        <v>..</v>
      </c>
      <c r="H9" s="611"/>
      <c r="I9" s="611"/>
      <c r="J9" s="1345" t="str">
        <f t="shared" si="3"/>
        <v>..</v>
      </c>
      <c r="K9" s="1345" t="str">
        <f t="shared" si="4"/>
        <v>..</v>
      </c>
      <c r="L9" s="611"/>
      <c r="M9" s="611"/>
      <c r="N9" s="1345" t="str">
        <f t="shared" si="5"/>
        <v>..</v>
      </c>
      <c r="O9" s="611"/>
      <c r="P9" s="611"/>
      <c r="Q9" s="1345" t="str">
        <f t="shared" si="6"/>
        <v>..</v>
      </c>
      <c r="R9" s="611"/>
      <c r="S9" s="611"/>
      <c r="T9" s="1345" t="str">
        <f t="shared" si="7"/>
        <v>..</v>
      </c>
      <c r="U9" s="611"/>
      <c r="V9" s="611"/>
      <c r="W9" s="1345" t="str">
        <f t="shared" si="8"/>
        <v>..</v>
      </c>
      <c r="X9" s="611"/>
      <c r="Y9" s="611"/>
      <c r="Z9" s="1345" t="str">
        <f t="shared" si="9"/>
        <v>..</v>
      </c>
      <c r="AA9" s="611"/>
      <c r="AB9" s="611"/>
      <c r="AC9" s="1345" t="str">
        <f t="shared" si="10"/>
        <v>..</v>
      </c>
      <c r="AD9" s="611"/>
      <c r="AE9" s="611"/>
      <c r="AF9" s="1345" t="str">
        <f t="shared" si="11"/>
        <v>..</v>
      </c>
      <c r="AG9" s="611"/>
      <c r="AH9" s="611"/>
      <c r="AI9" s="1345" t="str">
        <f t="shared" si="12"/>
        <v>..</v>
      </c>
      <c r="AJ9" s="611"/>
      <c r="AK9" s="611"/>
      <c r="AL9" s="611"/>
      <c r="AM9" s="611"/>
      <c r="AN9" s="611"/>
      <c r="AO9" s="611"/>
      <c r="AP9" s="611"/>
      <c r="AQ9" s="611"/>
      <c r="AR9" s="611"/>
      <c r="AS9" s="611"/>
      <c r="AT9" s="611"/>
      <c r="AV9" s="209">
        <v>5</v>
      </c>
      <c r="AW9" s="1230" t="str">
        <f>Definitions_FlowLang!C13</f>
        <v>Exports</v>
      </c>
      <c r="AX9" s="1230" t="str">
        <f>Definitions_FlowLang!D13</f>
        <v>Экспорт</v>
      </c>
      <c r="AY9" s="1230" t="str">
        <f>Definitions_FlowLang!E13</f>
        <v>出口量</v>
      </c>
      <c r="AZ9" s="209" t="s">
        <v>322</v>
      </c>
    </row>
    <row r="10" spans="1:64" x14ac:dyDescent="0.15">
      <c r="A10" s="209" t="str">
        <f t="shared" si="0"/>
        <v>Intl. marine bunkers</v>
      </c>
      <c r="B10" s="611"/>
      <c r="C10" s="611"/>
      <c r="D10" s="1345" t="str">
        <f t="shared" si="1"/>
        <v>..</v>
      </c>
      <c r="E10" s="611"/>
      <c r="F10" s="611"/>
      <c r="G10" s="1345" t="str">
        <f t="shared" si="2"/>
        <v>..</v>
      </c>
      <c r="H10" s="611"/>
      <c r="I10" s="611"/>
      <c r="J10" s="1345" t="str">
        <f t="shared" si="3"/>
        <v>..</v>
      </c>
      <c r="K10" s="1345" t="str">
        <f t="shared" si="4"/>
        <v>..</v>
      </c>
      <c r="L10" s="611"/>
      <c r="M10" s="611"/>
      <c r="N10" s="1345" t="str">
        <f t="shared" si="5"/>
        <v>..</v>
      </c>
      <c r="O10" s="611"/>
      <c r="P10" s="611"/>
      <c r="Q10" s="1345" t="str">
        <f t="shared" si="6"/>
        <v>..</v>
      </c>
      <c r="R10" s="611"/>
      <c r="S10" s="611"/>
      <c r="T10" s="1345" t="str">
        <f t="shared" si="7"/>
        <v>..</v>
      </c>
      <c r="U10" s="611"/>
      <c r="V10" s="611"/>
      <c r="W10" s="1345" t="str">
        <f t="shared" si="8"/>
        <v>..</v>
      </c>
      <c r="X10" s="611"/>
      <c r="Y10" s="611"/>
      <c r="Z10" s="1345" t="str">
        <f t="shared" si="9"/>
        <v>..</v>
      </c>
      <c r="AA10" s="611"/>
      <c r="AB10" s="611"/>
      <c r="AC10" s="1345" t="str">
        <f t="shared" si="10"/>
        <v>..</v>
      </c>
      <c r="AD10" s="611"/>
      <c r="AE10" s="611"/>
      <c r="AF10" s="1345" t="str">
        <f t="shared" si="11"/>
        <v>..</v>
      </c>
      <c r="AG10" s="611"/>
      <c r="AH10" s="611"/>
      <c r="AI10" s="1345" t="str">
        <f t="shared" si="12"/>
        <v>..</v>
      </c>
      <c r="AJ10" s="611"/>
      <c r="AK10" s="611"/>
      <c r="AL10" s="611"/>
      <c r="AM10" s="611"/>
      <c r="AN10" s="611"/>
      <c r="AO10" s="611"/>
      <c r="AP10" s="611"/>
      <c r="AQ10" s="611"/>
      <c r="AR10" s="611"/>
      <c r="AS10" s="611"/>
      <c r="AT10" s="611"/>
      <c r="AV10" s="209">
        <v>6</v>
      </c>
      <c r="AW10" s="209" t="s">
        <v>7037</v>
      </c>
      <c r="AX10" s="1230" t="str">
        <f>Definitions_FlowLang!D14</f>
        <v>международный бункер водных перевозок</v>
      </c>
      <c r="AY10" s="1230" t="str">
        <f>Definitions_FlowLang!E14</f>
        <v>国际海运船舶燃料</v>
      </c>
      <c r="AZ10" s="209" t="s">
        <v>322</v>
      </c>
    </row>
    <row r="11" spans="1:64" x14ac:dyDescent="0.15">
      <c r="A11" s="209" t="str">
        <f t="shared" si="0"/>
        <v>Intl. aviation bunkers</v>
      </c>
      <c r="B11" s="611"/>
      <c r="C11" s="611"/>
      <c r="D11" s="1345" t="str">
        <f t="shared" si="1"/>
        <v>..</v>
      </c>
      <c r="E11" s="611"/>
      <c r="F11" s="611"/>
      <c r="G11" s="1345" t="str">
        <f t="shared" si="2"/>
        <v>..</v>
      </c>
      <c r="H11" s="611"/>
      <c r="I11" s="611"/>
      <c r="J11" s="1345" t="str">
        <f t="shared" si="3"/>
        <v>..</v>
      </c>
      <c r="K11" s="1345" t="str">
        <f t="shared" si="4"/>
        <v>..</v>
      </c>
      <c r="L11" s="611"/>
      <c r="M11" s="611"/>
      <c r="N11" s="1345" t="str">
        <f t="shared" si="5"/>
        <v>..</v>
      </c>
      <c r="O11" s="611"/>
      <c r="P11" s="611"/>
      <c r="Q11" s="1345" t="str">
        <f t="shared" si="6"/>
        <v>..</v>
      </c>
      <c r="R11" s="611"/>
      <c r="S11" s="611"/>
      <c r="T11" s="1345" t="str">
        <f t="shared" si="7"/>
        <v>..</v>
      </c>
      <c r="U11" s="611"/>
      <c r="V11" s="611"/>
      <c r="W11" s="1345" t="str">
        <f t="shared" si="8"/>
        <v>..</v>
      </c>
      <c r="X11" s="611"/>
      <c r="Y11" s="611"/>
      <c r="Z11" s="1345" t="str">
        <f t="shared" si="9"/>
        <v>..</v>
      </c>
      <c r="AA11" s="611"/>
      <c r="AB11" s="611"/>
      <c r="AC11" s="1345" t="str">
        <f t="shared" si="10"/>
        <v>..</v>
      </c>
      <c r="AD11" s="611"/>
      <c r="AE11" s="611"/>
      <c r="AF11" s="1345" t="str">
        <f t="shared" si="11"/>
        <v>..</v>
      </c>
      <c r="AG11" s="611"/>
      <c r="AH11" s="611"/>
      <c r="AI11" s="1345" t="str">
        <f t="shared" si="12"/>
        <v>..</v>
      </c>
      <c r="AJ11" s="611"/>
      <c r="AK11" s="611"/>
      <c r="AL11" s="611"/>
      <c r="AM11" s="611"/>
      <c r="AN11" s="611"/>
      <c r="AO11" s="611"/>
      <c r="AP11" s="611"/>
      <c r="AQ11" s="611"/>
      <c r="AR11" s="611"/>
      <c r="AS11" s="611"/>
      <c r="AT11" s="611"/>
      <c r="AV11" s="209">
        <v>7</v>
      </c>
      <c r="AW11" s="209" t="s">
        <v>7038</v>
      </c>
      <c r="AX11" s="1230" t="str">
        <f>Definitions_FlowLang!D15</f>
        <v>международный бункер авиационных перевозок</v>
      </c>
      <c r="AY11" s="1230" t="str">
        <f>Definitions_FlowLang!E15</f>
        <v>国际航空燃料</v>
      </c>
      <c r="AZ11" s="209" t="s">
        <v>322</v>
      </c>
      <c r="BH11" s="209" t="s">
        <v>7039</v>
      </c>
    </row>
    <row r="12" spans="1:64" x14ac:dyDescent="0.15">
      <c r="A12" s="1153" t="str">
        <f t="shared" si="0"/>
        <v>Stock changes</v>
      </c>
      <c r="B12" s="830"/>
      <c r="C12" s="830"/>
      <c r="D12" s="1346" t="str">
        <f t="shared" si="1"/>
        <v>..</v>
      </c>
      <c r="E12" s="830"/>
      <c r="F12" s="830"/>
      <c r="G12" s="1346" t="str">
        <f t="shared" si="2"/>
        <v>..</v>
      </c>
      <c r="H12" s="830"/>
      <c r="I12" s="830"/>
      <c r="J12" s="1346" t="str">
        <f t="shared" si="3"/>
        <v>..</v>
      </c>
      <c r="K12" s="1346" t="str">
        <f t="shared" si="4"/>
        <v>..</v>
      </c>
      <c r="L12" s="830"/>
      <c r="M12" s="830"/>
      <c r="N12" s="1346" t="str">
        <f t="shared" si="5"/>
        <v>..</v>
      </c>
      <c r="O12" s="830"/>
      <c r="P12" s="830"/>
      <c r="Q12" s="1346" t="str">
        <f t="shared" si="6"/>
        <v>..</v>
      </c>
      <c r="R12" s="830"/>
      <c r="S12" s="830"/>
      <c r="T12" s="1346" t="str">
        <f t="shared" si="7"/>
        <v>..</v>
      </c>
      <c r="U12" s="830"/>
      <c r="V12" s="830"/>
      <c r="W12" s="1346" t="str">
        <f t="shared" si="8"/>
        <v>..</v>
      </c>
      <c r="X12" s="830"/>
      <c r="Y12" s="830"/>
      <c r="Z12" s="1346" t="str">
        <f t="shared" si="9"/>
        <v>..</v>
      </c>
      <c r="AA12" s="830"/>
      <c r="AB12" s="830"/>
      <c r="AC12" s="1346" t="str">
        <f t="shared" si="10"/>
        <v>..</v>
      </c>
      <c r="AD12" s="830"/>
      <c r="AE12" s="830"/>
      <c r="AF12" s="1346" t="str">
        <f t="shared" si="11"/>
        <v>..</v>
      </c>
      <c r="AG12" s="830"/>
      <c r="AH12" s="830"/>
      <c r="AI12" s="1346" t="str">
        <f t="shared" si="12"/>
        <v>..</v>
      </c>
      <c r="AJ12" s="611"/>
      <c r="AK12" s="611"/>
      <c r="AL12" s="611"/>
      <c r="AM12" s="611"/>
      <c r="AN12" s="611"/>
      <c r="AO12" s="611"/>
      <c r="AP12" s="611"/>
      <c r="AQ12" s="611"/>
      <c r="AR12" s="611"/>
      <c r="AS12" s="611"/>
      <c r="AT12" s="611"/>
      <c r="AV12" s="209">
        <v>8</v>
      </c>
      <c r="AW12" s="1230" t="str">
        <f>Definitions_FlowLang!C16</f>
        <v>Stock changes</v>
      </c>
      <c r="AX12" s="1230" t="str">
        <f>Definitions_FlowLang!D16</f>
        <v>Изменение остатков</v>
      </c>
      <c r="AY12" s="1230" t="str">
        <f>Definitions_FlowLang!E16</f>
        <v>库存变化</v>
      </c>
      <c r="AZ12" s="209" t="s">
        <v>322</v>
      </c>
    </row>
    <row r="13" spans="1:64" x14ac:dyDescent="0.15">
      <c r="A13" s="1154" t="str">
        <f t="shared" si="0"/>
        <v>TPES</v>
      </c>
      <c r="B13" s="831"/>
      <c r="C13" s="831"/>
      <c r="D13" s="1347" t="str">
        <f t="shared" si="1"/>
        <v>..</v>
      </c>
      <c r="E13" s="831"/>
      <c r="F13" s="831"/>
      <c r="G13" s="1347" t="str">
        <f t="shared" si="2"/>
        <v>..</v>
      </c>
      <c r="H13" s="831"/>
      <c r="I13" s="831"/>
      <c r="J13" s="1347" t="str">
        <f t="shared" si="3"/>
        <v>..</v>
      </c>
      <c r="K13" s="1347" t="str">
        <f t="shared" si="4"/>
        <v>..</v>
      </c>
      <c r="L13" s="831"/>
      <c r="M13" s="831"/>
      <c r="N13" s="1347" t="str">
        <f t="shared" si="5"/>
        <v>..</v>
      </c>
      <c r="O13" s="831"/>
      <c r="P13" s="831"/>
      <c r="Q13" s="1347" t="str">
        <f t="shared" si="6"/>
        <v>..</v>
      </c>
      <c r="R13" s="831"/>
      <c r="S13" s="831"/>
      <c r="T13" s="1347" t="str">
        <f t="shared" si="7"/>
        <v>..</v>
      </c>
      <c r="U13" s="831"/>
      <c r="V13" s="831"/>
      <c r="W13" s="1347" t="str">
        <f t="shared" si="8"/>
        <v>..</v>
      </c>
      <c r="X13" s="831"/>
      <c r="Y13" s="831"/>
      <c r="Z13" s="1347" t="str">
        <f t="shared" si="9"/>
        <v>..</v>
      </c>
      <c r="AA13" s="831"/>
      <c r="AB13" s="831"/>
      <c r="AC13" s="1347" t="str">
        <f t="shared" si="10"/>
        <v>..</v>
      </c>
      <c r="AD13" s="831"/>
      <c r="AE13" s="831"/>
      <c r="AF13" s="1347" t="str">
        <f t="shared" si="11"/>
        <v>..</v>
      </c>
      <c r="AG13" s="831"/>
      <c r="AH13" s="831"/>
      <c r="AI13" s="1352" t="str">
        <f t="shared" si="12"/>
        <v>..</v>
      </c>
      <c r="AJ13" s="612"/>
      <c r="AK13" s="612"/>
      <c r="AL13" s="612"/>
      <c r="AM13" s="612"/>
      <c r="AN13" s="612"/>
      <c r="AO13" s="612"/>
      <c r="AP13" s="612"/>
      <c r="AQ13" s="612"/>
      <c r="AR13" s="612"/>
      <c r="AS13" s="612"/>
      <c r="AT13" s="612"/>
      <c r="AV13" s="209">
        <v>9</v>
      </c>
      <c r="AW13" s="209" t="s">
        <v>199</v>
      </c>
      <c r="AX13" s="1230" t="str">
        <f>Definitions_FlowLang!D18</f>
        <v>ОБЩЕЕ ПРЕДЛОЖЕНИЕ ПЕРВИЧНОЙ ЭНЕРГИИ (ОППЭ)</v>
      </c>
      <c r="AY13" s="1230" t="str">
        <f>Definitions_FlowLang!E18</f>
        <v>初级能源供应总量</v>
      </c>
      <c r="AZ13" s="209" t="s">
        <v>322</v>
      </c>
    </row>
    <row r="14" spans="1:64" x14ac:dyDescent="0.15">
      <c r="A14" s="209" t="str">
        <f t="shared" si="0"/>
        <v>Transfers</v>
      </c>
      <c r="B14" s="611"/>
      <c r="C14" s="611"/>
      <c r="D14" s="1345" t="str">
        <f t="shared" si="1"/>
        <v>..</v>
      </c>
      <c r="E14" s="611"/>
      <c r="F14" s="611"/>
      <c r="G14" s="1345" t="str">
        <f t="shared" si="2"/>
        <v>..</v>
      </c>
      <c r="H14" s="611"/>
      <c r="I14" s="611"/>
      <c r="J14" s="1345" t="str">
        <f t="shared" si="3"/>
        <v>..</v>
      </c>
      <c r="K14" s="1345" t="str">
        <f t="shared" si="4"/>
        <v>..</v>
      </c>
      <c r="L14" s="611"/>
      <c r="M14" s="611"/>
      <c r="N14" s="1345" t="str">
        <f t="shared" si="5"/>
        <v>..</v>
      </c>
      <c r="O14" s="611"/>
      <c r="P14" s="611"/>
      <c r="Q14" s="1345" t="str">
        <f t="shared" si="6"/>
        <v>..</v>
      </c>
      <c r="R14" s="611"/>
      <c r="S14" s="611"/>
      <c r="T14" s="1345" t="str">
        <f t="shared" si="7"/>
        <v>..</v>
      </c>
      <c r="U14" s="611"/>
      <c r="V14" s="611"/>
      <c r="W14" s="1345" t="str">
        <f t="shared" si="8"/>
        <v>..</v>
      </c>
      <c r="X14" s="611"/>
      <c r="Y14" s="611"/>
      <c r="Z14" s="1345" t="str">
        <f t="shared" si="9"/>
        <v>..</v>
      </c>
      <c r="AA14" s="611"/>
      <c r="AB14" s="611"/>
      <c r="AC14" s="1345" t="str">
        <f t="shared" si="10"/>
        <v>..</v>
      </c>
      <c r="AD14" s="611"/>
      <c r="AE14" s="611"/>
      <c r="AF14" s="1345" t="str">
        <f t="shared" si="11"/>
        <v>..</v>
      </c>
      <c r="AG14" s="611"/>
      <c r="AH14" s="611"/>
      <c r="AI14" s="1345" t="str">
        <f t="shared" si="12"/>
        <v>..</v>
      </c>
      <c r="AJ14" s="611"/>
      <c r="AK14" s="611"/>
      <c r="AL14" s="611"/>
      <c r="AM14" s="611"/>
      <c r="AN14" s="611"/>
      <c r="AO14" s="611"/>
      <c r="AP14" s="611"/>
      <c r="AQ14" s="611"/>
      <c r="AR14" s="611"/>
      <c r="AS14" s="611"/>
      <c r="AT14" s="611"/>
      <c r="AV14" s="209">
        <v>10</v>
      </c>
      <c r="AW14" s="1230" t="str">
        <f>Definitions_FlowLang!C19</f>
        <v>Transfers</v>
      </c>
      <c r="AX14" s="1230" t="str">
        <f>Definitions_FlowLang!D19</f>
        <v>Передачи</v>
      </c>
      <c r="AY14" s="1230" t="str">
        <f>Definitions_FlowLang!E19</f>
        <v>转换产出量</v>
      </c>
      <c r="AZ14" s="209" t="s">
        <v>322</v>
      </c>
    </row>
    <row r="15" spans="1:64" x14ac:dyDescent="0.15">
      <c r="A15" s="209" t="str">
        <f t="shared" si="0"/>
        <v>Statistical differences</v>
      </c>
      <c r="B15" s="611"/>
      <c r="C15" s="611"/>
      <c r="D15" s="1345" t="str">
        <f t="shared" si="1"/>
        <v>..</v>
      </c>
      <c r="E15" s="611"/>
      <c r="F15" s="611"/>
      <c r="G15" s="1345" t="str">
        <f t="shared" si="2"/>
        <v>..</v>
      </c>
      <c r="H15" s="611"/>
      <c r="I15" s="611"/>
      <c r="J15" s="1345" t="str">
        <f t="shared" si="3"/>
        <v>..</v>
      </c>
      <c r="K15" s="1345" t="str">
        <f t="shared" si="4"/>
        <v>..</v>
      </c>
      <c r="L15" s="611"/>
      <c r="M15" s="611"/>
      <c r="N15" s="1345" t="str">
        <f t="shared" si="5"/>
        <v>..</v>
      </c>
      <c r="O15" s="611"/>
      <c r="P15" s="611"/>
      <c r="Q15" s="1345" t="str">
        <f t="shared" si="6"/>
        <v>..</v>
      </c>
      <c r="R15" s="611"/>
      <c r="S15" s="611"/>
      <c r="T15" s="1345" t="str">
        <f t="shared" si="7"/>
        <v>..</v>
      </c>
      <c r="U15" s="611"/>
      <c r="V15" s="611"/>
      <c r="W15" s="1345" t="str">
        <f t="shared" si="8"/>
        <v>..</v>
      </c>
      <c r="X15" s="611"/>
      <c r="Y15" s="611"/>
      <c r="Z15" s="1345" t="str">
        <f t="shared" si="9"/>
        <v>..</v>
      </c>
      <c r="AA15" s="611"/>
      <c r="AB15" s="611"/>
      <c r="AC15" s="1345" t="str">
        <f t="shared" si="10"/>
        <v>..</v>
      </c>
      <c r="AD15" s="611"/>
      <c r="AE15" s="611"/>
      <c r="AF15" s="1345" t="str">
        <f t="shared" si="11"/>
        <v>..</v>
      </c>
      <c r="AG15" s="611"/>
      <c r="AH15" s="611"/>
      <c r="AI15" s="1345" t="str">
        <f t="shared" si="12"/>
        <v>..</v>
      </c>
      <c r="AJ15" s="611"/>
      <c r="AK15" s="611"/>
      <c r="AL15" s="611"/>
      <c r="AM15" s="611"/>
      <c r="AN15" s="611"/>
      <c r="AO15" s="611"/>
      <c r="AP15" s="611"/>
      <c r="AQ15" s="611"/>
      <c r="AR15" s="611"/>
      <c r="AS15" s="611"/>
      <c r="AT15" s="611"/>
      <c r="AV15" s="209">
        <v>11</v>
      </c>
      <c r="AW15" s="1230" t="str">
        <f>Definitions_FlowLang!C20</f>
        <v>Statistical differences</v>
      </c>
      <c r="AX15" s="1230" t="str">
        <f>Definitions_FlowLang!D20</f>
        <v>Статистическое расхождение</v>
      </c>
      <c r="AY15" s="1230" t="str">
        <f>Definitions_FlowLang!E20</f>
        <v>统计差异</v>
      </c>
      <c r="AZ15" s="209" t="s">
        <v>322</v>
      </c>
    </row>
    <row r="16" spans="1:64" x14ac:dyDescent="0.15">
      <c r="A16" s="209" t="str">
        <f t="shared" si="0"/>
        <v>Electricity plants</v>
      </c>
      <c r="B16" s="611"/>
      <c r="C16" s="611"/>
      <c r="D16" s="1345" t="str">
        <f t="shared" si="1"/>
        <v>..</v>
      </c>
      <c r="E16" s="611"/>
      <c r="F16" s="611"/>
      <c r="G16" s="1345" t="str">
        <f t="shared" si="2"/>
        <v>..</v>
      </c>
      <c r="H16" s="611"/>
      <c r="I16" s="611"/>
      <c r="J16" s="1345" t="str">
        <f t="shared" si="3"/>
        <v>..</v>
      </c>
      <c r="K16" s="1345" t="str">
        <f t="shared" si="4"/>
        <v>..</v>
      </c>
      <c r="L16" s="611"/>
      <c r="M16" s="611"/>
      <c r="N16" s="1345" t="str">
        <f t="shared" si="5"/>
        <v>..</v>
      </c>
      <c r="O16" s="611"/>
      <c r="P16" s="611"/>
      <c r="Q16" s="1345" t="str">
        <f t="shared" si="6"/>
        <v>..</v>
      </c>
      <c r="R16" s="611"/>
      <c r="S16" s="611"/>
      <c r="T16" s="1345" t="str">
        <f t="shared" si="7"/>
        <v>..</v>
      </c>
      <c r="U16" s="611"/>
      <c r="V16" s="611"/>
      <c r="W16" s="1345" t="str">
        <f t="shared" si="8"/>
        <v>..</v>
      </c>
      <c r="X16" s="611"/>
      <c r="Y16" s="611"/>
      <c r="Z16" s="1345" t="str">
        <f t="shared" si="9"/>
        <v>..</v>
      </c>
      <c r="AA16" s="611"/>
      <c r="AB16" s="611"/>
      <c r="AC16" s="1345" t="str">
        <f t="shared" si="10"/>
        <v>..</v>
      </c>
      <c r="AD16" s="611"/>
      <c r="AE16" s="611"/>
      <c r="AF16" s="1345" t="str">
        <f t="shared" si="11"/>
        <v>..</v>
      </c>
      <c r="AG16" s="611"/>
      <c r="AH16" s="611"/>
      <c r="AI16" s="1345" t="str">
        <f t="shared" si="12"/>
        <v>..</v>
      </c>
      <c r="AJ16" s="611"/>
      <c r="AK16" s="611"/>
      <c r="AL16" s="611"/>
      <c r="AM16" s="611"/>
      <c r="AN16" s="611"/>
      <c r="AO16" s="611"/>
      <c r="AP16" s="611"/>
      <c r="AQ16" s="611"/>
      <c r="AR16" s="611"/>
      <c r="AS16" s="611"/>
      <c r="AT16" s="611"/>
      <c r="AV16" s="209">
        <v>12</v>
      </c>
      <c r="AW16" s="209" t="s">
        <v>7040</v>
      </c>
      <c r="AX16" s="209" t="s">
        <v>7041</v>
      </c>
      <c r="AY16" s="209" t="s">
        <v>7042</v>
      </c>
      <c r="AZ16" s="209" t="s">
        <v>322</v>
      </c>
    </row>
    <row r="17" spans="1:52" x14ac:dyDescent="0.15">
      <c r="A17" s="209" t="str">
        <f t="shared" si="0"/>
        <v>CHP plants</v>
      </c>
      <c r="B17" s="611"/>
      <c r="C17" s="611"/>
      <c r="D17" s="1345" t="str">
        <f t="shared" si="1"/>
        <v>..</v>
      </c>
      <c r="E17" s="611"/>
      <c r="F17" s="611"/>
      <c r="G17" s="1345" t="str">
        <f t="shared" si="2"/>
        <v>..</v>
      </c>
      <c r="H17" s="611"/>
      <c r="I17" s="611"/>
      <c r="J17" s="1345" t="str">
        <f t="shared" si="3"/>
        <v>..</v>
      </c>
      <c r="K17" s="1345" t="str">
        <f t="shared" si="4"/>
        <v>..</v>
      </c>
      <c r="L17" s="611"/>
      <c r="M17" s="611"/>
      <c r="N17" s="1345" t="str">
        <f t="shared" si="5"/>
        <v>..</v>
      </c>
      <c r="O17" s="611"/>
      <c r="P17" s="611"/>
      <c r="Q17" s="1345" t="str">
        <f t="shared" si="6"/>
        <v>..</v>
      </c>
      <c r="R17" s="611"/>
      <c r="S17" s="611"/>
      <c r="T17" s="1345" t="str">
        <f t="shared" si="7"/>
        <v>..</v>
      </c>
      <c r="U17" s="611"/>
      <c r="V17" s="611"/>
      <c r="W17" s="1345" t="str">
        <f t="shared" si="8"/>
        <v>..</v>
      </c>
      <c r="X17" s="611"/>
      <c r="Y17" s="611"/>
      <c r="Z17" s="1345" t="str">
        <f t="shared" si="9"/>
        <v>..</v>
      </c>
      <c r="AA17" s="611"/>
      <c r="AB17" s="611"/>
      <c r="AC17" s="1345" t="str">
        <f t="shared" si="10"/>
        <v>..</v>
      </c>
      <c r="AD17" s="611"/>
      <c r="AE17" s="611"/>
      <c r="AF17" s="1345" t="str">
        <f t="shared" si="11"/>
        <v>..</v>
      </c>
      <c r="AG17" s="611"/>
      <c r="AH17" s="611"/>
      <c r="AI17" s="1345" t="str">
        <f t="shared" si="12"/>
        <v>..</v>
      </c>
      <c r="AJ17" s="611"/>
      <c r="AK17" s="611"/>
      <c r="AL17" s="611"/>
      <c r="AM17" s="611"/>
      <c r="AN17" s="611"/>
      <c r="AO17" s="611"/>
      <c r="AP17" s="611"/>
      <c r="AQ17" s="611"/>
      <c r="AR17" s="611"/>
      <c r="AS17" s="611"/>
      <c r="AT17" s="611"/>
      <c r="AV17" s="209">
        <v>13</v>
      </c>
      <c r="AW17" s="209" t="s">
        <v>7043</v>
      </c>
      <c r="AX17" s="209" t="s">
        <v>7044</v>
      </c>
      <c r="AY17" s="209" t="s">
        <v>7045</v>
      </c>
      <c r="AZ17" s="209" t="s">
        <v>322</v>
      </c>
    </row>
    <row r="18" spans="1:52" x14ac:dyDescent="0.15">
      <c r="A18" s="209" t="str">
        <f t="shared" si="0"/>
        <v>Heat plants</v>
      </c>
      <c r="B18" s="611"/>
      <c r="C18" s="611"/>
      <c r="D18" s="1345" t="str">
        <f t="shared" si="1"/>
        <v>..</v>
      </c>
      <c r="E18" s="611"/>
      <c r="F18" s="611"/>
      <c r="G18" s="1345" t="str">
        <f t="shared" si="2"/>
        <v>..</v>
      </c>
      <c r="H18" s="611"/>
      <c r="I18" s="611"/>
      <c r="J18" s="1345" t="str">
        <f t="shared" si="3"/>
        <v>..</v>
      </c>
      <c r="K18" s="1345" t="str">
        <f t="shared" si="4"/>
        <v>..</v>
      </c>
      <c r="L18" s="611"/>
      <c r="M18" s="611"/>
      <c r="N18" s="1345" t="str">
        <f t="shared" si="5"/>
        <v>..</v>
      </c>
      <c r="O18" s="611"/>
      <c r="P18" s="611"/>
      <c r="Q18" s="1345" t="str">
        <f t="shared" si="6"/>
        <v>..</v>
      </c>
      <c r="R18" s="611"/>
      <c r="S18" s="611"/>
      <c r="T18" s="1345" t="str">
        <f t="shared" si="7"/>
        <v>..</v>
      </c>
      <c r="U18" s="611"/>
      <c r="V18" s="611"/>
      <c r="W18" s="1345" t="str">
        <f t="shared" si="8"/>
        <v>..</v>
      </c>
      <c r="X18" s="611"/>
      <c r="Y18" s="611"/>
      <c r="Z18" s="1345" t="str">
        <f t="shared" si="9"/>
        <v>..</v>
      </c>
      <c r="AA18" s="611"/>
      <c r="AB18" s="611"/>
      <c r="AC18" s="1345" t="str">
        <f t="shared" si="10"/>
        <v>..</v>
      </c>
      <c r="AD18" s="611"/>
      <c r="AE18" s="611"/>
      <c r="AF18" s="1345" t="str">
        <f t="shared" si="11"/>
        <v>..</v>
      </c>
      <c r="AG18" s="611"/>
      <c r="AH18" s="611"/>
      <c r="AI18" s="1345" t="str">
        <f t="shared" si="12"/>
        <v>..</v>
      </c>
      <c r="AJ18" s="611"/>
      <c r="AK18" s="611"/>
      <c r="AL18" s="611"/>
      <c r="AM18" s="611"/>
      <c r="AN18" s="611"/>
      <c r="AO18" s="611"/>
      <c r="AP18" s="611"/>
      <c r="AQ18" s="611"/>
      <c r="AR18" s="611"/>
      <c r="AS18" s="611"/>
      <c r="AT18" s="611"/>
      <c r="AV18" s="209">
        <v>14</v>
      </c>
      <c r="AW18" s="209" t="s">
        <v>7046</v>
      </c>
      <c r="AX18" s="209" t="s">
        <v>7047</v>
      </c>
      <c r="AY18" s="209" t="s">
        <v>7048</v>
      </c>
      <c r="AZ18" s="209" t="s">
        <v>322</v>
      </c>
    </row>
    <row r="19" spans="1:52" x14ac:dyDescent="0.15">
      <c r="A19" s="209" t="str">
        <f t="shared" si="0"/>
        <v>Blast furnaces</v>
      </c>
      <c r="B19" s="611"/>
      <c r="C19" s="611"/>
      <c r="D19" s="1345" t="str">
        <f t="shared" si="1"/>
        <v>..</v>
      </c>
      <c r="E19" s="611"/>
      <c r="F19" s="611"/>
      <c r="G19" s="1345" t="str">
        <f t="shared" si="2"/>
        <v>..</v>
      </c>
      <c r="H19" s="611"/>
      <c r="I19" s="611"/>
      <c r="J19" s="1345" t="str">
        <f t="shared" si="3"/>
        <v>..</v>
      </c>
      <c r="K19" s="1345" t="str">
        <f t="shared" si="4"/>
        <v>..</v>
      </c>
      <c r="L19" s="611"/>
      <c r="M19" s="611"/>
      <c r="N19" s="1345" t="str">
        <f t="shared" si="5"/>
        <v>..</v>
      </c>
      <c r="O19" s="611"/>
      <c r="P19" s="611"/>
      <c r="Q19" s="1345" t="str">
        <f t="shared" si="6"/>
        <v>..</v>
      </c>
      <c r="R19" s="611"/>
      <c r="S19" s="611"/>
      <c r="T19" s="1345" t="str">
        <f t="shared" si="7"/>
        <v>..</v>
      </c>
      <c r="U19" s="611"/>
      <c r="V19" s="611"/>
      <c r="W19" s="1345" t="str">
        <f t="shared" si="8"/>
        <v>..</v>
      </c>
      <c r="X19" s="611"/>
      <c r="Y19" s="611"/>
      <c r="Z19" s="1345" t="str">
        <f t="shared" si="9"/>
        <v>..</v>
      </c>
      <c r="AA19" s="611"/>
      <c r="AB19" s="611"/>
      <c r="AC19" s="1345" t="str">
        <f t="shared" si="10"/>
        <v>..</v>
      </c>
      <c r="AD19" s="611"/>
      <c r="AE19" s="611"/>
      <c r="AF19" s="1345" t="str">
        <f t="shared" si="11"/>
        <v>..</v>
      </c>
      <c r="AG19" s="611"/>
      <c r="AH19" s="611"/>
      <c r="AI19" s="1345" t="str">
        <f t="shared" si="12"/>
        <v>..</v>
      </c>
      <c r="AJ19" s="611"/>
      <c r="AK19" s="611"/>
      <c r="AL19" s="611"/>
      <c r="AM19" s="611"/>
      <c r="AN19" s="611"/>
      <c r="AO19" s="611"/>
      <c r="AP19" s="611"/>
      <c r="AQ19" s="611"/>
      <c r="AR19" s="611"/>
      <c r="AS19" s="611"/>
      <c r="AT19" s="611"/>
      <c r="AV19" s="209">
        <v>15</v>
      </c>
      <c r="AW19" s="1230" t="str">
        <f>Definitions_FlowLang!C35</f>
        <v>Blast furnaces</v>
      </c>
      <c r="AX19" s="1230" t="str">
        <f>Definitions_FlowLang!D35</f>
        <v>Доменные печи</v>
      </c>
      <c r="AY19" s="1230" t="str">
        <f>Definitions_FlowLang!E35</f>
        <v>高炉</v>
      </c>
      <c r="AZ19" s="209" t="s">
        <v>322</v>
      </c>
    </row>
    <row r="20" spans="1:52" x14ac:dyDescent="0.15">
      <c r="A20" s="209" t="str">
        <f t="shared" si="0"/>
        <v>Gas works</v>
      </c>
      <c r="B20" s="611"/>
      <c r="C20" s="611"/>
      <c r="D20" s="1345" t="str">
        <f t="shared" si="1"/>
        <v>..</v>
      </c>
      <c r="E20" s="611"/>
      <c r="F20" s="611"/>
      <c r="G20" s="1345" t="str">
        <f t="shared" si="2"/>
        <v>..</v>
      </c>
      <c r="H20" s="611"/>
      <c r="I20" s="611"/>
      <c r="J20" s="1345" t="str">
        <f t="shared" si="3"/>
        <v>..</v>
      </c>
      <c r="K20" s="1345" t="str">
        <f t="shared" si="4"/>
        <v>..</v>
      </c>
      <c r="L20" s="611"/>
      <c r="M20" s="611"/>
      <c r="N20" s="1345" t="str">
        <f t="shared" si="5"/>
        <v>..</v>
      </c>
      <c r="O20" s="611"/>
      <c r="P20" s="611"/>
      <c r="Q20" s="1345" t="str">
        <f t="shared" si="6"/>
        <v>..</v>
      </c>
      <c r="R20" s="611"/>
      <c r="S20" s="611"/>
      <c r="T20" s="1345" t="str">
        <f t="shared" si="7"/>
        <v>..</v>
      </c>
      <c r="U20" s="611"/>
      <c r="V20" s="611"/>
      <c r="W20" s="1345" t="str">
        <f t="shared" si="8"/>
        <v>..</v>
      </c>
      <c r="X20" s="611"/>
      <c r="Y20" s="611"/>
      <c r="Z20" s="1345" t="str">
        <f t="shared" si="9"/>
        <v>..</v>
      </c>
      <c r="AA20" s="611"/>
      <c r="AB20" s="611"/>
      <c r="AC20" s="1345" t="str">
        <f t="shared" si="10"/>
        <v>..</v>
      </c>
      <c r="AD20" s="611"/>
      <c r="AE20" s="611"/>
      <c r="AF20" s="1345" t="str">
        <f t="shared" si="11"/>
        <v>..</v>
      </c>
      <c r="AG20" s="611"/>
      <c r="AH20" s="611"/>
      <c r="AI20" s="1345" t="str">
        <f t="shared" si="12"/>
        <v>..</v>
      </c>
      <c r="AJ20" s="611"/>
      <c r="AK20" s="611"/>
      <c r="AL20" s="611"/>
      <c r="AM20" s="611"/>
      <c r="AN20" s="611"/>
      <c r="AO20" s="611"/>
      <c r="AP20" s="611"/>
      <c r="AQ20" s="611"/>
      <c r="AR20" s="611"/>
      <c r="AS20" s="611"/>
      <c r="AT20" s="611"/>
      <c r="AV20" s="209">
        <v>16</v>
      </c>
      <c r="AW20" s="1230" t="str">
        <f>Definitions_FlowLang!C34</f>
        <v>Gas works</v>
      </c>
      <c r="AX20" s="1230" t="str">
        <f>Definitions_FlowLang!D34</f>
        <v>Газовые заводы</v>
      </c>
      <c r="AY20" s="1230" t="str">
        <f>Definitions_FlowLang!E34</f>
        <v>煤气厂</v>
      </c>
      <c r="AZ20" s="209" t="s">
        <v>322</v>
      </c>
    </row>
    <row r="21" spans="1:52" x14ac:dyDescent="0.15">
      <c r="A21" s="209" t="str">
        <f t="shared" si="0"/>
        <v>Coke/pat. fuel/BKB/PB plants</v>
      </c>
      <c r="B21" s="611"/>
      <c r="C21" s="611"/>
      <c r="D21" s="1345" t="str">
        <f t="shared" si="1"/>
        <v>..</v>
      </c>
      <c r="E21" s="611"/>
      <c r="F21" s="611"/>
      <c r="G21" s="1345" t="str">
        <f t="shared" si="2"/>
        <v>..</v>
      </c>
      <c r="H21" s="611"/>
      <c r="I21" s="611"/>
      <c r="J21" s="1345" t="str">
        <f t="shared" si="3"/>
        <v>..</v>
      </c>
      <c r="K21" s="1345" t="str">
        <f t="shared" si="4"/>
        <v>..</v>
      </c>
      <c r="L21" s="611"/>
      <c r="M21" s="611"/>
      <c r="N21" s="1345" t="str">
        <f t="shared" si="5"/>
        <v>..</v>
      </c>
      <c r="O21" s="611"/>
      <c r="P21" s="611"/>
      <c r="Q21" s="1345" t="str">
        <f t="shared" si="6"/>
        <v>..</v>
      </c>
      <c r="R21" s="611"/>
      <c r="S21" s="611"/>
      <c r="T21" s="1345" t="str">
        <f t="shared" si="7"/>
        <v>..</v>
      </c>
      <c r="U21" s="611"/>
      <c r="V21" s="611"/>
      <c r="W21" s="1345" t="str">
        <f t="shared" si="8"/>
        <v>..</v>
      </c>
      <c r="X21" s="611"/>
      <c r="Y21" s="611"/>
      <c r="Z21" s="1345" t="str">
        <f t="shared" si="9"/>
        <v>..</v>
      </c>
      <c r="AA21" s="611"/>
      <c r="AB21" s="611"/>
      <c r="AC21" s="1345" t="str">
        <f t="shared" si="10"/>
        <v>..</v>
      </c>
      <c r="AD21" s="611"/>
      <c r="AE21" s="611"/>
      <c r="AF21" s="1345" t="str">
        <f t="shared" si="11"/>
        <v>..</v>
      </c>
      <c r="AG21" s="611"/>
      <c r="AH21" s="611"/>
      <c r="AI21" s="1345" t="str">
        <f t="shared" si="12"/>
        <v>..</v>
      </c>
      <c r="AJ21" s="611"/>
      <c r="AK21" s="611"/>
      <c r="AL21" s="611"/>
      <c r="AM21" s="611"/>
      <c r="AN21" s="611"/>
      <c r="AO21" s="611"/>
      <c r="AP21" s="611"/>
      <c r="AQ21" s="611"/>
      <c r="AR21" s="611"/>
      <c r="AS21" s="611"/>
      <c r="AT21" s="611"/>
      <c r="AV21" s="209">
        <v>17</v>
      </c>
      <c r="AW21" s="209" t="s">
        <v>7049</v>
      </c>
      <c r="AX21" s="209" t="s">
        <v>7050</v>
      </c>
      <c r="AY21" s="209" t="s">
        <v>7051</v>
      </c>
      <c r="AZ21" s="209" t="s">
        <v>322</v>
      </c>
    </row>
    <row r="22" spans="1:52" x14ac:dyDescent="0.15">
      <c r="A22" s="209" t="str">
        <f t="shared" si="0"/>
        <v>Oil refineries</v>
      </c>
      <c r="B22" s="611"/>
      <c r="C22" s="611"/>
      <c r="D22" s="1345" t="str">
        <f t="shared" si="1"/>
        <v>..</v>
      </c>
      <c r="E22" s="611"/>
      <c r="F22" s="611"/>
      <c r="G22" s="1345" t="str">
        <f t="shared" si="2"/>
        <v>..</v>
      </c>
      <c r="H22" s="611"/>
      <c r="I22" s="611"/>
      <c r="J22" s="1345" t="str">
        <f t="shared" si="3"/>
        <v>..</v>
      </c>
      <c r="K22" s="1345" t="str">
        <f t="shared" si="4"/>
        <v>..</v>
      </c>
      <c r="L22" s="611"/>
      <c r="M22" s="611"/>
      <c r="N22" s="1345" t="str">
        <f t="shared" si="5"/>
        <v>..</v>
      </c>
      <c r="O22" s="611"/>
      <c r="P22" s="611"/>
      <c r="Q22" s="1345" t="str">
        <f t="shared" si="6"/>
        <v>..</v>
      </c>
      <c r="R22" s="611"/>
      <c r="S22" s="611"/>
      <c r="T22" s="1345" t="str">
        <f t="shared" si="7"/>
        <v>..</v>
      </c>
      <c r="U22" s="611"/>
      <c r="V22" s="611"/>
      <c r="W22" s="1345" t="str">
        <f t="shared" si="8"/>
        <v>..</v>
      </c>
      <c r="X22" s="611"/>
      <c r="Y22" s="611"/>
      <c r="Z22" s="1345" t="str">
        <f t="shared" si="9"/>
        <v>..</v>
      </c>
      <c r="AA22" s="611"/>
      <c r="AB22" s="611"/>
      <c r="AC22" s="1345" t="str">
        <f t="shared" si="10"/>
        <v>..</v>
      </c>
      <c r="AD22" s="611"/>
      <c r="AE22" s="611"/>
      <c r="AF22" s="1345" t="str">
        <f t="shared" si="11"/>
        <v>..</v>
      </c>
      <c r="AG22" s="611"/>
      <c r="AH22" s="611"/>
      <c r="AI22" s="1345" t="str">
        <f t="shared" si="12"/>
        <v>..</v>
      </c>
      <c r="AJ22" s="611"/>
      <c r="AK22" s="611"/>
      <c r="AL22" s="611"/>
      <c r="AM22" s="611"/>
      <c r="AN22" s="611"/>
      <c r="AO22" s="611"/>
      <c r="AP22" s="611"/>
      <c r="AQ22" s="611"/>
      <c r="AR22" s="611"/>
      <c r="AS22" s="611"/>
      <c r="AT22" s="611"/>
      <c r="AV22" s="209">
        <v>18</v>
      </c>
      <c r="AW22" s="1230" t="str">
        <f>Definitions_FlowLang!C38</f>
        <v>Oil refineries</v>
      </c>
      <c r="AX22" s="1230" t="str">
        <f>Definitions_FlowLang!D38</f>
        <v>Нефтеперерабатывающие заводы</v>
      </c>
      <c r="AY22" s="1230" t="str">
        <f>Definitions_FlowLang!E38</f>
        <v>炼油厂</v>
      </c>
      <c r="AZ22" s="209" t="s">
        <v>322</v>
      </c>
    </row>
    <row r="23" spans="1:52" x14ac:dyDescent="0.15">
      <c r="A23" s="209" t="str">
        <f t="shared" si="0"/>
        <v>Petrochemical plants</v>
      </c>
      <c r="B23" s="611"/>
      <c r="C23" s="611"/>
      <c r="D23" s="1345" t="str">
        <f t="shared" si="1"/>
        <v>..</v>
      </c>
      <c r="E23" s="611"/>
      <c r="F23" s="611"/>
      <c r="G23" s="1345" t="str">
        <f t="shared" si="2"/>
        <v>..</v>
      </c>
      <c r="H23" s="611"/>
      <c r="I23" s="611"/>
      <c r="J23" s="1345" t="str">
        <f t="shared" si="3"/>
        <v>..</v>
      </c>
      <c r="K23" s="1345" t="str">
        <f t="shared" si="4"/>
        <v>..</v>
      </c>
      <c r="L23" s="611"/>
      <c r="M23" s="611"/>
      <c r="N23" s="1345" t="str">
        <f t="shared" si="5"/>
        <v>..</v>
      </c>
      <c r="O23" s="611"/>
      <c r="P23" s="611"/>
      <c r="Q23" s="1345" t="str">
        <f t="shared" si="6"/>
        <v>..</v>
      </c>
      <c r="R23" s="611"/>
      <c r="S23" s="611"/>
      <c r="T23" s="1345" t="str">
        <f t="shared" si="7"/>
        <v>..</v>
      </c>
      <c r="U23" s="611"/>
      <c r="V23" s="611"/>
      <c r="W23" s="1345" t="str">
        <f t="shared" si="8"/>
        <v>..</v>
      </c>
      <c r="X23" s="611"/>
      <c r="Y23" s="611"/>
      <c r="Z23" s="1345" t="str">
        <f t="shared" si="9"/>
        <v>..</v>
      </c>
      <c r="AA23" s="611"/>
      <c r="AB23" s="611"/>
      <c r="AC23" s="1345" t="str">
        <f t="shared" si="10"/>
        <v>..</v>
      </c>
      <c r="AD23" s="611"/>
      <c r="AE23" s="611"/>
      <c r="AF23" s="1345" t="str">
        <f t="shared" si="11"/>
        <v>..</v>
      </c>
      <c r="AG23" s="611"/>
      <c r="AH23" s="611"/>
      <c r="AI23" s="1345" t="str">
        <f t="shared" si="12"/>
        <v>..</v>
      </c>
      <c r="AJ23" s="611"/>
      <c r="AK23" s="611"/>
      <c r="AL23" s="611"/>
      <c r="AM23" s="611"/>
      <c r="AN23" s="611"/>
      <c r="AO23" s="611"/>
      <c r="AP23" s="611"/>
      <c r="AQ23" s="611"/>
      <c r="AR23" s="611"/>
      <c r="AS23" s="611"/>
      <c r="AT23" s="611"/>
      <c r="AV23" s="209">
        <v>19</v>
      </c>
      <c r="AW23" s="1230" t="str">
        <f>Definitions_FlowLang!C36</f>
        <v>Petrochemical plants</v>
      </c>
      <c r="AX23" s="1230" t="str">
        <f>Definitions_FlowLang!D36</f>
        <v>Нефтехимические заводы</v>
      </c>
      <c r="AY23" s="1230" t="str">
        <f>Definitions_FlowLang!E36</f>
        <v>石化厂</v>
      </c>
      <c r="AZ23" s="209" t="s">
        <v>322</v>
      </c>
    </row>
    <row r="24" spans="1:52" x14ac:dyDescent="0.15">
      <c r="A24" s="209" t="str">
        <f t="shared" si="0"/>
        <v>Liquefaction plants</v>
      </c>
      <c r="B24" s="611"/>
      <c r="C24" s="611"/>
      <c r="D24" s="1345" t="str">
        <f t="shared" si="1"/>
        <v>..</v>
      </c>
      <c r="E24" s="611"/>
      <c r="F24" s="611"/>
      <c r="G24" s="1345" t="str">
        <f t="shared" si="2"/>
        <v>..</v>
      </c>
      <c r="H24" s="611"/>
      <c r="I24" s="611"/>
      <c r="J24" s="1345" t="str">
        <f t="shared" si="3"/>
        <v>..</v>
      </c>
      <c r="K24" s="1345" t="str">
        <f t="shared" si="4"/>
        <v>..</v>
      </c>
      <c r="L24" s="611"/>
      <c r="M24" s="611"/>
      <c r="N24" s="1345" t="str">
        <f t="shared" si="5"/>
        <v>..</v>
      </c>
      <c r="O24" s="611"/>
      <c r="P24" s="611"/>
      <c r="Q24" s="1345" t="str">
        <f t="shared" si="6"/>
        <v>..</v>
      </c>
      <c r="R24" s="611"/>
      <c r="S24" s="611"/>
      <c r="T24" s="1345" t="str">
        <f t="shared" si="7"/>
        <v>..</v>
      </c>
      <c r="U24" s="611"/>
      <c r="V24" s="611"/>
      <c r="W24" s="1345" t="str">
        <f t="shared" si="8"/>
        <v>..</v>
      </c>
      <c r="X24" s="611"/>
      <c r="Y24" s="611"/>
      <c r="Z24" s="1345" t="str">
        <f t="shared" si="9"/>
        <v>..</v>
      </c>
      <c r="AA24" s="611"/>
      <c r="AB24" s="611"/>
      <c r="AC24" s="1345" t="str">
        <f t="shared" si="10"/>
        <v>..</v>
      </c>
      <c r="AD24" s="611"/>
      <c r="AE24" s="611"/>
      <c r="AF24" s="1345" t="str">
        <f t="shared" si="11"/>
        <v>..</v>
      </c>
      <c r="AG24" s="611"/>
      <c r="AH24" s="611"/>
      <c r="AI24" s="1345" t="str">
        <f t="shared" si="12"/>
        <v>..</v>
      </c>
      <c r="AJ24" s="611"/>
      <c r="AK24" s="611"/>
      <c r="AL24" s="611"/>
      <c r="AM24" s="611"/>
      <c r="AN24" s="611"/>
      <c r="AO24" s="611"/>
      <c r="AP24" s="611"/>
      <c r="AQ24" s="611"/>
      <c r="AR24" s="611"/>
      <c r="AS24" s="611"/>
      <c r="AT24" s="611"/>
      <c r="AV24" s="209">
        <v>20</v>
      </c>
      <c r="AW24" s="209" t="s">
        <v>404</v>
      </c>
      <c r="AX24" s="209" t="s">
        <v>7052</v>
      </c>
      <c r="AY24" s="209" t="s">
        <v>406</v>
      </c>
      <c r="AZ24" s="209" t="s">
        <v>322</v>
      </c>
    </row>
    <row r="25" spans="1:52" x14ac:dyDescent="0.15">
      <c r="A25" s="209" t="str">
        <f t="shared" si="0"/>
        <v>Other transformation</v>
      </c>
      <c r="B25" s="611"/>
      <c r="C25" s="611"/>
      <c r="D25" s="1345" t="str">
        <f t="shared" si="1"/>
        <v>..</v>
      </c>
      <c r="E25" s="611"/>
      <c r="F25" s="611"/>
      <c r="G25" s="1345" t="str">
        <f t="shared" si="2"/>
        <v>..</v>
      </c>
      <c r="H25" s="611"/>
      <c r="I25" s="611"/>
      <c r="J25" s="1345" t="str">
        <f t="shared" si="3"/>
        <v>..</v>
      </c>
      <c r="K25" s="1345" t="str">
        <f t="shared" si="4"/>
        <v>..</v>
      </c>
      <c r="L25" s="611"/>
      <c r="M25" s="611"/>
      <c r="N25" s="1345" t="str">
        <f t="shared" si="5"/>
        <v>..</v>
      </c>
      <c r="O25" s="611"/>
      <c r="P25" s="611"/>
      <c r="Q25" s="1345" t="str">
        <f t="shared" si="6"/>
        <v>..</v>
      </c>
      <c r="R25" s="611"/>
      <c r="S25" s="611"/>
      <c r="T25" s="1345" t="str">
        <f t="shared" si="7"/>
        <v>..</v>
      </c>
      <c r="U25" s="611"/>
      <c r="V25" s="611"/>
      <c r="W25" s="1345" t="str">
        <f t="shared" si="8"/>
        <v>..</v>
      </c>
      <c r="X25" s="611"/>
      <c r="Y25" s="611"/>
      <c r="Z25" s="1345" t="str">
        <f t="shared" si="9"/>
        <v>..</v>
      </c>
      <c r="AA25" s="611"/>
      <c r="AB25" s="611"/>
      <c r="AC25" s="1345" t="str">
        <f t="shared" si="10"/>
        <v>..</v>
      </c>
      <c r="AD25" s="611"/>
      <c r="AE25" s="611"/>
      <c r="AF25" s="1345" t="str">
        <f t="shared" si="11"/>
        <v>..</v>
      </c>
      <c r="AG25" s="611"/>
      <c r="AH25" s="611"/>
      <c r="AI25" s="1345" t="str">
        <f t="shared" si="12"/>
        <v>..</v>
      </c>
      <c r="AJ25" s="611"/>
      <c r="AK25" s="611"/>
      <c r="AL25" s="611"/>
      <c r="AM25" s="611"/>
      <c r="AN25" s="611"/>
      <c r="AO25" s="611"/>
      <c r="AP25" s="611"/>
      <c r="AQ25" s="611"/>
      <c r="AR25" s="611"/>
      <c r="AS25" s="611"/>
      <c r="AT25" s="611"/>
      <c r="AV25" s="209">
        <v>21</v>
      </c>
      <c r="AW25" s="209" t="s">
        <v>7053</v>
      </c>
      <c r="AX25" s="209" t="s">
        <v>7054</v>
      </c>
      <c r="AY25" s="209" t="str">
        <f>Definitions_FlowLang!E43</f>
        <v>未列明的产业（转换）</v>
      </c>
      <c r="AZ25" s="209" t="s">
        <v>322</v>
      </c>
    </row>
    <row r="26" spans="1:52" x14ac:dyDescent="0.15">
      <c r="A26" s="209" t="str">
        <f t="shared" si="0"/>
        <v>Energy industry own use</v>
      </c>
      <c r="B26" s="611"/>
      <c r="C26" s="611"/>
      <c r="D26" s="1345" t="str">
        <f t="shared" si="1"/>
        <v>..</v>
      </c>
      <c r="E26" s="611"/>
      <c r="F26" s="611"/>
      <c r="G26" s="1345" t="str">
        <f t="shared" si="2"/>
        <v>..</v>
      </c>
      <c r="H26" s="611"/>
      <c r="I26" s="611"/>
      <c r="J26" s="1345" t="str">
        <f t="shared" si="3"/>
        <v>..</v>
      </c>
      <c r="K26" s="1345" t="str">
        <f t="shared" si="4"/>
        <v>..</v>
      </c>
      <c r="L26" s="611"/>
      <c r="M26" s="611"/>
      <c r="N26" s="1345" t="str">
        <f t="shared" si="5"/>
        <v>..</v>
      </c>
      <c r="O26" s="611"/>
      <c r="P26" s="611"/>
      <c r="Q26" s="1345" t="str">
        <f t="shared" si="6"/>
        <v>..</v>
      </c>
      <c r="R26" s="611"/>
      <c r="S26" s="611"/>
      <c r="T26" s="1345" t="str">
        <f t="shared" si="7"/>
        <v>..</v>
      </c>
      <c r="U26" s="611"/>
      <c r="V26" s="611"/>
      <c r="W26" s="1345" t="str">
        <f t="shared" si="8"/>
        <v>..</v>
      </c>
      <c r="X26" s="611"/>
      <c r="Y26" s="611"/>
      <c r="Z26" s="1345" t="str">
        <f t="shared" si="9"/>
        <v>..</v>
      </c>
      <c r="AA26" s="611"/>
      <c r="AB26" s="611"/>
      <c r="AC26" s="1345" t="str">
        <f t="shared" si="10"/>
        <v>..</v>
      </c>
      <c r="AD26" s="611"/>
      <c r="AE26" s="611"/>
      <c r="AF26" s="1345" t="str">
        <f t="shared" si="11"/>
        <v>..</v>
      </c>
      <c r="AG26" s="611"/>
      <c r="AH26" s="611"/>
      <c r="AI26" s="1345" t="str">
        <f t="shared" si="12"/>
        <v>..</v>
      </c>
      <c r="AJ26" s="611"/>
      <c r="AK26" s="611"/>
      <c r="AL26" s="611"/>
      <c r="AM26" s="611"/>
      <c r="AN26" s="611"/>
      <c r="AO26" s="611"/>
      <c r="AP26" s="611"/>
      <c r="AQ26" s="611"/>
      <c r="AR26" s="611"/>
      <c r="AS26" s="611"/>
      <c r="AT26" s="611"/>
      <c r="AV26" s="209">
        <v>22</v>
      </c>
      <c r="AW26" s="1230" t="str">
        <f>Definitions_FlowLang!C45</f>
        <v>Energy industry own use</v>
      </c>
      <c r="AX26" s="1230" t="str">
        <f>Definitions_FlowLang!D45</f>
        <v>Собственное использование сектором энергетики</v>
      </c>
      <c r="AY26" s="1230" t="str">
        <f>Definitions_FlowLang!E45</f>
        <v>能源行业自用</v>
      </c>
      <c r="AZ26" s="209" t="s">
        <v>322</v>
      </c>
    </row>
    <row r="27" spans="1:52" x14ac:dyDescent="0.15">
      <c r="A27" s="1153" t="str">
        <f t="shared" si="0"/>
        <v>Losses</v>
      </c>
      <c r="B27" s="830"/>
      <c r="C27" s="830"/>
      <c r="D27" s="1346" t="str">
        <f t="shared" si="1"/>
        <v>..</v>
      </c>
      <c r="E27" s="830"/>
      <c r="F27" s="830"/>
      <c r="G27" s="1346" t="str">
        <f t="shared" si="2"/>
        <v>..</v>
      </c>
      <c r="H27" s="830"/>
      <c r="I27" s="830"/>
      <c r="J27" s="1346" t="str">
        <f t="shared" si="3"/>
        <v>..</v>
      </c>
      <c r="K27" s="1346" t="str">
        <f t="shared" si="4"/>
        <v>..</v>
      </c>
      <c r="L27" s="830"/>
      <c r="M27" s="830"/>
      <c r="N27" s="1346" t="str">
        <f t="shared" si="5"/>
        <v>..</v>
      </c>
      <c r="O27" s="830"/>
      <c r="P27" s="830"/>
      <c r="Q27" s="1346" t="str">
        <f t="shared" si="6"/>
        <v>..</v>
      </c>
      <c r="R27" s="830"/>
      <c r="S27" s="830"/>
      <c r="T27" s="1346" t="str">
        <f t="shared" si="7"/>
        <v>..</v>
      </c>
      <c r="U27" s="830"/>
      <c r="V27" s="830"/>
      <c r="W27" s="1346" t="str">
        <f t="shared" si="8"/>
        <v>..</v>
      </c>
      <c r="X27" s="830"/>
      <c r="Y27" s="830"/>
      <c r="Z27" s="1346" t="str">
        <f t="shared" si="9"/>
        <v>..</v>
      </c>
      <c r="AA27" s="830"/>
      <c r="AB27" s="830"/>
      <c r="AC27" s="1346" t="str">
        <f t="shared" si="10"/>
        <v>..</v>
      </c>
      <c r="AD27" s="830"/>
      <c r="AE27" s="830"/>
      <c r="AF27" s="1346" t="str">
        <f t="shared" si="11"/>
        <v>..</v>
      </c>
      <c r="AG27" s="830"/>
      <c r="AH27" s="830"/>
      <c r="AI27" s="1346" t="str">
        <f t="shared" si="12"/>
        <v>..</v>
      </c>
      <c r="AJ27" s="611"/>
      <c r="AK27" s="611"/>
      <c r="AL27" s="611"/>
      <c r="AM27" s="611"/>
      <c r="AN27" s="611"/>
      <c r="AO27" s="611"/>
      <c r="AP27" s="611"/>
      <c r="AQ27" s="611"/>
      <c r="AR27" s="611"/>
      <c r="AS27" s="611"/>
      <c r="AT27" s="611"/>
      <c r="AV27" s="209">
        <v>23</v>
      </c>
      <c r="AW27" s="1230" t="str">
        <f>Definitions_FlowLang!C63</f>
        <v>Losses</v>
      </c>
      <c r="AX27" s="1230" t="str">
        <f>Definitions_FlowLang!D63</f>
        <v>Потери</v>
      </c>
      <c r="AY27" s="1230" t="str">
        <f>Definitions_FlowLang!E63</f>
        <v>损耗</v>
      </c>
      <c r="AZ27" s="209" t="s">
        <v>322</v>
      </c>
    </row>
    <row r="28" spans="1:52" x14ac:dyDescent="0.15">
      <c r="A28" s="1154" t="str">
        <f t="shared" si="0"/>
        <v>TFC</v>
      </c>
      <c r="B28" s="831"/>
      <c r="C28" s="831"/>
      <c r="D28" s="1347" t="str">
        <f t="shared" si="1"/>
        <v>..</v>
      </c>
      <c r="E28" s="831"/>
      <c r="F28" s="831"/>
      <c r="G28" s="1347" t="str">
        <f t="shared" si="2"/>
        <v>..</v>
      </c>
      <c r="H28" s="831"/>
      <c r="I28" s="831"/>
      <c r="J28" s="1347" t="str">
        <f t="shared" si="3"/>
        <v>..</v>
      </c>
      <c r="K28" s="1347" t="str">
        <f t="shared" si="4"/>
        <v>..</v>
      </c>
      <c r="L28" s="831"/>
      <c r="M28" s="831"/>
      <c r="N28" s="1347" t="str">
        <f t="shared" si="5"/>
        <v>..</v>
      </c>
      <c r="O28" s="831"/>
      <c r="P28" s="831"/>
      <c r="Q28" s="1347" t="str">
        <f t="shared" si="6"/>
        <v>..</v>
      </c>
      <c r="R28" s="831"/>
      <c r="S28" s="831"/>
      <c r="T28" s="1347" t="str">
        <f t="shared" si="7"/>
        <v>..</v>
      </c>
      <c r="U28" s="831"/>
      <c r="V28" s="831"/>
      <c r="W28" s="1347" t="str">
        <f t="shared" si="8"/>
        <v>..</v>
      </c>
      <c r="X28" s="831"/>
      <c r="Y28" s="831"/>
      <c r="Z28" s="1347" t="str">
        <f t="shared" si="9"/>
        <v>..</v>
      </c>
      <c r="AA28" s="831"/>
      <c r="AB28" s="831"/>
      <c r="AC28" s="1347" t="str">
        <f t="shared" si="10"/>
        <v>..</v>
      </c>
      <c r="AD28" s="831"/>
      <c r="AE28" s="831"/>
      <c r="AF28" s="1347" t="str">
        <f t="shared" si="11"/>
        <v>..</v>
      </c>
      <c r="AG28" s="831"/>
      <c r="AH28" s="831"/>
      <c r="AI28" s="1352" t="str">
        <f t="shared" si="12"/>
        <v>..</v>
      </c>
      <c r="AJ28" s="612"/>
      <c r="AK28" s="612"/>
      <c r="AL28" s="612"/>
      <c r="AM28" s="612"/>
      <c r="AN28" s="612"/>
      <c r="AO28" s="612"/>
      <c r="AP28" s="612"/>
      <c r="AQ28" s="612"/>
      <c r="AR28" s="612"/>
      <c r="AS28" s="612"/>
      <c r="AT28" s="612"/>
      <c r="AV28" s="209">
        <v>24</v>
      </c>
      <c r="AW28" s="209" t="s">
        <v>7055</v>
      </c>
      <c r="AX28" s="1230" t="str">
        <f>UPPER(Definitions_FlowLang!D65)</f>
        <v>ОБЩЕЕ ПОТРЕБЛЕНИЕ</v>
      </c>
      <c r="AY28" s="1230" t="str">
        <f>UPPER(Definitions_FlowLang!E65)</f>
        <v>终端消费量</v>
      </c>
      <c r="AZ28" s="209" t="s">
        <v>322</v>
      </c>
    </row>
    <row r="29" spans="1:52" x14ac:dyDescent="0.15">
      <c r="A29" s="609" t="str">
        <f t="shared" si="0"/>
        <v>INDUSTRY</v>
      </c>
      <c r="B29" s="612"/>
      <c r="C29" s="612"/>
      <c r="D29" s="1348" t="str">
        <f t="shared" si="1"/>
        <v>..</v>
      </c>
      <c r="E29" s="612"/>
      <c r="F29" s="612"/>
      <c r="G29" s="1348" t="str">
        <f t="shared" si="2"/>
        <v>..</v>
      </c>
      <c r="H29" s="612"/>
      <c r="I29" s="612"/>
      <c r="J29" s="1348" t="str">
        <f t="shared" si="3"/>
        <v>..</v>
      </c>
      <c r="K29" s="1348" t="str">
        <f t="shared" si="4"/>
        <v>..</v>
      </c>
      <c r="L29" s="612"/>
      <c r="M29" s="612"/>
      <c r="N29" s="1348" t="str">
        <f t="shared" si="5"/>
        <v>..</v>
      </c>
      <c r="O29" s="612"/>
      <c r="P29" s="612"/>
      <c r="Q29" s="1348" t="str">
        <f t="shared" si="6"/>
        <v>..</v>
      </c>
      <c r="R29" s="612"/>
      <c r="S29" s="612"/>
      <c r="T29" s="1348" t="str">
        <f t="shared" si="7"/>
        <v>..</v>
      </c>
      <c r="U29" s="612"/>
      <c r="V29" s="612"/>
      <c r="W29" s="1348" t="str">
        <f t="shared" si="8"/>
        <v>..</v>
      </c>
      <c r="X29" s="612"/>
      <c r="Y29" s="612"/>
      <c r="Z29" s="1348" t="str">
        <f t="shared" si="9"/>
        <v>..</v>
      </c>
      <c r="AA29" s="612"/>
      <c r="AB29" s="612"/>
      <c r="AC29" s="1348" t="str">
        <f t="shared" si="10"/>
        <v>..</v>
      </c>
      <c r="AD29" s="612"/>
      <c r="AE29" s="612"/>
      <c r="AF29" s="1348" t="str">
        <f t="shared" si="11"/>
        <v>..</v>
      </c>
      <c r="AG29" s="612"/>
      <c r="AH29" s="612"/>
      <c r="AI29" s="1353" t="str">
        <f t="shared" si="12"/>
        <v>..</v>
      </c>
      <c r="AJ29" s="612"/>
      <c r="AK29" s="612"/>
      <c r="AL29" s="612"/>
      <c r="AM29" s="612"/>
      <c r="AN29" s="612"/>
      <c r="AO29" s="612"/>
      <c r="AP29" s="612"/>
      <c r="AQ29" s="612"/>
      <c r="AR29" s="612"/>
      <c r="AS29" s="612"/>
      <c r="AT29" s="612"/>
      <c r="AV29" s="209">
        <v>25</v>
      </c>
      <c r="AW29" s="1230" t="str">
        <f>UPPER(Definitions_FlowLang!C66)</f>
        <v>INDUSTRY</v>
      </c>
      <c r="AX29" s="1230" t="str">
        <f>UPPER(Definitions_FlowLang!D66)</f>
        <v>СЕКТОР ПРОМЫШЛЕННОСТИ</v>
      </c>
      <c r="AY29" s="1230" t="str">
        <f>UPPER(Definitions_FlowLang!E66)</f>
        <v>工业部门</v>
      </c>
      <c r="AZ29" s="209" t="s">
        <v>322</v>
      </c>
    </row>
    <row r="30" spans="1:52" x14ac:dyDescent="0.15">
      <c r="A30" s="209" t="str">
        <f t="shared" si="0"/>
        <v>Iron and steel</v>
      </c>
      <c r="B30" s="611"/>
      <c r="C30" s="611"/>
      <c r="D30" s="1345" t="str">
        <f t="shared" si="1"/>
        <v>..</v>
      </c>
      <c r="E30" s="611"/>
      <c r="F30" s="611"/>
      <c r="G30" s="1345" t="str">
        <f t="shared" si="2"/>
        <v>..</v>
      </c>
      <c r="H30" s="611"/>
      <c r="I30" s="611"/>
      <c r="J30" s="1345" t="str">
        <f t="shared" si="3"/>
        <v>..</v>
      </c>
      <c r="K30" s="1345" t="str">
        <f t="shared" si="4"/>
        <v>..</v>
      </c>
      <c r="L30" s="611"/>
      <c r="M30" s="611"/>
      <c r="N30" s="1345" t="str">
        <f t="shared" si="5"/>
        <v>..</v>
      </c>
      <c r="O30" s="611"/>
      <c r="P30" s="611"/>
      <c r="Q30" s="1345" t="str">
        <f t="shared" si="6"/>
        <v>..</v>
      </c>
      <c r="R30" s="611"/>
      <c r="S30" s="611"/>
      <c r="T30" s="1345" t="str">
        <f t="shared" si="7"/>
        <v>..</v>
      </c>
      <c r="U30" s="611"/>
      <c r="V30" s="611"/>
      <c r="W30" s="1345" t="str">
        <f t="shared" si="8"/>
        <v>..</v>
      </c>
      <c r="X30" s="611"/>
      <c r="Y30" s="611"/>
      <c r="Z30" s="1345" t="str">
        <f t="shared" si="9"/>
        <v>..</v>
      </c>
      <c r="AA30" s="611"/>
      <c r="AB30" s="611"/>
      <c r="AC30" s="1345" t="str">
        <f t="shared" si="10"/>
        <v>..</v>
      </c>
      <c r="AD30" s="611"/>
      <c r="AE30" s="611"/>
      <c r="AF30" s="1345" t="str">
        <f t="shared" si="11"/>
        <v>..</v>
      </c>
      <c r="AG30" s="611"/>
      <c r="AH30" s="611"/>
      <c r="AI30" s="1345" t="str">
        <f t="shared" si="12"/>
        <v>..</v>
      </c>
      <c r="AJ30" s="611"/>
      <c r="AK30" s="611"/>
      <c r="AL30" s="611"/>
      <c r="AM30" s="611"/>
      <c r="AN30" s="611"/>
      <c r="AO30" s="611"/>
      <c r="AP30" s="611"/>
      <c r="AQ30" s="611"/>
      <c r="AR30" s="611"/>
      <c r="AS30" s="611"/>
      <c r="AT30" s="611"/>
      <c r="AV30" s="209">
        <v>26</v>
      </c>
      <c r="AW30" s="1230" t="str">
        <f>Definitions_FlowLang!C67</f>
        <v>Iron and steel</v>
      </c>
      <c r="AX30" s="1230" t="str">
        <f>Definitions_FlowLang!D67</f>
        <v>Черная металлургия</v>
      </c>
      <c r="AY30" s="1230" t="str">
        <f>Definitions_FlowLang!E67</f>
        <v>钢铁</v>
      </c>
      <c r="AZ30" s="209" t="s">
        <v>322</v>
      </c>
    </row>
    <row r="31" spans="1:52" x14ac:dyDescent="0.15">
      <c r="A31" s="209" t="str">
        <f t="shared" si="0"/>
        <v>Chemical and petrochemical</v>
      </c>
      <c r="B31" s="611"/>
      <c r="C31" s="611"/>
      <c r="D31" s="1345" t="str">
        <f t="shared" si="1"/>
        <v>..</v>
      </c>
      <c r="E31" s="611"/>
      <c r="F31" s="611"/>
      <c r="G31" s="1345" t="str">
        <f t="shared" si="2"/>
        <v>..</v>
      </c>
      <c r="H31" s="611"/>
      <c r="I31" s="611"/>
      <c r="J31" s="1345" t="str">
        <f t="shared" si="3"/>
        <v>..</v>
      </c>
      <c r="K31" s="1345" t="str">
        <f t="shared" si="4"/>
        <v>..</v>
      </c>
      <c r="L31" s="611"/>
      <c r="M31" s="611"/>
      <c r="N31" s="1345" t="str">
        <f t="shared" si="5"/>
        <v>..</v>
      </c>
      <c r="O31" s="611"/>
      <c r="P31" s="611"/>
      <c r="Q31" s="1345" t="str">
        <f t="shared" si="6"/>
        <v>..</v>
      </c>
      <c r="R31" s="611"/>
      <c r="S31" s="611"/>
      <c r="T31" s="1345" t="str">
        <f t="shared" si="7"/>
        <v>..</v>
      </c>
      <c r="U31" s="611"/>
      <c r="V31" s="611"/>
      <c r="W31" s="1345" t="str">
        <f t="shared" si="8"/>
        <v>..</v>
      </c>
      <c r="X31" s="611"/>
      <c r="Y31" s="611"/>
      <c r="Z31" s="1345" t="str">
        <f t="shared" si="9"/>
        <v>..</v>
      </c>
      <c r="AA31" s="611"/>
      <c r="AB31" s="611"/>
      <c r="AC31" s="1345" t="str">
        <f t="shared" si="10"/>
        <v>..</v>
      </c>
      <c r="AD31" s="611"/>
      <c r="AE31" s="611"/>
      <c r="AF31" s="1345" t="str">
        <f t="shared" si="11"/>
        <v>..</v>
      </c>
      <c r="AG31" s="611"/>
      <c r="AH31" s="611"/>
      <c r="AI31" s="1345" t="str">
        <f t="shared" si="12"/>
        <v>..</v>
      </c>
      <c r="AJ31" s="611"/>
      <c r="AK31" s="611"/>
      <c r="AL31" s="611"/>
      <c r="AM31" s="611"/>
      <c r="AN31" s="611"/>
      <c r="AO31" s="611"/>
      <c r="AP31" s="611"/>
      <c r="AQ31" s="611"/>
      <c r="AR31" s="611"/>
      <c r="AS31" s="611"/>
      <c r="AT31" s="611"/>
      <c r="AV31" s="209">
        <v>27</v>
      </c>
      <c r="AW31" s="1230" t="str">
        <f>Definitions_FlowLang!C68</f>
        <v>Chemical and petrochemical</v>
      </c>
      <c r="AX31" s="1230" t="str">
        <f>Definitions_FlowLang!D68</f>
        <v>Химическая (в т.ч. нефтехимическая) промышленность</v>
      </c>
      <c r="AY31" s="1230" t="str">
        <f>Definitions_FlowLang!E68</f>
        <v>化学和石油化工</v>
      </c>
      <c r="AZ31" s="209" t="s">
        <v>322</v>
      </c>
    </row>
    <row r="32" spans="1:52" x14ac:dyDescent="0.15">
      <c r="A32" s="209" t="str">
        <f t="shared" si="0"/>
        <v>Non-ferrous metals</v>
      </c>
      <c r="B32" s="611"/>
      <c r="C32" s="611"/>
      <c r="D32" s="1345" t="str">
        <f t="shared" si="1"/>
        <v>..</v>
      </c>
      <c r="E32" s="611"/>
      <c r="F32" s="611"/>
      <c r="G32" s="1345" t="str">
        <f t="shared" si="2"/>
        <v>..</v>
      </c>
      <c r="H32" s="611"/>
      <c r="I32" s="611"/>
      <c r="J32" s="1345" t="str">
        <f t="shared" si="3"/>
        <v>..</v>
      </c>
      <c r="K32" s="1345" t="str">
        <f t="shared" si="4"/>
        <v>..</v>
      </c>
      <c r="L32" s="611"/>
      <c r="M32" s="611"/>
      <c r="N32" s="1345" t="str">
        <f t="shared" si="5"/>
        <v>..</v>
      </c>
      <c r="O32" s="611"/>
      <c r="P32" s="611"/>
      <c r="Q32" s="1345" t="str">
        <f t="shared" si="6"/>
        <v>..</v>
      </c>
      <c r="R32" s="611"/>
      <c r="S32" s="611"/>
      <c r="T32" s="1345" t="str">
        <f t="shared" si="7"/>
        <v>..</v>
      </c>
      <c r="U32" s="611"/>
      <c r="V32" s="611"/>
      <c r="W32" s="1345" t="str">
        <f t="shared" si="8"/>
        <v>..</v>
      </c>
      <c r="X32" s="611"/>
      <c r="Y32" s="611"/>
      <c r="Z32" s="1345" t="str">
        <f t="shared" si="9"/>
        <v>..</v>
      </c>
      <c r="AA32" s="611"/>
      <c r="AB32" s="611"/>
      <c r="AC32" s="1345" t="str">
        <f t="shared" si="10"/>
        <v>..</v>
      </c>
      <c r="AD32" s="611"/>
      <c r="AE32" s="611"/>
      <c r="AF32" s="1345" t="str">
        <f t="shared" si="11"/>
        <v>..</v>
      </c>
      <c r="AG32" s="611"/>
      <c r="AH32" s="611"/>
      <c r="AI32" s="1345" t="str">
        <f t="shared" si="12"/>
        <v>..</v>
      </c>
      <c r="AJ32" s="611"/>
      <c r="AK32" s="611"/>
      <c r="AL32" s="611"/>
      <c r="AM32" s="611"/>
      <c r="AN32" s="611"/>
      <c r="AO32" s="611"/>
      <c r="AP32" s="611"/>
      <c r="AQ32" s="611"/>
      <c r="AR32" s="611"/>
      <c r="AS32" s="611"/>
      <c r="AT32" s="611"/>
      <c r="AV32" s="209">
        <v>28</v>
      </c>
      <c r="AW32" s="1230" t="str">
        <f>Definitions_FlowLang!C69</f>
        <v>Non-ferrous metals</v>
      </c>
      <c r="AX32" s="1230" t="str">
        <f>Definitions_FlowLang!D69</f>
        <v>Цветная металлургия</v>
      </c>
      <c r="AY32" s="1230" t="str">
        <f>Definitions_FlowLang!E69</f>
        <v>有色金属</v>
      </c>
      <c r="AZ32" s="209" t="s">
        <v>322</v>
      </c>
    </row>
    <row r="33" spans="1:52" x14ac:dyDescent="0.15">
      <c r="A33" s="209" t="str">
        <f t="shared" si="0"/>
        <v>Non-metallic minerals</v>
      </c>
      <c r="B33" s="611"/>
      <c r="C33" s="611"/>
      <c r="D33" s="1345" t="str">
        <f t="shared" si="1"/>
        <v>..</v>
      </c>
      <c r="E33" s="611"/>
      <c r="F33" s="611"/>
      <c r="G33" s="1345" t="str">
        <f t="shared" si="2"/>
        <v>..</v>
      </c>
      <c r="H33" s="611"/>
      <c r="I33" s="611"/>
      <c r="J33" s="1345" t="str">
        <f t="shared" si="3"/>
        <v>..</v>
      </c>
      <c r="K33" s="1345" t="str">
        <f t="shared" si="4"/>
        <v>..</v>
      </c>
      <c r="L33" s="611"/>
      <c r="M33" s="611"/>
      <c r="N33" s="1345" t="str">
        <f t="shared" si="5"/>
        <v>..</v>
      </c>
      <c r="O33" s="611"/>
      <c r="P33" s="611"/>
      <c r="Q33" s="1345" t="str">
        <f t="shared" si="6"/>
        <v>..</v>
      </c>
      <c r="R33" s="611"/>
      <c r="S33" s="611"/>
      <c r="T33" s="1345" t="str">
        <f t="shared" si="7"/>
        <v>..</v>
      </c>
      <c r="U33" s="611"/>
      <c r="V33" s="611"/>
      <c r="W33" s="1345" t="str">
        <f t="shared" si="8"/>
        <v>..</v>
      </c>
      <c r="X33" s="611"/>
      <c r="Y33" s="611"/>
      <c r="Z33" s="1345" t="str">
        <f t="shared" si="9"/>
        <v>..</v>
      </c>
      <c r="AA33" s="611"/>
      <c r="AB33" s="611"/>
      <c r="AC33" s="1345" t="str">
        <f t="shared" si="10"/>
        <v>..</v>
      </c>
      <c r="AD33" s="611"/>
      <c r="AE33" s="611"/>
      <c r="AF33" s="1345" t="str">
        <f t="shared" si="11"/>
        <v>..</v>
      </c>
      <c r="AG33" s="611"/>
      <c r="AH33" s="611"/>
      <c r="AI33" s="1345" t="str">
        <f t="shared" si="12"/>
        <v>..</v>
      </c>
      <c r="AJ33" s="611"/>
      <c r="AK33" s="611"/>
      <c r="AL33" s="611"/>
      <c r="AM33" s="611"/>
      <c r="AN33" s="611"/>
      <c r="AO33" s="611"/>
      <c r="AP33" s="611"/>
      <c r="AQ33" s="611"/>
      <c r="AR33" s="611"/>
      <c r="AS33" s="611"/>
      <c r="AT33" s="611"/>
      <c r="AV33" s="209">
        <v>29</v>
      </c>
      <c r="AW33" s="1230" t="str">
        <f>Definitions_FlowLang!C70</f>
        <v>Non-metallic minerals</v>
      </c>
      <c r="AX33" s="1230" t="str">
        <f>Definitions_FlowLang!D70</f>
        <v>Неметаллические минеральные продукты</v>
      </c>
      <c r="AY33" s="1230" t="str">
        <f>Definitions_FlowLang!E70</f>
        <v>非金属矿物</v>
      </c>
      <c r="AZ33" s="209" t="s">
        <v>322</v>
      </c>
    </row>
    <row r="34" spans="1:52" x14ac:dyDescent="0.15">
      <c r="A34" s="209" t="str">
        <f t="shared" si="0"/>
        <v>Transport equipment</v>
      </c>
      <c r="B34" s="611"/>
      <c r="C34" s="611"/>
      <c r="D34" s="1345" t="str">
        <f t="shared" si="1"/>
        <v>..</v>
      </c>
      <c r="E34" s="611"/>
      <c r="F34" s="611"/>
      <c r="G34" s="1345" t="str">
        <f t="shared" si="2"/>
        <v>..</v>
      </c>
      <c r="H34" s="611"/>
      <c r="I34" s="611"/>
      <c r="J34" s="1345" t="str">
        <f t="shared" si="3"/>
        <v>..</v>
      </c>
      <c r="K34" s="1345" t="str">
        <f t="shared" si="4"/>
        <v>..</v>
      </c>
      <c r="L34" s="611"/>
      <c r="M34" s="611"/>
      <c r="N34" s="1345" t="str">
        <f t="shared" si="5"/>
        <v>..</v>
      </c>
      <c r="O34" s="611"/>
      <c r="P34" s="611"/>
      <c r="Q34" s="1345" t="str">
        <f t="shared" si="6"/>
        <v>..</v>
      </c>
      <c r="R34" s="611"/>
      <c r="S34" s="611"/>
      <c r="T34" s="1345" t="str">
        <f t="shared" si="7"/>
        <v>..</v>
      </c>
      <c r="U34" s="611"/>
      <c r="V34" s="611"/>
      <c r="W34" s="1345" t="str">
        <f t="shared" si="8"/>
        <v>..</v>
      </c>
      <c r="X34" s="611"/>
      <c r="Y34" s="611"/>
      <c r="Z34" s="1345" t="str">
        <f t="shared" si="9"/>
        <v>..</v>
      </c>
      <c r="AA34" s="611"/>
      <c r="AB34" s="611"/>
      <c r="AC34" s="1345" t="str">
        <f t="shared" si="10"/>
        <v>..</v>
      </c>
      <c r="AD34" s="611"/>
      <c r="AE34" s="611"/>
      <c r="AF34" s="1345" t="str">
        <f t="shared" si="11"/>
        <v>..</v>
      </c>
      <c r="AG34" s="611"/>
      <c r="AH34" s="611"/>
      <c r="AI34" s="1345" t="str">
        <f t="shared" si="12"/>
        <v>..</v>
      </c>
      <c r="AJ34" s="611"/>
      <c r="AK34" s="611"/>
      <c r="AL34" s="611"/>
      <c r="AM34" s="611"/>
      <c r="AN34" s="611"/>
      <c r="AO34" s="611"/>
      <c r="AP34" s="611"/>
      <c r="AQ34" s="611"/>
      <c r="AR34" s="611"/>
      <c r="AS34" s="611"/>
      <c r="AT34" s="611"/>
      <c r="AV34" s="209">
        <v>30</v>
      </c>
      <c r="AW34" s="1230" t="str">
        <f>Definitions_FlowLang!C71</f>
        <v>Transport equipment</v>
      </c>
      <c r="AX34" s="1230" t="str">
        <f>Definitions_FlowLang!D71</f>
        <v>Транспортное оборудование</v>
      </c>
      <c r="AY34" s="1230" t="str">
        <f>Definitions_FlowLang!E71</f>
        <v>交通运输设备</v>
      </c>
      <c r="AZ34" s="209" t="s">
        <v>322</v>
      </c>
    </row>
    <row r="35" spans="1:52" x14ac:dyDescent="0.15">
      <c r="A35" s="209" t="str">
        <f t="shared" si="0"/>
        <v>Machinery</v>
      </c>
      <c r="B35" s="611"/>
      <c r="C35" s="611"/>
      <c r="D35" s="1345" t="str">
        <f t="shared" si="1"/>
        <v>..</v>
      </c>
      <c r="E35" s="611"/>
      <c r="F35" s="611"/>
      <c r="G35" s="1345" t="str">
        <f t="shared" si="2"/>
        <v>..</v>
      </c>
      <c r="H35" s="611"/>
      <c r="I35" s="611"/>
      <c r="J35" s="1345" t="str">
        <f t="shared" si="3"/>
        <v>..</v>
      </c>
      <c r="K35" s="1345" t="str">
        <f t="shared" si="4"/>
        <v>..</v>
      </c>
      <c r="L35" s="611"/>
      <c r="M35" s="611"/>
      <c r="N35" s="1345" t="str">
        <f t="shared" si="5"/>
        <v>..</v>
      </c>
      <c r="O35" s="611"/>
      <c r="P35" s="611"/>
      <c r="Q35" s="1345" t="str">
        <f t="shared" si="6"/>
        <v>..</v>
      </c>
      <c r="R35" s="611"/>
      <c r="S35" s="611"/>
      <c r="T35" s="1345" t="str">
        <f t="shared" si="7"/>
        <v>..</v>
      </c>
      <c r="U35" s="611"/>
      <c r="V35" s="611"/>
      <c r="W35" s="1345" t="str">
        <f t="shared" si="8"/>
        <v>..</v>
      </c>
      <c r="X35" s="611"/>
      <c r="Y35" s="611"/>
      <c r="Z35" s="1345" t="str">
        <f t="shared" si="9"/>
        <v>..</v>
      </c>
      <c r="AA35" s="611"/>
      <c r="AB35" s="611"/>
      <c r="AC35" s="1345" t="str">
        <f t="shared" si="10"/>
        <v>..</v>
      </c>
      <c r="AD35" s="611"/>
      <c r="AE35" s="611"/>
      <c r="AF35" s="1345" t="str">
        <f t="shared" si="11"/>
        <v>..</v>
      </c>
      <c r="AG35" s="611"/>
      <c r="AH35" s="611"/>
      <c r="AI35" s="1345" t="str">
        <f t="shared" si="12"/>
        <v>..</v>
      </c>
      <c r="AJ35" s="611"/>
      <c r="AK35" s="611"/>
      <c r="AL35" s="611"/>
      <c r="AM35" s="611"/>
      <c r="AN35" s="611"/>
      <c r="AO35" s="611"/>
      <c r="AP35" s="611"/>
      <c r="AQ35" s="611"/>
      <c r="AR35" s="611"/>
      <c r="AS35" s="611"/>
      <c r="AT35" s="611"/>
      <c r="AV35" s="209">
        <v>31</v>
      </c>
      <c r="AW35" s="1230" t="str">
        <f>Definitions_FlowLang!C72</f>
        <v>Machinery</v>
      </c>
      <c r="AX35" s="1230" t="str">
        <f>Definitions_FlowLang!D72</f>
        <v>Машиностроение</v>
      </c>
      <c r="AY35" s="1230" t="str">
        <f>Definitions_FlowLang!E72</f>
        <v>机器设备</v>
      </c>
      <c r="AZ35" s="209" t="s">
        <v>322</v>
      </c>
    </row>
    <row r="36" spans="1:52" x14ac:dyDescent="0.15">
      <c r="A36" s="209" t="str">
        <f t="shared" si="0"/>
        <v>Mining and quarrying</v>
      </c>
      <c r="B36" s="611"/>
      <c r="C36" s="611"/>
      <c r="D36" s="1345" t="str">
        <f t="shared" si="1"/>
        <v>..</v>
      </c>
      <c r="E36" s="611"/>
      <c r="F36" s="611"/>
      <c r="G36" s="1345" t="str">
        <f t="shared" si="2"/>
        <v>..</v>
      </c>
      <c r="H36" s="611"/>
      <c r="I36" s="611"/>
      <c r="J36" s="1345" t="str">
        <f t="shared" si="3"/>
        <v>..</v>
      </c>
      <c r="K36" s="1345" t="str">
        <f t="shared" si="4"/>
        <v>..</v>
      </c>
      <c r="L36" s="611"/>
      <c r="M36" s="611"/>
      <c r="N36" s="1345" t="str">
        <f t="shared" si="5"/>
        <v>..</v>
      </c>
      <c r="O36" s="611"/>
      <c r="P36" s="611"/>
      <c r="Q36" s="1345" t="str">
        <f t="shared" si="6"/>
        <v>..</v>
      </c>
      <c r="R36" s="611"/>
      <c r="S36" s="611"/>
      <c r="T36" s="1345" t="str">
        <f t="shared" si="7"/>
        <v>..</v>
      </c>
      <c r="U36" s="611"/>
      <c r="V36" s="611"/>
      <c r="W36" s="1345" t="str">
        <f t="shared" si="8"/>
        <v>..</v>
      </c>
      <c r="X36" s="611"/>
      <c r="Y36" s="611"/>
      <c r="Z36" s="1345" t="str">
        <f t="shared" si="9"/>
        <v>..</v>
      </c>
      <c r="AA36" s="611"/>
      <c r="AB36" s="611"/>
      <c r="AC36" s="1345" t="str">
        <f t="shared" si="10"/>
        <v>..</v>
      </c>
      <c r="AD36" s="611"/>
      <c r="AE36" s="611"/>
      <c r="AF36" s="1345" t="str">
        <f t="shared" si="11"/>
        <v>..</v>
      </c>
      <c r="AG36" s="611"/>
      <c r="AH36" s="611"/>
      <c r="AI36" s="1345" t="str">
        <f t="shared" si="12"/>
        <v>..</v>
      </c>
      <c r="AJ36" s="611"/>
      <c r="AK36" s="611"/>
      <c r="AL36" s="611"/>
      <c r="AM36" s="611"/>
      <c r="AN36" s="611"/>
      <c r="AO36" s="611"/>
      <c r="AP36" s="611"/>
      <c r="AQ36" s="611"/>
      <c r="AR36" s="611"/>
      <c r="AS36" s="611"/>
      <c r="AT36" s="611"/>
      <c r="AV36" s="209">
        <v>32</v>
      </c>
      <c r="AW36" s="1230" t="str">
        <f>Definitions_FlowLang!C73</f>
        <v>Mining and quarrying</v>
      </c>
      <c r="AX36" s="1230" t="str">
        <f>Definitions_FlowLang!D73</f>
        <v>Горнодобыв. промышленность и разраб. карьеров</v>
      </c>
      <c r="AY36" s="1230" t="str">
        <f>Definitions_FlowLang!E73</f>
        <v>采矿和采石</v>
      </c>
      <c r="AZ36" s="209" t="s">
        <v>322</v>
      </c>
    </row>
    <row r="37" spans="1:52" x14ac:dyDescent="0.15">
      <c r="A37" s="209" t="str">
        <f t="shared" si="0"/>
        <v>Food and tobacco</v>
      </c>
      <c r="B37" s="611"/>
      <c r="C37" s="611"/>
      <c r="D37" s="1345" t="str">
        <f t="shared" si="1"/>
        <v>..</v>
      </c>
      <c r="E37" s="611"/>
      <c r="F37" s="611"/>
      <c r="G37" s="1345" t="str">
        <f t="shared" si="2"/>
        <v>..</v>
      </c>
      <c r="H37" s="611"/>
      <c r="I37" s="611"/>
      <c r="J37" s="1345" t="str">
        <f t="shared" si="3"/>
        <v>..</v>
      </c>
      <c r="K37" s="1345" t="str">
        <f t="shared" si="4"/>
        <v>..</v>
      </c>
      <c r="L37" s="611"/>
      <c r="M37" s="611"/>
      <c r="N37" s="1345" t="str">
        <f t="shared" si="5"/>
        <v>..</v>
      </c>
      <c r="O37" s="611"/>
      <c r="P37" s="611"/>
      <c r="Q37" s="1345" t="str">
        <f t="shared" si="6"/>
        <v>..</v>
      </c>
      <c r="R37" s="611"/>
      <c r="S37" s="611"/>
      <c r="T37" s="1345" t="str">
        <f t="shared" si="7"/>
        <v>..</v>
      </c>
      <c r="U37" s="611"/>
      <c r="V37" s="611"/>
      <c r="W37" s="1345" t="str">
        <f t="shared" si="8"/>
        <v>..</v>
      </c>
      <c r="X37" s="611"/>
      <c r="Y37" s="611"/>
      <c r="Z37" s="1345" t="str">
        <f t="shared" si="9"/>
        <v>..</v>
      </c>
      <c r="AA37" s="611"/>
      <c r="AB37" s="611"/>
      <c r="AC37" s="1345" t="str">
        <f t="shared" si="10"/>
        <v>..</v>
      </c>
      <c r="AD37" s="611"/>
      <c r="AE37" s="611"/>
      <c r="AF37" s="1345" t="str">
        <f t="shared" si="11"/>
        <v>..</v>
      </c>
      <c r="AG37" s="611"/>
      <c r="AH37" s="611"/>
      <c r="AI37" s="1345" t="str">
        <f t="shared" si="12"/>
        <v>..</v>
      </c>
      <c r="AJ37" s="611"/>
      <c r="AK37" s="611"/>
      <c r="AL37" s="611"/>
      <c r="AM37" s="611"/>
      <c r="AN37" s="611"/>
      <c r="AO37" s="611"/>
      <c r="AP37" s="611"/>
      <c r="AQ37" s="611"/>
      <c r="AR37" s="611"/>
      <c r="AS37" s="611"/>
      <c r="AT37" s="611"/>
      <c r="AV37" s="209">
        <v>33</v>
      </c>
      <c r="AW37" s="209" t="s">
        <v>7010</v>
      </c>
      <c r="AX37" s="1230" t="str">
        <f>Definitions_FlowLang!D74</f>
        <v>Пищевая промышленность, производство напитков и табачных изделий</v>
      </c>
      <c r="AY37" s="1230" t="str">
        <f>Definitions_FlowLang!E74</f>
        <v>食品和烟草</v>
      </c>
      <c r="AZ37" s="209" t="s">
        <v>322</v>
      </c>
    </row>
    <row r="38" spans="1:52" x14ac:dyDescent="0.15">
      <c r="A38" s="209" t="str">
        <f t="shared" ref="A38:A61" si="13">HLOOKUP(LangChoice,$AW$4:$AY$67,$AV38+1)</f>
        <v>Paper, pulp and printing</v>
      </c>
      <c r="B38" s="611"/>
      <c r="C38" s="611"/>
      <c r="D38" s="1345" t="str">
        <f t="shared" si="1"/>
        <v>..</v>
      </c>
      <c r="E38" s="611"/>
      <c r="F38" s="611"/>
      <c r="G38" s="1345" t="str">
        <f t="shared" si="2"/>
        <v>..</v>
      </c>
      <c r="H38" s="611"/>
      <c r="I38" s="611"/>
      <c r="J38" s="1345" t="str">
        <f t="shared" si="3"/>
        <v>..</v>
      </c>
      <c r="K38" s="1345" t="str">
        <f t="shared" si="4"/>
        <v>..</v>
      </c>
      <c r="L38" s="611"/>
      <c r="M38" s="611"/>
      <c r="N38" s="1345" t="str">
        <f t="shared" si="5"/>
        <v>..</v>
      </c>
      <c r="O38" s="611"/>
      <c r="P38" s="611"/>
      <c r="Q38" s="1345" t="str">
        <f t="shared" si="6"/>
        <v>..</v>
      </c>
      <c r="R38" s="611"/>
      <c r="S38" s="611"/>
      <c r="T38" s="1345" t="str">
        <f t="shared" si="7"/>
        <v>..</v>
      </c>
      <c r="U38" s="611"/>
      <c r="V38" s="611"/>
      <c r="W38" s="1345" t="str">
        <f t="shared" si="8"/>
        <v>..</v>
      </c>
      <c r="X38" s="611"/>
      <c r="Y38" s="611"/>
      <c r="Z38" s="1345" t="str">
        <f t="shared" si="9"/>
        <v>..</v>
      </c>
      <c r="AA38" s="611"/>
      <c r="AB38" s="611"/>
      <c r="AC38" s="1345" t="str">
        <f t="shared" si="10"/>
        <v>..</v>
      </c>
      <c r="AD38" s="611"/>
      <c r="AE38" s="611"/>
      <c r="AF38" s="1345" t="str">
        <f t="shared" si="11"/>
        <v>..</v>
      </c>
      <c r="AG38" s="611"/>
      <c r="AH38" s="611"/>
      <c r="AI38" s="1345" t="str">
        <f t="shared" si="12"/>
        <v>..</v>
      </c>
      <c r="AJ38" s="611"/>
      <c r="AK38" s="611"/>
      <c r="AL38" s="611"/>
      <c r="AM38" s="611"/>
      <c r="AN38" s="611"/>
      <c r="AO38" s="611"/>
      <c r="AP38" s="611"/>
      <c r="AQ38" s="611"/>
      <c r="AR38" s="611"/>
      <c r="AS38" s="611"/>
      <c r="AT38" s="611"/>
      <c r="AV38" s="209">
        <v>34</v>
      </c>
      <c r="AW38" s="209" t="s">
        <v>7056</v>
      </c>
      <c r="AX38" s="1230" t="str">
        <f>Definitions_FlowLang!D75</f>
        <v>Целлюлозно-бумажная и полиграфическая промышленность</v>
      </c>
      <c r="AY38" s="1230" t="str">
        <f>Definitions_FlowLang!E75</f>
        <v>纸、纸浆和印刷</v>
      </c>
      <c r="AZ38" s="209" t="s">
        <v>322</v>
      </c>
    </row>
    <row r="39" spans="1:52" x14ac:dyDescent="0.15">
      <c r="A39" s="209" t="str">
        <f t="shared" si="13"/>
        <v>Wood and wood products</v>
      </c>
      <c r="B39" s="611"/>
      <c r="C39" s="611"/>
      <c r="D39" s="1345" t="str">
        <f t="shared" si="1"/>
        <v>..</v>
      </c>
      <c r="E39" s="611"/>
      <c r="F39" s="611"/>
      <c r="G39" s="1345" t="str">
        <f t="shared" si="2"/>
        <v>..</v>
      </c>
      <c r="H39" s="611"/>
      <c r="I39" s="611"/>
      <c r="J39" s="1345" t="str">
        <f t="shared" si="3"/>
        <v>..</v>
      </c>
      <c r="K39" s="1345" t="str">
        <f t="shared" si="4"/>
        <v>..</v>
      </c>
      <c r="L39" s="611"/>
      <c r="M39" s="611"/>
      <c r="N39" s="1345" t="str">
        <f t="shared" si="5"/>
        <v>..</v>
      </c>
      <c r="O39" s="611"/>
      <c r="P39" s="611"/>
      <c r="Q39" s="1345" t="str">
        <f t="shared" si="6"/>
        <v>..</v>
      </c>
      <c r="R39" s="611"/>
      <c r="S39" s="611"/>
      <c r="T39" s="1345" t="str">
        <f t="shared" si="7"/>
        <v>..</v>
      </c>
      <c r="U39" s="611"/>
      <c r="V39" s="611"/>
      <c r="W39" s="1345" t="str">
        <f t="shared" si="8"/>
        <v>..</v>
      </c>
      <c r="X39" s="611"/>
      <c r="Y39" s="611"/>
      <c r="Z39" s="1345" t="str">
        <f t="shared" si="9"/>
        <v>..</v>
      </c>
      <c r="AA39" s="611"/>
      <c r="AB39" s="611"/>
      <c r="AC39" s="1345" t="str">
        <f t="shared" si="10"/>
        <v>..</v>
      </c>
      <c r="AD39" s="611"/>
      <c r="AE39" s="611"/>
      <c r="AF39" s="1345" t="str">
        <f t="shared" si="11"/>
        <v>..</v>
      </c>
      <c r="AG39" s="611"/>
      <c r="AH39" s="611"/>
      <c r="AI39" s="1345" t="str">
        <f t="shared" si="12"/>
        <v>..</v>
      </c>
      <c r="AJ39" s="611"/>
      <c r="AK39" s="611"/>
      <c r="AL39" s="611"/>
      <c r="AM39" s="611"/>
      <c r="AN39" s="611"/>
      <c r="AO39" s="611"/>
      <c r="AP39" s="611"/>
      <c r="AQ39" s="611"/>
      <c r="AR39" s="611"/>
      <c r="AS39" s="611"/>
      <c r="AT39" s="611"/>
      <c r="AV39" s="209">
        <v>35</v>
      </c>
      <c r="AW39" s="1230" t="str">
        <f>Definitions_FlowLang!C76</f>
        <v>Wood and wood products</v>
      </c>
      <c r="AX39" s="1230" t="str">
        <f>Definitions_FlowLang!D76</f>
        <v>Производство древесины и деревянных изделий</v>
      </c>
      <c r="AY39" s="1230" t="str">
        <f>Definitions_FlowLang!E76</f>
        <v>木材和木材制品</v>
      </c>
      <c r="AZ39" s="209" t="s">
        <v>322</v>
      </c>
    </row>
    <row r="40" spans="1:52" x14ac:dyDescent="0.15">
      <c r="A40" s="209" t="str">
        <f t="shared" si="13"/>
        <v>Construction</v>
      </c>
      <c r="B40" s="611"/>
      <c r="C40" s="611"/>
      <c r="D40" s="1345" t="str">
        <f t="shared" si="1"/>
        <v>..</v>
      </c>
      <c r="E40" s="611"/>
      <c r="F40" s="611"/>
      <c r="G40" s="1345" t="str">
        <f t="shared" si="2"/>
        <v>..</v>
      </c>
      <c r="H40" s="611"/>
      <c r="I40" s="611"/>
      <c r="J40" s="1345" t="str">
        <f t="shared" si="3"/>
        <v>..</v>
      </c>
      <c r="K40" s="1345" t="str">
        <f t="shared" si="4"/>
        <v>..</v>
      </c>
      <c r="L40" s="611"/>
      <c r="M40" s="611"/>
      <c r="N40" s="1345" t="str">
        <f t="shared" si="5"/>
        <v>..</v>
      </c>
      <c r="O40" s="611"/>
      <c r="P40" s="611"/>
      <c r="Q40" s="1345" t="str">
        <f t="shared" si="6"/>
        <v>..</v>
      </c>
      <c r="R40" s="611"/>
      <c r="S40" s="611"/>
      <c r="T40" s="1345" t="str">
        <f t="shared" si="7"/>
        <v>..</v>
      </c>
      <c r="U40" s="611"/>
      <c r="V40" s="611"/>
      <c r="W40" s="1345" t="str">
        <f t="shared" si="8"/>
        <v>..</v>
      </c>
      <c r="X40" s="611"/>
      <c r="Y40" s="611"/>
      <c r="Z40" s="1345" t="str">
        <f t="shared" si="9"/>
        <v>..</v>
      </c>
      <c r="AA40" s="611"/>
      <c r="AB40" s="611"/>
      <c r="AC40" s="1345" t="str">
        <f t="shared" si="10"/>
        <v>..</v>
      </c>
      <c r="AD40" s="611"/>
      <c r="AE40" s="611"/>
      <c r="AF40" s="1345" t="str">
        <f t="shared" si="11"/>
        <v>..</v>
      </c>
      <c r="AG40" s="611"/>
      <c r="AH40" s="611"/>
      <c r="AI40" s="1345" t="str">
        <f t="shared" si="12"/>
        <v>..</v>
      </c>
      <c r="AJ40" s="611"/>
      <c r="AK40" s="611"/>
      <c r="AL40" s="611"/>
      <c r="AM40" s="611"/>
      <c r="AN40" s="611"/>
      <c r="AO40" s="611"/>
      <c r="AP40" s="611"/>
      <c r="AQ40" s="611"/>
      <c r="AR40" s="611"/>
      <c r="AS40" s="611"/>
      <c r="AT40" s="611"/>
      <c r="AV40" s="209">
        <v>36</v>
      </c>
      <c r="AW40" s="1230" t="str">
        <f>Definitions_FlowLang!C77</f>
        <v>Construction</v>
      </c>
      <c r="AX40" s="1230" t="str">
        <f>Definitions_FlowLang!D77</f>
        <v>Строительство</v>
      </c>
      <c r="AY40" s="1230" t="str">
        <f>Definitions_FlowLang!E77</f>
        <v>建筑</v>
      </c>
      <c r="AZ40" s="209" t="s">
        <v>322</v>
      </c>
    </row>
    <row r="41" spans="1:52" x14ac:dyDescent="0.15">
      <c r="A41" s="209" t="str">
        <f t="shared" si="13"/>
        <v>Textile and leather</v>
      </c>
      <c r="B41" s="611"/>
      <c r="C41" s="611"/>
      <c r="D41" s="1345" t="str">
        <f t="shared" si="1"/>
        <v>..</v>
      </c>
      <c r="E41" s="611"/>
      <c r="F41" s="611"/>
      <c r="G41" s="1345" t="str">
        <f t="shared" si="2"/>
        <v>..</v>
      </c>
      <c r="H41" s="611"/>
      <c r="I41" s="611"/>
      <c r="J41" s="1345" t="str">
        <f t="shared" si="3"/>
        <v>..</v>
      </c>
      <c r="K41" s="1345" t="str">
        <f t="shared" si="4"/>
        <v>..</v>
      </c>
      <c r="L41" s="611"/>
      <c r="M41" s="611"/>
      <c r="N41" s="1345" t="str">
        <f t="shared" si="5"/>
        <v>..</v>
      </c>
      <c r="O41" s="611"/>
      <c r="P41" s="611"/>
      <c r="Q41" s="1345" t="str">
        <f t="shared" si="6"/>
        <v>..</v>
      </c>
      <c r="R41" s="611"/>
      <c r="S41" s="611"/>
      <c r="T41" s="1345" t="str">
        <f t="shared" si="7"/>
        <v>..</v>
      </c>
      <c r="U41" s="611"/>
      <c r="V41" s="611"/>
      <c r="W41" s="1345" t="str">
        <f t="shared" si="8"/>
        <v>..</v>
      </c>
      <c r="X41" s="611"/>
      <c r="Y41" s="611"/>
      <c r="Z41" s="1345" t="str">
        <f t="shared" si="9"/>
        <v>..</v>
      </c>
      <c r="AA41" s="611"/>
      <c r="AB41" s="611"/>
      <c r="AC41" s="1345" t="str">
        <f t="shared" si="10"/>
        <v>..</v>
      </c>
      <c r="AD41" s="611"/>
      <c r="AE41" s="611"/>
      <c r="AF41" s="1345" t="str">
        <f t="shared" si="11"/>
        <v>..</v>
      </c>
      <c r="AG41" s="611"/>
      <c r="AH41" s="611"/>
      <c r="AI41" s="1345" t="str">
        <f t="shared" si="12"/>
        <v>..</v>
      </c>
      <c r="AJ41" s="611"/>
      <c r="AK41" s="611"/>
      <c r="AL41" s="611"/>
      <c r="AM41" s="611"/>
      <c r="AN41" s="611"/>
      <c r="AO41" s="611"/>
      <c r="AP41" s="611"/>
      <c r="AQ41" s="611"/>
      <c r="AR41" s="611"/>
      <c r="AS41" s="611"/>
      <c r="AT41" s="611"/>
      <c r="AV41" s="209">
        <v>37</v>
      </c>
      <c r="AW41" s="209" t="s">
        <v>7011</v>
      </c>
      <c r="AX41" s="1230" t="str">
        <f>Definitions_FlowLang!D78</f>
        <v>Текстильная и кожевенная промышленность</v>
      </c>
      <c r="AY41" s="1230" t="str">
        <f>Definitions_FlowLang!E78</f>
        <v>纺织品和皮革</v>
      </c>
      <c r="AZ41" s="209" t="s">
        <v>322</v>
      </c>
    </row>
    <row r="42" spans="1:52" x14ac:dyDescent="0.15">
      <c r="A42" s="209" t="str">
        <f t="shared" si="13"/>
        <v>Non-specified</v>
      </c>
      <c r="B42" s="611"/>
      <c r="C42" s="611"/>
      <c r="D42" s="1345" t="str">
        <f t="shared" si="1"/>
        <v>..</v>
      </c>
      <c r="E42" s="611"/>
      <c r="F42" s="611"/>
      <c r="G42" s="1345" t="str">
        <f t="shared" si="2"/>
        <v>..</v>
      </c>
      <c r="H42" s="611"/>
      <c r="I42" s="611"/>
      <c r="J42" s="1345" t="str">
        <f t="shared" si="3"/>
        <v>..</v>
      </c>
      <c r="K42" s="1345" t="str">
        <f t="shared" si="4"/>
        <v>..</v>
      </c>
      <c r="L42" s="611"/>
      <c r="M42" s="611"/>
      <c r="N42" s="1345" t="str">
        <f t="shared" si="5"/>
        <v>..</v>
      </c>
      <c r="O42" s="611"/>
      <c r="P42" s="611"/>
      <c r="Q42" s="1345" t="str">
        <f t="shared" si="6"/>
        <v>..</v>
      </c>
      <c r="R42" s="611"/>
      <c r="S42" s="611"/>
      <c r="T42" s="1345" t="str">
        <f t="shared" si="7"/>
        <v>..</v>
      </c>
      <c r="U42" s="611"/>
      <c r="V42" s="611"/>
      <c r="W42" s="1345" t="str">
        <f t="shared" si="8"/>
        <v>..</v>
      </c>
      <c r="X42" s="611"/>
      <c r="Y42" s="611"/>
      <c r="Z42" s="1345" t="str">
        <f t="shared" si="9"/>
        <v>..</v>
      </c>
      <c r="AA42" s="611"/>
      <c r="AB42" s="611"/>
      <c r="AC42" s="1345" t="str">
        <f t="shared" si="10"/>
        <v>..</v>
      </c>
      <c r="AD42" s="611"/>
      <c r="AE42" s="611"/>
      <c r="AF42" s="1345" t="str">
        <f t="shared" si="11"/>
        <v>..</v>
      </c>
      <c r="AG42" s="611"/>
      <c r="AH42" s="611"/>
      <c r="AI42" s="1345" t="str">
        <f t="shared" si="12"/>
        <v>..</v>
      </c>
      <c r="AJ42" s="611"/>
      <c r="AK42" s="611"/>
      <c r="AL42" s="611"/>
      <c r="AM42" s="611"/>
      <c r="AN42" s="611"/>
      <c r="AO42" s="611"/>
      <c r="AP42" s="611"/>
      <c r="AQ42" s="611"/>
      <c r="AR42" s="611"/>
      <c r="AS42" s="611"/>
      <c r="AT42" s="611"/>
      <c r="AV42" s="209">
        <v>38</v>
      </c>
      <c r="AW42" s="209" t="s">
        <v>7057</v>
      </c>
      <c r="AX42" s="209" t="s">
        <v>7058</v>
      </c>
      <c r="AY42" s="209" t="s">
        <v>1293</v>
      </c>
      <c r="AZ42" s="209" t="s">
        <v>322</v>
      </c>
    </row>
    <row r="43" spans="1:52" x14ac:dyDescent="0.15">
      <c r="A43" s="1154" t="str">
        <f t="shared" si="13"/>
        <v>TRANSPORT</v>
      </c>
      <c r="B43" s="831"/>
      <c r="C43" s="831"/>
      <c r="D43" s="1347" t="str">
        <f t="shared" si="1"/>
        <v>..</v>
      </c>
      <c r="E43" s="831"/>
      <c r="F43" s="831"/>
      <c r="G43" s="1347" t="str">
        <f t="shared" si="2"/>
        <v>..</v>
      </c>
      <c r="H43" s="831"/>
      <c r="I43" s="831"/>
      <c r="J43" s="1347" t="str">
        <f t="shared" si="3"/>
        <v>..</v>
      </c>
      <c r="K43" s="1347" t="str">
        <f t="shared" si="4"/>
        <v>..</v>
      </c>
      <c r="L43" s="831"/>
      <c r="M43" s="831"/>
      <c r="N43" s="1347" t="str">
        <f t="shared" si="5"/>
        <v>..</v>
      </c>
      <c r="O43" s="831"/>
      <c r="P43" s="831"/>
      <c r="Q43" s="1347" t="str">
        <f t="shared" si="6"/>
        <v>..</v>
      </c>
      <c r="R43" s="831"/>
      <c r="S43" s="831"/>
      <c r="T43" s="1347" t="str">
        <f t="shared" si="7"/>
        <v>..</v>
      </c>
      <c r="U43" s="831"/>
      <c r="V43" s="831"/>
      <c r="W43" s="1347" t="str">
        <f t="shared" si="8"/>
        <v>..</v>
      </c>
      <c r="X43" s="831"/>
      <c r="Y43" s="831"/>
      <c r="Z43" s="1347" t="str">
        <f t="shared" si="9"/>
        <v>..</v>
      </c>
      <c r="AA43" s="831"/>
      <c r="AB43" s="831"/>
      <c r="AC43" s="1347" t="str">
        <f t="shared" si="10"/>
        <v>..</v>
      </c>
      <c r="AD43" s="831"/>
      <c r="AE43" s="831"/>
      <c r="AF43" s="1347" t="str">
        <f t="shared" si="11"/>
        <v>..</v>
      </c>
      <c r="AG43" s="831"/>
      <c r="AH43" s="831"/>
      <c r="AI43" s="1352" t="str">
        <f t="shared" si="12"/>
        <v>..</v>
      </c>
      <c r="AJ43" s="612"/>
      <c r="AK43" s="612"/>
      <c r="AL43" s="612"/>
      <c r="AM43" s="612"/>
      <c r="AN43" s="612"/>
      <c r="AO43" s="612"/>
      <c r="AP43" s="612"/>
      <c r="AQ43" s="612"/>
      <c r="AR43" s="612"/>
      <c r="AS43" s="612"/>
      <c r="AT43" s="612"/>
      <c r="AV43" s="209">
        <v>39</v>
      </c>
      <c r="AW43" s="1230" t="str">
        <f>UPPER(Definitions_FlowLang!C80)</f>
        <v>TRANSPORT</v>
      </c>
      <c r="AX43" s="1230" t="str">
        <f>UPPER(Definitions_FlowLang!D80)</f>
        <v>СЕКТОР ТРАНСПОРТА</v>
      </c>
      <c r="AY43" s="1230" t="str">
        <f>UPPER(Definitions_FlowLang!E80)</f>
        <v>交通运输部门</v>
      </c>
      <c r="AZ43" s="209" t="s">
        <v>322</v>
      </c>
    </row>
    <row r="44" spans="1:52" x14ac:dyDescent="0.15">
      <c r="A44" s="209" t="str">
        <f t="shared" si="13"/>
        <v>Domestic aviation</v>
      </c>
      <c r="B44" s="611"/>
      <c r="C44" s="611"/>
      <c r="D44" s="1345" t="str">
        <f t="shared" si="1"/>
        <v>..</v>
      </c>
      <c r="E44" s="611"/>
      <c r="F44" s="611"/>
      <c r="G44" s="1345" t="str">
        <f t="shared" si="2"/>
        <v>..</v>
      </c>
      <c r="H44" s="611"/>
      <c r="I44" s="611"/>
      <c r="J44" s="1345" t="str">
        <f t="shared" si="3"/>
        <v>..</v>
      </c>
      <c r="K44" s="1345" t="str">
        <f t="shared" si="4"/>
        <v>..</v>
      </c>
      <c r="L44" s="611"/>
      <c r="M44" s="611"/>
      <c r="N44" s="1345" t="str">
        <f t="shared" si="5"/>
        <v>..</v>
      </c>
      <c r="O44" s="611"/>
      <c r="P44" s="611"/>
      <c r="Q44" s="1345" t="str">
        <f t="shared" si="6"/>
        <v>..</v>
      </c>
      <c r="R44" s="611"/>
      <c r="S44" s="611"/>
      <c r="T44" s="1345" t="str">
        <f t="shared" si="7"/>
        <v>..</v>
      </c>
      <c r="U44" s="611"/>
      <c r="V44" s="611"/>
      <c r="W44" s="1345" t="str">
        <f t="shared" si="8"/>
        <v>..</v>
      </c>
      <c r="X44" s="611"/>
      <c r="Y44" s="611"/>
      <c r="Z44" s="1345" t="str">
        <f t="shared" si="9"/>
        <v>..</v>
      </c>
      <c r="AA44" s="611"/>
      <c r="AB44" s="611"/>
      <c r="AC44" s="1345" t="str">
        <f t="shared" si="10"/>
        <v>..</v>
      </c>
      <c r="AD44" s="611"/>
      <c r="AE44" s="611"/>
      <c r="AF44" s="1345" t="str">
        <f t="shared" si="11"/>
        <v>..</v>
      </c>
      <c r="AG44" s="611"/>
      <c r="AH44" s="611"/>
      <c r="AI44" s="1345" t="str">
        <f t="shared" si="12"/>
        <v>..</v>
      </c>
      <c r="AJ44" s="611"/>
      <c r="AK44" s="611"/>
      <c r="AL44" s="611"/>
      <c r="AM44" s="611"/>
      <c r="AN44" s="611"/>
      <c r="AO44" s="611"/>
      <c r="AP44" s="611"/>
      <c r="AQ44" s="611"/>
      <c r="AR44" s="611"/>
      <c r="AS44" s="611"/>
      <c r="AT44" s="611"/>
      <c r="AV44" s="209">
        <v>40</v>
      </c>
      <c r="AW44" s="1230" t="str">
        <f>Definitions_FlowLang!C81</f>
        <v>Domestic aviation</v>
      </c>
      <c r="AX44" s="1230" t="str">
        <f>Definitions_FlowLang!D81</f>
        <v>Внутренний воздушный транспорт</v>
      </c>
      <c r="AY44" s="1230" t="str">
        <f>Definitions_FlowLang!E81</f>
        <v>国内航空</v>
      </c>
      <c r="AZ44" s="209" t="s">
        <v>322</v>
      </c>
    </row>
    <row r="45" spans="1:52" x14ac:dyDescent="0.15">
      <c r="A45" s="209" t="str">
        <f t="shared" si="13"/>
        <v>Road</v>
      </c>
      <c r="B45" s="611"/>
      <c r="C45" s="611"/>
      <c r="D45" s="1345" t="str">
        <f t="shared" si="1"/>
        <v>..</v>
      </c>
      <c r="E45" s="611"/>
      <c r="F45" s="611"/>
      <c r="G45" s="1345" t="str">
        <f t="shared" si="2"/>
        <v>..</v>
      </c>
      <c r="H45" s="611"/>
      <c r="I45" s="611"/>
      <c r="J45" s="1345" t="str">
        <f t="shared" si="3"/>
        <v>..</v>
      </c>
      <c r="K45" s="1351" t="str">
        <f t="shared" si="4"/>
        <v>..</v>
      </c>
      <c r="L45" s="611"/>
      <c r="M45" s="611"/>
      <c r="N45" s="1345" t="str">
        <f t="shared" si="5"/>
        <v>..</v>
      </c>
      <c r="O45" s="611"/>
      <c r="P45" s="611"/>
      <c r="Q45" s="1345" t="str">
        <f t="shared" si="6"/>
        <v>..</v>
      </c>
      <c r="R45" s="611"/>
      <c r="S45" s="611"/>
      <c r="T45" s="1345" t="str">
        <f t="shared" si="7"/>
        <v>..</v>
      </c>
      <c r="U45" s="611"/>
      <c r="V45" s="611"/>
      <c r="W45" s="1345" t="str">
        <f t="shared" si="8"/>
        <v>..</v>
      </c>
      <c r="X45" s="611"/>
      <c r="Y45" s="611"/>
      <c r="Z45" s="1345" t="str">
        <f t="shared" si="9"/>
        <v>..</v>
      </c>
      <c r="AA45" s="611"/>
      <c r="AB45" s="611"/>
      <c r="AC45" s="1345" t="str">
        <f t="shared" si="10"/>
        <v>..</v>
      </c>
      <c r="AD45" s="611"/>
      <c r="AE45" s="611"/>
      <c r="AF45" s="1345" t="str">
        <f t="shared" si="11"/>
        <v>..</v>
      </c>
      <c r="AG45" s="611"/>
      <c r="AH45" s="611"/>
      <c r="AI45" s="1345" t="str">
        <f t="shared" si="12"/>
        <v>..</v>
      </c>
      <c r="AJ45" s="611"/>
      <c r="AK45" s="611"/>
      <c r="AL45" s="611"/>
      <c r="AM45" s="611"/>
      <c r="AN45" s="611"/>
      <c r="AO45" s="611"/>
      <c r="AP45" s="611"/>
      <c r="AQ45" s="611"/>
      <c r="AR45" s="611"/>
      <c r="AS45" s="611"/>
      <c r="AT45" s="611"/>
      <c r="AV45" s="209">
        <v>41</v>
      </c>
      <c r="AW45" s="1230" t="str">
        <f>Definitions_FlowLang!C82</f>
        <v>Road</v>
      </c>
      <c r="AX45" s="1230" t="str">
        <f>Definitions_FlowLang!D82</f>
        <v>Автоперевозки</v>
      </c>
      <c r="AY45" s="1230" t="str">
        <f>Definitions_FlowLang!E82</f>
        <v>公路</v>
      </c>
      <c r="AZ45" s="209" t="s">
        <v>322</v>
      </c>
    </row>
    <row r="46" spans="1:52" x14ac:dyDescent="0.15">
      <c r="A46" s="209" t="str">
        <f t="shared" si="13"/>
        <v>Rail</v>
      </c>
      <c r="B46" s="611"/>
      <c r="C46" s="611"/>
      <c r="D46" s="1345" t="str">
        <f t="shared" si="1"/>
        <v>..</v>
      </c>
      <c r="E46" s="611"/>
      <c r="F46" s="611"/>
      <c r="G46" s="1345" t="str">
        <f t="shared" si="2"/>
        <v>..</v>
      </c>
      <c r="H46" s="611"/>
      <c r="I46" s="611"/>
      <c r="J46" s="1345" t="str">
        <f t="shared" si="3"/>
        <v>..</v>
      </c>
      <c r="K46" s="1345" t="str">
        <f t="shared" si="4"/>
        <v>..</v>
      </c>
      <c r="L46" s="611"/>
      <c r="M46" s="611"/>
      <c r="N46" s="1345" t="str">
        <f t="shared" si="5"/>
        <v>..</v>
      </c>
      <c r="O46" s="611"/>
      <c r="P46" s="611"/>
      <c r="Q46" s="1345" t="str">
        <f t="shared" si="6"/>
        <v>..</v>
      </c>
      <c r="R46" s="611"/>
      <c r="S46" s="611"/>
      <c r="T46" s="1345" t="str">
        <f t="shared" si="7"/>
        <v>..</v>
      </c>
      <c r="U46" s="611"/>
      <c r="V46" s="611"/>
      <c r="W46" s="1345" t="str">
        <f t="shared" si="8"/>
        <v>..</v>
      </c>
      <c r="X46" s="611"/>
      <c r="Y46" s="611"/>
      <c r="Z46" s="1345" t="str">
        <f t="shared" si="9"/>
        <v>..</v>
      </c>
      <c r="AA46" s="611"/>
      <c r="AB46" s="611"/>
      <c r="AC46" s="1345" t="str">
        <f t="shared" si="10"/>
        <v>..</v>
      </c>
      <c r="AD46" s="611"/>
      <c r="AE46" s="611"/>
      <c r="AF46" s="1345" t="str">
        <f t="shared" si="11"/>
        <v>..</v>
      </c>
      <c r="AG46" s="611"/>
      <c r="AH46" s="611"/>
      <c r="AI46" s="1345" t="str">
        <f t="shared" si="12"/>
        <v>..</v>
      </c>
      <c r="AJ46" s="611"/>
      <c r="AK46" s="611"/>
      <c r="AL46" s="611"/>
      <c r="AM46" s="611"/>
      <c r="AN46" s="611"/>
      <c r="AO46" s="611"/>
      <c r="AP46" s="611"/>
      <c r="AQ46" s="611"/>
      <c r="AR46" s="611"/>
      <c r="AS46" s="611"/>
      <c r="AT46" s="611"/>
      <c r="AV46" s="209">
        <v>42</v>
      </c>
      <c r="AW46" s="1230" t="str">
        <f>Definitions_FlowLang!C83</f>
        <v>Rail</v>
      </c>
      <c r="AX46" s="1230" t="str">
        <f>Definitions_FlowLang!D83</f>
        <v>Железные дороги</v>
      </c>
      <c r="AY46" s="1230" t="str">
        <f>Definitions_FlowLang!E83</f>
        <v>铁路</v>
      </c>
      <c r="AZ46" s="209" t="s">
        <v>322</v>
      </c>
    </row>
    <row r="47" spans="1:52" x14ac:dyDescent="0.15">
      <c r="A47" s="209" t="str">
        <f t="shared" si="13"/>
        <v>Pipeline transport</v>
      </c>
      <c r="B47" s="611"/>
      <c r="C47" s="611"/>
      <c r="D47" s="1345" t="str">
        <f t="shared" si="1"/>
        <v>..</v>
      </c>
      <c r="E47" s="611"/>
      <c r="F47" s="611"/>
      <c r="G47" s="1345" t="str">
        <f t="shared" si="2"/>
        <v>..</v>
      </c>
      <c r="H47" s="611"/>
      <c r="I47" s="611"/>
      <c r="J47" s="1345" t="str">
        <f t="shared" si="3"/>
        <v>..</v>
      </c>
      <c r="K47" s="1345" t="str">
        <f t="shared" si="4"/>
        <v>..</v>
      </c>
      <c r="L47" s="611"/>
      <c r="M47" s="611"/>
      <c r="N47" s="1345" t="str">
        <f t="shared" si="5"/>
        <v>..</v>
      </c>
      <c r="O47" s="611"/>
      <c r="P47" s="611"/>
      <c r="Q47" s="1345" t="str">
        <f t="shared" si="6"/>
        <v>..</v>
      </c>
      <c r="R47" s="611"/>
      <c r="S47" s="611"/>
      <c r="T47" s="1345" t="str">
        <f t="shared" si="7"/>
        <v>..</v>
      </c>
      <c r="U47" s="611"/>
      <c r="V47" s="611"/>
      <c r="W47" s="1345" t="str">
        <f t="shared" si="8"/>
        <v>..</v>
      </c>
      <c r="X47" s="611"/>
      <c r="Y47" s="611"/>
      <c r="Z47" s="1345" t="str">
        <f t="shared" si="9"/>
        <v>..</v>
      </c>
      <c r="AA47" s="611"/>
      <c r="AB47" s="611"/>
      <c r="AC47" s="1345" t="str">
        <f t="shared" si="10"/>
        <v>..</v>
      </c>
      <c r="AD47" s="611"/>
      <c r="AE47" s="611"/>
      <c r="AF47" s="1345" t="str">
        <f t="shared" si="11"/>
        <v>..</v>
      </c>
      <c r="AG47" s="611"/>
      <c r="AH47" s="611"/>
      <c r="AI47" s="1345" t="str">
        <f t="shared" si="12"/>
        <v>..</v>
      </c>
      <c r="AJ47" s="611"/>
      <c r="AK47" s="611"/>
      <c r="AL47" s="611"/>
      <c r="AM47" s="611"/>
      <c r="AN47" s="611"/>
      <c r="AO47" s="611"/>
      <c r="AP47" s="611"/>
      <c r="AQ47" s="611"/>
      <c r="AR47" s="611"/>
      <c r="AS47" s="611"/>
      <c r="AT47" s="611"/>
      <c r="AV47" s="209">
        <v>43</v>
      </c>
      <c r="AW47" s="1230" t="str">
        <f>Definitions_FlowLang!C84</f>
        <v>Pipeline transport</v>
      </c>
      <c r="AX47" s="1230" t="str">
        <f>Definitions_FlowLang!D84</f>
        <v>Транспортировк а по трубопроводам</v>
      </c>
      <c r="AY47" s="1230" t="str">
        <f>Definitions_FlowLang!E84</f>
        <v>管道运输</v>
      </c>
      <c r="AZ47" s="209" t="s">
        <v>322</v>
      </c>
    </row>
    <row r="48" spans="1:52" x14ac:dyDescent="0.15">
      <c r="A48" s="209" t="str">
        <f t="shared" si="13"/>
        <v>Domestic navigation</v>
      </c>
      <c r="B48" s="611"/>
      <c r="C48" s="611"/>
      <c r="D48" s="1345" t="str">
        <f t="shared" si="1"/>
        <v>..</v>
      </c>
      <c r="E48" s="611"/>
      <c r="F48" s="611"/>
      <c r="G48" s="1345" t="str">
        <f t="shared" si="2"/>
        <v>..</v>
      </c>
      <c r="H48" s="611"/>
      <c r="I48" s="611"/>
      <c r="J48" s="1345" t="str">
        <f t="shared" si="3"/>
        <v>..</v>
      </c>
      <c r="K48" s="1345" t="str">
        <f t="shared" si="4"/>
        <v>..</v>
      </c>
      <c r="L48" s="611"/>
      <c r="M48" s="611"/>
      <c r="N48" s="1345" t="str">
        <f t="shared" si="5"/>
        <v>..</v>
      </c>
      <c r="O48" s="611"/>
      <c r="P48" s="611"/>
      <c r="Q48" s="1345" t="str">
        <f t="shared" si="6"/>
        <v>..</v>
      </c>
      <c r="R48" s="611"/>
      <c r="S48" s="611"/>
      <c r="T48" s="1345" t="str">
        <f t="shared" si="7"/>
        <v>..</v>
      </c>
      <c r="U48" s="611"/>
      <c r="V48" s="611"/>
      <c r="W48" s="1345" t="str">
        <f t="shared" si="8"/>
        <v>..</v>
      </c>
      <c r="X48" s="611"/>
      <c r="Y48" s="611"/>
      <c r="Z48" s="1345" t="str">
        <f t="shared" si="9"/>
        <v>..</v>
      </c>
      <c r="AA48" s="611"/>
      <c r="AB48" s="611"/>
      <c r="AC48" s="1345" t="str">
        <f t="shared" si="10"/>
        <v>..</v>
      </c>
      <c r="AD48" s="611"/>
      <c r="AE48" s="611"/>
      <c r="AF48" s="1345" t="str">
        <f t="shared" si="11"/>
        <v>..</v>
      </c>
      <c r="AG48" s="611"/>
      <c r="AH48" s="611"/>
      <c r="AI48" s="1345" t="str">
        <f t="shared" si="12"/>
        <v>..</v>
      </c>
      <c r="AJ48" s="611"/>
      <c r="AK48" s="611"/>
      <c r="AL48" s="611"/>
      <c r="AM48" s="611"/>
      <c r="AN48" s="611"/>
      <c r="AO48" s="611"/>
      <c r="AP48" s="611"/>
      <c r="AQ48" s="611"/>
      <c r="AR48" s="611"/>
      <c r="AS48" s="611"/>
      <c r="AT48" s="611"/>
      <c r="AV48" s="209">
        <v>44</v>
      </c>
      <c r="AW48" s="1230" t="str">
        <f>Definitions_FlowLang!C85</f>
        <v>Domestic navigation</v>
      </c>
      <c r="AX48" s="1230" t="str">
        <f>Definitions_FlowLang!D85</f>
        <v>Внутренний водный транспорт</v>
      </c>
      <c r="AY48" s="1230" t="str">
        <f>Definitions_FlowLang!E85</f>
        <v>国内航运</v>
      </c>
      <c r="AZ48" s="209" t="s">
        <v>322</v>
      </c>
    </row>
    <row r="49" spans="1:52" x14ac:dyDescent="0.15">
      <c r="A49" s="209" t="str">
        <f t="shared" si="13"/>
        <v>Non-specified</v>
      </c>
      <c r="B49" s="611"/>
      <c r="C49" s="611"/>
      <c r="D49" s="1345" t="str">
        <f t="shared" si="1"/>
        <v>..</v>
      </c>
      <c r="E49" s="611"/>
      <c r="F49" s="611"/>
      <c r="G49" s="1345" t="str">
        <f t="shared" si="2"/>
        <v>..</v>
      </c>
      <c r="H49" s="611"/>
      <c r="I49" s="611"/>
      <c r="J49" s="1345" t="str">
        <f t="shared" si="3"/>
        <v>..</v>
      </c>
      <c r="K49" s="1345" t="str">
        <f t="shared" si="4"/>
        <v>..</v>
      </c>
      <c r="L49" s="611"/>
      <c r="M49" s="611"/>
      <c r="N49" s="1345" t="str">
        <f t="shared" si="5"/>
        <v>..</v>
      </c>
      <c r="O49" s="611"/>
      <c r="P49" s="611"/>
      <c r="Q49" s="1345" t="str">
        <f t="shared" si="6"/>
        <v>..</v>
      </c>
      <c r="R49" s="611"/>
      <c r="S49" s="611"/>
      <c r="T49" s="1345" t="str">
        <f t="shared" si="7"/>
        <v>..</v>
      </c>
      <c r="U49" s="611"/>
      <c r="V49" s="611"/>
      <c r="W49" s="1345" t="str">
        <f t="shared" si="8"/>
        <v>..</v>
      </c>
      <c r="X49" s="611"/>
      <c r="Y49" s="611"/>
      <c r="Z49" s="1345" t="str">
        <f t="shared" si="9"/>
        <v>..</v>
      </c>
      <c r="AA49" s="611"/>
      <c r="AB49" s="611"/>
      <c r="AC49" s="1345" t="str">
        <f t="shared" si="10"/>
        <v>..</v>
      </c>
      <c r="AD49" s="611"/>
      <c r="AE49" s="611"/>
      <c r="AF49" s="1345" t="str">
        <f t="shared" si="11"/>
        <v>..</v>
      </c>
      <c r="AG49" s="611"/>
      <c r="AH49" s="611"/>
      <c r="AI49" s="1345" t="str">
        <f t="shared" si="12"/>
        <v>..</v>
      </c>
      <c r="AJ49" s="611"/>
      <c r="AK49" s="611"/>
      <c r="AL49" s="611"/>
      <c r="AM49" s="611"/>
      <c r="AN49" s="611"/>
      <c r="AO49" s="611"/>
      <c r="AP49" s="611"/>
      <c r="AQ49" s="611"/>
      <c r="AR49" s="611"/>
      <c r="AS49" s="611"/>
      <c r="AT49" s="611"/>
      <c r="AV49" s="209">
        <v>45</v>
      </c>
      <c r="AW49" s="209" t="s">
        <v>7057</v>
      </c>
      <c r="AX49" s="209" t="s">
        <v>7058</v>
      </c>
      <c r="AY49" s="209" t="s">
        <v>1293</v>
      </c>
      <c r="AZ49" s="209" t="s">
        <v>322</v>
      </c>
    </row>
    <row r="50" spans="1:52" x14ac:dyDescent="0.15">
      <c r="A50" s="1154" t="str">
        <f t="shared" si="13"/>
        <v>OTHER</v>
      </c>
      <c r="B50" s="831"/>
      <c r="C50" s="831"/>
      <c r="D50" s="1347" t="str">
        <f t="shared" si="1"/>
        <v>..</v>
      </c>
      <c r="E50" s="831"/>
      <c r="F50" s="831"/>
      <c r="G50" s="1347" t="str">
        <f t="shared" si="2"/>
        <v>..</v>
      </c>
      <c r="H50" s="831"/>
      <c r="I50" s="831"/>
      <c r="J50" s="1347" t="str">
        <f t="shared" si="3"/>
        <v>..</v>
      </c>
      <c r="K50" s="1347" t="str">
        <f t="shared" si="4"/>
        <v>..</v>
      </c>
      <c r="L50" s="831"/>
      <c r="M50" s="831"/>
      <c r="N50" s="1347" t="str">
        <f t="shared" si="5"/>
        <v>..</v>
      </c>
      <c r="O50" s="831"/>
      <c r="P50" s="831"/>
      <c r="Q50" s="1347" t="str">
        <f t="shared" si="6"/>
        <v>..</v>
      </c>
      <c r="R50" s="831"/>
      <c r="S50" s="831"/>
      <c r="T50" s="1347" t="str">
        <f t="shared" si="7"/>
        <v>..</v>
      </c>
      <c r="U50" s="831"/>
      <c r="V50" s="831"/>
      <c r="W50" s="1347" t="str">
        <f t="shared" si="8"/>
        <v>..</v>
      </c>
      <c r="X50" s="831"/>
      <c r="Y50" s="831"/>
      <c r="Z50" s="1347" t="str">
        <f t="shared" si="9"/>
        <v>..</v>
      </c>
      <c r="AA50" s="831"/>
      <c r="AB50" s="831"/>
      <c r="AC50" s="1347" t="str">
        <f t="shared" si="10"/>
        <v>..</v>
      </c>
      <c r="AD50" s="831"/>
      <c r="AE50" s="831"/>
      <c r="AF50" s="1347" t="str">
        <f t="shared" si="11"/>
        <v>..</v>
      </c>
      <c r="AG50" s="831"/>
      <c r="AH50" s="831"/>
      <c r="AI50" s="1347" t="str">
        <f t="shared" si="12"/>
        <v>..</v>
      </c>
      <c r="AJ50" s="612"/>
      <c r="AK50" s="612"/>
      <c r="AL50" s="612"/>
      <c r="AM50" s="612"/>
      <c r="AN50" s="612"/>
      <c r="AO50" s="612"/>
      <c r="AP50" s="612"/>
      <c r="AQ50" s="612"/>
      <c r="AR50" s="612"/>
      <c r="AS50" s="612"/>
      <c r="AT50" s="612"/>
      <c r="AV50" s="209">
        <v>46</v>
      </c>
      <c r="AW50" s="1230" t="str">
        <f>UPPER(Definitions_FlowLang!C87)</f>
        <v>OTHER</v>
      </c>
      <c r="AX50" s="1230" t="str">
        <f>UPPER(Definitions_FlowLang!D87)</f>
        <v>ДРУГИЕ</v>
      </c>
      <c r="AY50" s="1230" t="str">
        <f>UPPER(Definitions_FlowLang!E87)</f>
        <v>其他部门</v>
      </c>
      <c r="AZ50" s="209" t="s">
        <v>322</v>
      </c>
    </row>
    <row r="51" spans="1:52" x14ac:dyDescent="0.15">
      <c r="A51" s="209" t="str">
        <f t="shared" si="13"/>
        <v>Residential</v>
      </c>
      <c r="B51" s="611"/>
      <c r="C51" s="611"/>
      <c r="D51" s="1345" t="str">
        <f t="shared" si="1"/>
        <v>..</v>
      </c>
      <c r="E51" s="611"/>
      <c r="F51" s="611"/>
      <c r="G51" s="1345" t="str">
        <f t="shared" si="2"/>
        <v>..</v>
      </c>
      <c r="H51" s="611"/>
      <c r="I51" s="611"/>
      <c r="J51" s="1345" t="str">
        <f t="shared" si="3"/>
        <v>..</v>
      </c>
      <c r="K51" s="1345" t="str">
        <f t="shared" si="4"/>
        <v>..</v>
      </c>
      <c r="L51" s="611"/>
      <c r="M51" s="611"/>
      <c r="N51" s="1345" t="str">
        <f t="shared" si="5"/>
        <v>..</v>
      </c>
      <c r="O51" s="611"/>
      <c r="P51" s="611"/>
      <c r="Q51" s="1345" t="str">
        <f t="shared" si="6"/>
        <v>..</v>
      </c>
      <c r="R51" s="611"/>
      <c r="S51" s="611"/>
      <c r="T51" s="1345" t="str">
        <f t="shared" si="7"/>
        <v>..</v>
      </c>
      <c r="U51" s="611"/>
      <c r="V51" s="611"/>
      <c r="W51" s="1345" t="str">
        <f t="shared" si="8"/>
        <v>..</v>
      </c>
      <c r="X51" s="611"/>
      <c r="Y51" s="611"/>
      <c r="Z51" s="1345" t="str">
        <f t="shared" si="9"/>
        <v>..</v>
      </c>
      <c r="AA51" s="611"/>
      <c r="AB51" s="611"/>
      <c r="AC51" s="1345" t="str">
        <f t="shared" si="10"/>
        <v>..</v>
      </c>
      <c r="AD51" s="611"/>
      <c r="AE51" s="611"/>
      <c r="AF51" s="1345" t="str">
        <f t="shared" si="11"/>
        <v>..</v>
      </c>
      <c r="AG51" s="611"/>
      <c r="AH51" s="611"/>
      <c r="AI51" s="1351" t="str">
        <f t="shared" si="12"/>
        <v>..</v>
      </c>
      <c r="AJ51" s="611"/>
      <c r="AK51" s="611"/>
      <c r="AL51" s="611"/>
      <c r="AM51" s="611"/>
      <c r="AN51" s="611"/>
      <c r="AO51" s="611"/>
      <c r="AP51" s="611"/>
      <c r="AQ51" s="611"/>
      <c r="AR51" s="611"/>
      <c r="AS51" s="611"/>
      <c r="AT51" s="611"/>
      <c r="AV51" s="209">
        <v>47</v>
      </c>
      <c r="AW51" s="1230" t="str">
        <f>Definitions_FlowLang!C88</f>
        <v>Residential</v>
      </c>
      <c r="AX51" s="1230" t="str">
        <f>Definitions_FlowLang!D88</f>
        <v>Жилищный сектор</v>
      </c>
      <c r="AY51" s="1230" t="str">
        <f>Definitions_FlowLang!E88</f>
        <v>居民生活</v>
      </c>
      <c r="AZ51" s="209" t="s">
        <v>322</v>
      </c>
    </row>
    <row r="52" spans="1:52" x14ac:dyDescent="0.15">
      <c r="A52" s="209" t="str">
        <f t="shared" si="13"/>
        <v>Comm. and public services</v>
      </c>
      <c r="B52" s="611"/>
      <c r="C52" s="611"/>
      <c r="D52" s="1345" t="str">
        <f t="shared" si="1"/>
        <v>..</v>
      </c>
      <c r="E52" s="611"/>
      <c r="F52" s="611"/>
      <c r="G52" s="1345" t="str">
        <f t="shared" si="2"/>
        <v>..</v>
      </c>
      <c r="H52" s="611"/>
      <c r="I52" s="611"/>
      <c r="J52" s="1345" t="str">
        <f t="shared" si="3"/>
        <v>..</v>
      </c>
      <c r="K52" s="1345" t="str">
        <f t="shared" si="4"/>
        <v>..</v>
      </c>
      <c r="L52" s="611"/>
      <c r="M52" s="611"/>
      <c r="N52" s="1345" t="str">
        <f t="shared" si="5"/>
        <v>..</v>
      </c>
      <c r="O52" s="611"/>
      <c r="P52" s="611"/>
      <c r="Q52" s="1345" t="str">
        <f t="shared" si="6"/>
        <v>..</v>
      </c>
      <c r="R52" s="611"/>
      <c r="S52" s="611"/>
      <c r="T52" s="1345" t="str">
        <f t="shared" si="7"/>
        <v>..</v>
      </c>
      <c r="U52" s="611"/>
      <c r="V52" s="611"/>
      <c r="W52" s="1345" t="str">
        <f t="shared" si="8"/>
        <v>..</v>
      </c>
      <c r="X52" s="611"/>
      <c r="Y52" s="611"/>
      <c r="Z52" s="1345" t="str">
        <f t="shared" si="9"/>
        <v>..</v>
      </c>
      <c r="AA52" s="611"/>
      <c r="AB52" s="611"/>
      <c r="AC52" s="1345" t="str">
        <f t="shared" si="10"/>
        <v>..</v>
      </c>
      <c r="AD52" s="611"/>
      <c r="AE52" s="611"/>
      <c r="AF52" s="1345" t="str">
        <f t="shared" si="11"/>
        <v>..</v>
      </c>
      <c r="AG52" s="611"/>
      <c r="AH52" s="611"/>
      <c r="AI52" s="1345" t="str">
        <f t="shared" si="12"/>
        <v>..</v>
      </c>
      <c r="AJ52" s="611"/>
      <c r="AK52" s="611"/>
      <c r="AL52" s="611"/>
      <c r="AM52" s="611"/>
      <c r="AN52" s="611"/>
      <c r="AO52" s="611"/>
      <c r="AP52" s="611"/>
      <c r="AQ52" s="611"/>
      <c r="AR52" s="611"/>
      <c r="AS52" s="611"/>
      <c r="AT52" s="611"/>
      <c r="AV52" s="209">
        <v>48</v>
      </c>
      <c r="AW52" s="209" t="s">
        <v>7059</v>
      </c>
      <c r="AX52" s="1230" t="str">
        <f>Definitions_FlowLang!D89</f>
        <v>Коммерческие предприятия и государственные учреждения</v>
      </c>
      <c r="AY52" s="1230" t="str">
        <f>Definitions_FlowLang!E89</f>
        <v>商业和公共服务</v>
      </c>
      <c r="AZ52" s="209" t="s">
        <v>322</v>
      </c>
    </row>
    <row r="53" spans="1:52" x14ac:dyDescent="0.15">
      <c r="A53" s="209" t="str">
        <f t="shared" si="13"/>
        <v>Agriculture/forestry</v>
      </c>
      <c r="B53" s="611"/>
      <c r="C53" s="611"/>
      <c r="D53" s="1345" t="str">
        <f t="shared" si="1"/>
        <v>..</v>
      </c>
      <c r="E53" s="611"/>
      <c r="F53" s="611"/>
      <c r="G53" s="1345" t="str">
        <f t="shared" si="2"/>
        <v>..</v>
      </c>
      <c r="H53" s="611"/>
      <c r="I53" s="611"/>
      <c r="J53" s="1345" t="str">
        <f t="shared" si="3"/>
        <v>..</v>
      </c>
      <c r="K53" s="1345" t="str">
        <f t="shared" si="4"/>
        <v>..</v>
      </c>
      <c r="L53" s="611"/>
      <c r="M53" s="611"/>
      <c r="N53" s="1345" t="str">
        <f t="shared" si="5"/>
        <v>..</v>
      </c>
      <c r="O53" s="611"/>
      <c r="P53" s="611"/>
      <c r="Q53" s="1345" t="str">
        <f t="shared" si="6"/>
        <v>..</v>
      </c>
      <c r="R53" s="611"/>
      <c r="S53" s="611"/>
      <c r="T53" s="1345" t="str">
        <f t="shared" si="7"/>
        <v>..</v>
      </c>
      <c r="U53" s="611"/>
      <c r="V53" s="611"/>
      <c r="W53" s="1345" t="str">
        <f t="shared" si="8"/>
        <v>..</v>
      </c>
      <c r="X53" s="611"/>
      <c r="Y53" s="611"/>
      <c r="Z53" s="1345" t="str">
        <f t="shared" si="9"/>
        <v>..</v>
      </c>
      <c r="AA53" s="611"/>
      <c r="AB53" s="611"/>
      <c r="AC53" s="1345" t="str">
        <f t="shared" si="10"/>
        <v>..</v>
      </c>
      <c r="AD53" s="611"/>
      <c r="AE53" s="611"/>
      <c r="AF53" s="1345" t="str">
        <f t="shared" si="11"/>
        <v>..</v>
      </c>
      <c r="AG53" s="611"/>
      <c r="AH53" s="611"/>
      <c r="AI53" s="1345" t="str">
        <f t="shared" si="12"/>
        <v>..</v>
      </c>
      <c r="AJ53" s="611"/>
      <c r="AK53" s="611"/>
      <c r="AL53" s="611"/>
      <c r="AM53" s="611"/>
      <c r="AN53" s="611"/>
      <c r="AO53" s="611"/>
      <c r="AP53" s="611"/>
      <c r="AQ53" s="611"/>
      <c r="AR53" s="611"/>
      <c r="AS53" s="611"/>
      <c r="AT53" s="611"/>
      <c r="AV53" s="209">
        <v>49</v>
      </c>
      <c r="AW53" s="1230" t="str">
        <f>Definitions_FlowLang!C90</f>
        <v>Agriculture/forestry</v>
      </c>
      <c r="AX53" s="1230" t="str">
        <f>Definitions_FlowLang!D90</f>
        <v>Сельское хозяйство</v>
      </c>
      <c r="AY53" s="1230" t="str">
        <f>Definitions_FlowLang!E90</f>
        <v>农业/林业</v>
      </c>
      <c r="AZ53" s="209" t="s">
        <v>322</v>
      </c>
    </row>
    <row r="54" spans="1:52" x14ac:dyDescent="0.15">
      <c r="A54" s="209" t="str">
        <f t="shared" si="13"/>
        <v>Fishing</v>
      </c>
      <c r="B54" s="611"/>
      <c r="C54" s="611"/>
      <c r="D54" s="1345" t="str">
        <f t="shared" si="1"/>
        <v>..</v>
      </c>
      <c r="E54" s="611"/>
      <c r="F54" s="611"/>
      <c r="G54" s="1345" t="str">
        <f t="shared" si="2"/>
        <v>..</v>
      </c>
      <c r="H54" s="611"/>
      <c r="I54" s="611"/>
      <c r="J54" s="1345" t="str">
        <f t="shared" si="3"/>
        <v>..</v>
      </c>
      <c r="K54" s="1345" t="str">
        <f t="shared" si="4"/>
        <v>..</v>
      </c>
      <c r="L54" s="611"/>
      <c r="M54" s="611"/>
      <c r="N54" s="1345" t="str">
        <f t="shared" si="5"/>
        <v>..</v>
      </c>
      <c r="O54" s="611"/>
      <c r="P54" s="611"/>
      <c r="Q54" s="1345" t="str">
        <f t="shared" si="6"/>
        <v>..</v>
      </c>
      <c r="R54" s="611"/>
      <c r="S54" s="611"/>
      <c r="T54" s="1345" t="str">
        <f t="shared" si="7"/>
        <v>..</v>
      </c>
      <c r="U54" s="611"/>
      <c r="V54" s="611"/>
      <c r="W54" s="1345" t="str">
        <f t="shared" si="8"/>
        <v>..</v>
      </c>
      <c r="X54" s="611"/>
      <c r="Y54" s="611"/>
      <c r="Z54" s="1345" t="str">
        <f t="shared" si="9"/>
        <v>..</v>
      </c>
      <c r="AA54" s="611"/>
      <c r="AB54" s="611"/>
      <c r="AC54" s="1345" t="str">
        <f t="shared" si="10"/>
        <v>..</v>
      </c>
      <c r="AD54" s="611"/>
      <c r="AE54" s="611"/>
      <c r="AF54" s="1345" t="str">
        <f t="shared" si="11"/>
        <v>..</v>
      </c>
      <c r="AG54" s="611"/>
      <c r="AH54" s="611"/>
      <c r="AI54" s="1345" t="str">
        <f t="shared" si="12"/>
        <v>..</v>
      </c>
      <c r="AJ54" s="611"/>
      <c r="AK54" s="611"/>
      <c r="AL54" s="611"/>
      <c r="AM54" s="611"/>
      <c r="AN54" s="611"/>
      <c r="AO54" s="611"/>
      <c r="AP54" s="611"/>
      <c r="AQ54" s="611"/>
      <c r="AR54" s="611"/>
      <c r="AS54" s="611"/>
      <c r="AT54" s="611"/>
      <c r="AV54" s="209">
        <v>50</v>
      </c>
      <c r="AW54" s="1230" t="str">
        <f>Definitions_FlowLang!C91</f>
        <v>Fishing</v>
      </c>
      <c r="AX54" s="1230" t="str">
        <f>Definitions_FlowLang!D91</f>
        <v>Рыболовство</v>
      </c>
      <c r="AY54" s="1230" t="str">
        <f>Definitions_FlowLang!E91</f>
        <v>渔业</v>
      </c>
      <c r="AZ54" s="209" t="s">
        <v>322</v>
      </c>
    </row>
    <row r="55" spans="1:52" x14ac:dyDescent="0.15">
      <c r="A55" s="209" t="str">
        <f t="shared" si="13"/>
        <v>Non-specified</v>
      </c>
      <c r="B55" s="611"/>
      <c r="C55" s="611"/>
      <c r="D55" s="1345" t="str">
        <f t="shared" si="1"/>
        <v>..</v>
      </c>
      <c r="E55" s="611"/>
      <c r="F55" s="611"/>
      <c r="G55" s="1345" t="str">
        <f t="shared" si="2"/>
        <v>..</v>
      </c>
      <c r="H55" s="611"/>
      <c r="I55" s="611"/>
      <c r="J55" s="1345" t="str">
        <f t="shared" si="3"/>
        <v>..</v>
      </c>
      <c r="K55" s="1345" t="str">
        <f t="shared" si="4"/>
        <v>..</v>
      </c>
      <c r="L55" s="611"/>
      <c r="M55" s="611"/>
      <c r="N55" s="1345" t="str">
        <f t="shared" si="5"/>
        <v>..</v>
      </c>
      <c r="O55" s="611"/>
      <c r="P55" s="611"/>
      <c r="Q55" s="1345" t="str">
        <f t="shared" si="6"/>
        <v>..</v>
      </c>
      <c r="R55" s="611"/>
      <c r="S55" s="611"/>
      <c r="T55" s="1345" t="str">
        <f t="shared" si="7"/>
        <v>..</v>
      </c>
      <c r="U55" s="611"/>
      <c r="V55" s="611"/>
      <c r="W55" s="1345" t="str">
        <f t="shared" si="8"/>
        <v>..</v>
      </c>
      <c r="X55" s="611"/>
      <c r="Y55" s="611"/>
      <c r="Z55" s="1345" t="str">
        <f t="shared" si="9"/>
        <v>..</v>
      </c>
      <c r="AA55" s="611"/>
      <c r="AB55" s="611"/>
      <c r="AC55" s="1345" t="str">
        <f t="shared" si="10"/>
        <v>..</v>
      </c>
      <c r="AD55" s="611"/>
      <c r="AE55" s="611"/>
      <c r="AF55" s="1345" t="str">
        <f t="shared" si="11"/>
        <v>..</v>
      </c>
      <c r="AG55" s="611"/>
      <c r="AH55" s="611"/>
      <c r="AI55" s="1345" t="str">
        <f t="shared" si="12"/>
        <v>..</v>
      </c>
      <c r="AJ55" s="611"/>
      <c r="AK55" s="611"/>
      <c r="AL55" s="611"/>
      <c r="AM55" s="611"/>
      <c r="AN55" s="611"/>
      <c r="AO55" s="611"/>
      <c r="AP55" s="611"/>
      <c r="AQ55" s="611"/>
      <c r="AR55" s="611"/>
      <c r="AS55" s="611"/>
      <c r="AT55" s="611"/>
      <c r="AV55" s="209">
        <v>51</v>
      </c>
      <c r="AW55" s="209" t="s">
        <v>7057</v>
      </c>
      <c r="AX55" s="209" t="s">
        <v>7058</v>
      </c>
      <c r="AY55" s="209" t="s">
        <v>1293</v>
      </c>
      <c r="AZ55" s="209" t="s">
        <v>322</v>
      </c>
    </row>
    <row r="56" spans="1:52" x14ac:dyDescent="0.15">
      <c r="A56" s="1154" t="str">
        <f t="shared" si="13"/>
        <v>NON-ENERGY USE</v>
      </c>
      <c r="B56" s="831"/>
      <c r="C56" s="831"/>
      <c r="D56" s="1347" t="str">
        <f t="shared" si="1"/>
        <v>..</v>
      </c>
      <c r="E56" s="831"/>
      <c r="F56" s="831"/>
      <c r="G56" s="1347" t="str">
        <f t="shared" si="2"/>
        <v>..</v>
      </c>
      <c r="H56" s="831"/>
      <c r="I56" s="831"/>
      <c r="J56" s="1347" t="str">
        <f t="shared" si="3"/>
        <v>..</v>
      </c>
      <c r="K56" s="1347" t="str">
        <f t="shared" si="4"/>
        <v>..</v>
      </c>
      <c r="L56" s="831"/>
      <c r="M56" s="831"/>
      <c r="N56" s="1347" t="str">
        <f t="shared" si="5"/>
        <v>..</v>
      </c>
      <c r="O56" s="831"/>
      <c r="P56" s="831"/>
      <c r="Q56" s="1347" t="str">
        <f t="shared" si="6"/>
        <v>..</v>
      </c>
      <c r="R56" s="831"/>
      <c r="S56" s="831"/>
      <c r="T56" s="1347" t="str">
        <f t="shared" si="7"/>
        <v>..</v>
      </c>
      <c r="U56" s="831"/>
      <c r="V56" s="831"/>
      <c r="W56" s="1347" t="str">
        <f t="shared" si="8"/>
        <v>..</v>
      </c>
      <c r="X56" s="831"/>
      <c r="Y56" s="831"/>
      <c r="Z56" s="1347" t="str">
        <f t="shared" si="9"/>
        <v>..</v>
      </c>
      <c r="AA56" s="831"/>
      <c r="AB56" s="831"/>
      <c r="AC56" s="1347" t="str">
        <f t="shared" si="10"/>
        <v>..</v>
      </c>
      <c r="AD56" s="831"/>
      <c r="AE56" s="831"/>
      <c r="AF56" s="1347" t="str">
        <f t="shared" si="11"/>
        <v>..</v>
      </c>
      <c r="AG56" s="831"/>
      <c r="AH56" s="831"/>
      <c r="AI56" s="1347" t="str">
        <f t="shared" si="12"/>
        <v>..</v>
      </c>
      <c r="AJ56" s="612"/>
      <c r="AK56" s="612"/>
      <c r="AL56" s="612"/>
      <c r="AM56" s="612"/>
      <c r="AN56" s="612"/>
      <c r="AO56" s="612"/>
      <c r="AP56" s="612"/>
      <c r="AQ56" s="612"/>
      <c r="AR56" s="612"/>
      <c r="AS56" s="612"/>
      <c r="AT56" s="612"/>
      <c r="AV56" s="209">
        <v>52</v>
      </c>
      <c r="AW56" s="1230" t="str">
        <f>UPPER(Definitions_FlowLang!C93)</f>
        <v>NON-ENERGY USE</v>
      </c>
      <c r="AX56" s="1230" t="str">
        <f>UPPER(Definitions_FlowLang!D93)</f>
        <v>НЕЭНЕРГЕТИЧЕСКОЕ ИСПОЛЬЗОВАНИЕ</v>
      </c>
      <c r="AY56" s="1230" t="str">
        <f>UPPER(Definitions_FlowLang!E93)</f>
        <v>非能源使用</v>
      </c>
      <c r="AZ56" s="209" t="s">
        <v>322</v>
      </c>
    </row>
    <row r="57" spans="1:52" x14ac:dyDescent="0.15">
      <c r="A57" s="209" t="str">
        <f t="shared" si="13"/>
        <v>in industry/transf./energy</v>
      </c>
      <c r="B57" s="611"/>
      <c r="C57" s="611"/>
      <c r="D57" s="1345" t="str">
        <f t="shared" si="1"/>
        <v>..</v>
      </c>
      <c r="E57" s="611"/>
      <c r="F57" s="611"/>
      <c r="G57" s="1345" t="str">
        <f t="shared" si="2"/>
        <v>..</v>
      </c>
      <c r="H57" s="611"/>
      <c r="I57" s="611"/>
      <c r="J57" s="1345" t="str">
        <f t="shared" si="3"/>
        <v>..</v>
      </c>
      <c r="K57" s="1345" t="str">
        <f t="shared" si="4"/>
        <v>..</v>
      </c>
      <c r="L57" s="611"/>
      <c r="M57" s="611"/>
      <c r="N57" s="1345" t="str">
        <f t="shared" si="5"/>
        <v>..</v>
      </c>
      <c r="O57" s="611"/>
      <c r="P57" s="611"/>
      <c r="Q57" s="1345" t="str">
        <f t="shared" si="6"/>
        <v>..</v>
      </c>
      <c r="R57" s="611"/>
      <c r="S57" s="611"/>
      <c r="T57" s="1345" t="str">
        <f t="shared" si="7"/>
        <v>..</v>
      </c>
      <c r="U57" s="611"/>
      <c r="V57" s="611"/>
      <c r="W57" s="1345" t="str">
        <f t="shared" si="8"/>
        <v>..</v>
      </c>
      <c r="X57" s="611"/>
      <c r="Y57" s="611"/>
      <c r="Z57" s="1345" t="str">
        <f t="shared" si="9"/>
        <v>..</v>
      </c>
      <c r="AA57" s="611"/>
      <c r="AB57" s="611"/>
      <c r="AC57" s="1345" t="str">
        <f t="shared" si="10"/>
        <v>..</v>
      </c>
      <c r="AD57" s="611"/>
      <c r="AE57" s="611"/>
      <c r="AF57" s="1345" t="str">
        <f t="shared" si="11"/>
        <v>..</v>
      </c>
      <c r="AG57" s="611"/>
      <c r="AH57" s="611"/>
      <c r="AI57" s="1345" t="str">
        <f t="shared" si="12"/>
        <v>..</v>
      </c>
      <c r="AJ57" s="611"/>
      <c r="AK57" s="611"/>
      <c r="AL57" s="611"/>
      <c r="AM57" s="611"/>
      <c r="AN57" s="611"/>
      <c r="AO57" s="611"/>
      <c r="AP57" s="611"/>
      <c r="AQ57" s="611"/>
      <c r="AR57" s="611"/>
      <c r="AS57" s="611"/>
      <c r="AT57" s="611"/>
      <c r="AV57" s="209">
        <v>53</v>
      </c>
      <c r="AW57" s="209" t="s">
        <v>7060</v>
      </c>
      <c r="AX57" s="1230" t="str">
        <f>Definitions_FlowLang!D94</f>
        <v>в промышленности/преобраз.-переработке/топл. энергетике</v>
      </c>
      <c r="AY57" s="1230" t="str">
        <f>Definitions_FlowLang!E94</f>
        <v>工业/转换/能源部门非能源使用</v>
      </c>
      <c r="AZ57" s="209" t="s">
        <v>322</v>
      </c>
    </row>
    <row r="58" spans="1:52" x14ac:dyDescent="0.15">
      <c r="A58" s="1155" t="str">
        <f t="shared" si="13"/>
        <v>of which: chem./petrochem.</v>
      </c>
      <c r="B58" s="611"/>
      <c r="C58" s="611"/>
      <c r="D58" s="1345" t="str">
        <f t="shared" si="1"/>
        <v>..</v>
      </c>
      <c r="E58" s="611"/>
      <c r="F58" s="611"/>
      <c r="G58" s="1345" t="str">
        <f t="shared" si="2"/>
        <v>..</v>
      </c>
      <c r="H58" s="611"/>
      <c r="I58" s="611"/>
      <c r="J58" s="1345" t="str">
        <f t="shared" si="3"/>
        <v>..</v>
      </c>
      <c r="K58" s="1345" t="str">
        <f t="shared" si="4"/>
        <v>..</v>
      </c>
      <c r="L58" s="611"/>
      <c r="M58" s="611"/>
      <c r="N58" s="1345" t="str">
        <f t="shared" si="5"/>
        <v>..</v>
      </c>
      <c r="O58" s="611"/>
      <c r="P58" s="611"/>
      <c r="Q58" s="1345" t="str">
        <f t="shared" si="6"/>
        <v>..</v>
      </c>
      <c r="R58" s="611"/>
      <c r="S58" s="611"/>
      <c r="T58" s="1345" t="str">
        <f t="shared" si="7"/>
        <v>..</v>
      </c>
      <c r="U58" s="611"/>
      <c r="V58" s="611"/>
      <c r="W58" s="1345" t="str">
        <f t="shared" si="8"/>
        <v>..</v>
      </c>
      <c r="X58" s="611"/>
      <c r="Y58" s="611"/>
      <c r="Z58" s="1345" t="str">
        <f t="shared" si="9"/>
        <v>..</v>
      </c>
      <c r="AA58" s="611"/>
      <c r="AB58" s="611"/>
      <c r="AC58" s="1345" t="str">
        <f t="shared" si="10"/>
        <v>..</v>
      </c>
      <c r="AD58" s="611"/>
      <c r="AE58" s="611"/>
      <c r="AF58" s="1345" t="str">
        <f t="shared" si="11"/>
        <v>..</v>
      </c>
      <c r="AG58" s="611"/>
      <c r="AH58" s="611"/>
      <c r="AI58" s="1345" t="str">
        <f t="shared" si="12"/>
        <v>..</v>
      </c>
      <c r="AJ58" s="611"/>
      <c r="AK58" s="611"/>
      <c r="AL58" s="611"/>
      <c r="AM58" s="611"/>
      <c r="AN58" s="611"/>
      <c r="AO58" s="611"/>
      <c r="AP58" s="611"/>
      <c r="AQ58" s="611"/>
      <c r="AR58" s="611"/>
      <c r="AS58" s="611"/>
      <c r="AT58" s="611"/>
      <c r="AV58" s="209">
        <v>54</v>
      </c>
      <c r="AW58" s="209" t="s">
        <v>7061</v>
      </c>
      <c r="AX58" s="1230" t="str">
        <f>Definitions_FlowLang!D97</f>
        <v>в т.ч. химикаты / нефтехимия</v>
      </c>
      <c r="AY58" s="1230" t="str">
        <f>Definitions_FlowLang!E97</f>
        <v xml:space="preserve">备忘项化学/石化产业非能源使用 </v>
      </c>
      <c r="AZ58" s="209" t="s">
        <v>322</v>
      </c>
    </row>
    <row r="59" spans="1:52" x14ac:dyDescent="0.15">
      <c r="A59" s="209" t="str">
        <f t="shared" si="13"/>
        <v>in transport</v>
      </c>
      <c r="B59" s="611"/>
      <c r="C59" s="611"/>
      <c r="D59" s="1345" t="str">
        <f t="shared" si="1"/>
        <v>..</v>
      </c>
      <c r="E59" s="611"/>
      <c r="F59" s="611"/>
      <c r="G59" s="1345" t="str">
        <f t="shared" si="2"/>
        <v>..</v>
      </c>
      <c r="H59" s="611"/>
      <c r="I59" s="611"/>
      <c r="J59" s="1345" t="str">
        <f t="shared" si="3"/>
        <v>..</v>
      </c>
      <c r="K59" s="1345" t="str">
        <f t="shared" si="4"/>
        <v>..</v>
      </c>
      <c r="L59" s="611"/>
      <c r="M59" s="611"/>
      <c r="N59" s="1345" t="str">
        <f t="shared" si="5"/>
        <v>..</v>
      </c>
      <c r="O59" s="611"/>
      <c r="P59" s="611"/>
      <c r="Q59" s="1345" t="str">
        <f t="shared" si="6"/>
        <v>..</v>
      </c>
      <c r="R59" s="611"/>
      <c r="S59" s="611"/>
      <c r="T59" s="1345" t="str">
        <f t="shared" si="7"/>
        <v>..</v>
      </c>
      <c r="U59" s="611"/>
      <c r="V59" s="611"/>
      <c r="W59" s="1345" t="str">
        <f t="shared" si="8"/>
        <v>..</v>
      </c>
      <c r="X59" s="611"/>
      <c r="Y59" s="611"/>
      <c r="Z59" s="1345" t="str">
        <f t="shared" si="9"/>
        <v>..</v>
      </c>
      <c r="AA59" s="611"/>
      <c r="AB59" s="611"/>
      <c r="AC59" s="1345" t="str">
        <f t="shared" si="10"/>
        <v>..</v>
      </c>
      <c r="AD59" s="611"/>
      <c r="AE59" s="611"/>
      <c r="AF59" s="1345" t="str">
        <f t="shared" si="11"/>
        <v>..</v>
      </c>
      <c r="AG59" s="611"/>
      <c r="AH59" s="611"/>
      <c r="AI59" s="1345" t="str">
        <f t="shared" si="12"/>
        <v>..</v>
      </c>
      <c r="AJ59" s="611"/>
      <c r="AK59" s="611"/>
      <c r="AL59" s="611"/>
      <c r="AM59" s="611"/>
      <c r="AN59" s="611"/>
      <c r="AO59" s="611"/>
      <c r="AP59" s="611"/>
      <c r="AQ59" s="611"/>
      <c r="AR59" s="611"/>
      <c r="AS59" s="611"/>
      <c r="AT59" s="611"/>
      <c r="AV59" s="209">
        <v>55</v>
      </c>
      <c r="AW59" s="209" t="s">
        <v>7062</v>
      </c>
      <c r="AX59" s="1230" t="str">
        <f>Definitions_FlowLang!D95</f>
        <v>в транспорте</v>
      </c>
      <c r="AY59" s="1230" t="str">
        <f>Definitions_FlowLang!E95</f>
        <v xml:space="preserve">交通运输部门非能源用途            </v>
      </c>
      <c r="AZ59" s="209" t="s">
        <v>322</v>
      </c>
    </row>
    <row r="60" spans="1:52" x14ac:dyDescent="0.15">
      <c r="A60" s="1153" t="str">
        <f t="shared" si="13"/>
        <v>in other</v>
      </c>
      <c r="B60" s="830"/>
      <c r="C60" s="830"/>
      <c r="D60" s="1346" t="str">
        <f t="shared" si="1"/>
        <v>..</v>
      </c>
      <c r="E60" s="830"/>
      <c r="F60" s="830"/>
      <c r="G60" s="1346" t="str">
        <f t="shared" si="2"/>
        <v>..</v>
      </c>
      <c r="H60" s="830"/>
      <c r="I60" s="830"/>
      <c r="J60" s="1346" t="str">
        <f t="shared" si="3"/>
        <v>..</v>
      </c>
      <c r="K60" s="1346" t="str">
        <f t="shared" si="4"/>
        <v>..</v>
      </c>
      <c r="L60" s="830"/>
      <c r="M60" s="830"/>
      <c r="N60" s="1346" t="str">
        <f t="shared" si="5"/>
        <v>..</v>
      </c>
      <c r="O60" s="830"/>
      <c r="P60" s="830"/>
      <c r="Q60" s="1346" t="str">
        <f t="shared" si="6"/>
        <v>..</v>
      </c>
      <c r="R60" s="830"/>
      <c r="S60" s="830"/>
      <c r="T60" s="1346" t="str">
        <f t="shared" si="7"/>
        <v>..</v>
      </c>
      <c r="U60" s="830"/>
      <c r="V60" s="830"/>
      <c r="W60" s="1346" t="str">
        <f t="shared" si="8"/>
        <v>..</v>
      </c>
      <c r="X60" s="830"/>
      <c r="Y60" s="830"/>
      <c r="Z60" s="1346" t="str">
        <f t="shared" si="9"/>
        <v>..</v>
      </c>
      <c r="AA60" s="830"/>
      <c r="AB60" s="830"/>
      <c r="AC60" s="1346" t="str">
        <f t="shared" si="10"/>
        <v>..</v>
      </c>
      <c r="AD60" s="830"/>
      <c r="AE60" s="830"/>
      <c r="AF60" s="1346" t="str">
        <f t="shared" si="11"/>
        <v>..</v>
      </c>
      <c r="AG60" s="830"/>
      <c r="AH60" s="830"/>
      <c r="AI60" s="1346" t="str">
        <f t="shared" si="12"/>
        <v>..</v>
      </c>
      <c r="AJ60" s="611"/>
      <c r="AK60" s="611"/>
      <c r="AL60" s="611"/>
      <c r="AM60" s="611"/>
      <c r="AN60" s="611"/>
      <c r="AO60" s="611"/>
      <c r="AP60" s="611"/>
      <c r="AQ60" s="611"/>
      <c r="AR60" s="611"/>
      <c r="AS60" s="611"/>
      <c r="AT60" s="611"/>
      <c r="AV60" s="209">
        <v>56</v>
      </c>
      <c r="AW60" s="209" t="s">
        <v>7063</v>
      </c>
      <c r="AX60" s="1230" t="str">
        <f>Definitions_FlowLang!D96</f>
        <v>в других секторах</v>
      </c>
      <c r="AY60" s="1230" t="str">
        <f>Definitions_FlowLang!E96</f>
        <v xml:space="preserve">其他部门的非能源用途             </v>
      </c>
      <c r="AZ60" s="209" t="s">
        <v>322</v>
      </c>
    </row>
    <row r="61" spans="1:52" x14ac:dyDescent="0.15">
      <c r="A61" s="1339" t="str">
        <f t="shared" si="13"/>
        <v>Electricity and heat output</v>
      </c>
      <c r="B61" s="1339"/>
      <c r="C61" s="1339"/>
      <c r="D61" s="1349"/>
      <c r="E61" s="1339"/>
      <c r="F61" s="1339"/>
      <c r="G61" s="1349"/>
      <c r="H61" s="1339"/>
      <c r="I61" s="1339"/>
      <c r="J61" s="1349"/>
      <c r="K61" s="1349" t="str">
        <f t="shared" si="4"/>
        <v>..</v>
      </c>
      <c r="L61" s="1339"/>
      <c r="M61" s="1339"/>
      <c r="N61" s="1349"/>
      <c r="O61" s="1339"/>
      <c r="P61" s="1339"/>
      <c r="Q61" s="1349"/>
      <c r="R61" s="1339"/>
      <c r="S61" s="1339"/>
      <c r="T61" s="1349"/>
      <c r="U61" s="1339"/>
      <c r="V61" s="1339"/>
      <c r="W61" s="1349"/>
      <c r="X61" s="1339"/>
      <c r="Y61" s="1339"/>
      <c r="Z61" s="1349"/>
      <c r="AA61" s="1339"/>
      <c r="AB61" s="1339"/>
      <c r="AC61" s="1349"/>
      <c r="AD61" s="1339"/>
      <c r="AE61" s="1339"/>
      <c r="AF61" s="1349"/>
      <c r="AG61" s="1339"/>
      <c r="AH61" s="1339"/>
      <c r="AI61" s="1349"/>
      <c r="AJ61" s="614"/>
      <c r="AK61" s="614"/>
      <c r="AL61" s="614"/>
      <c r="AM61" s="614"/>
      <c r="AN61" s="614"/>
      <c r="AO61" s="614"/>
      <c r="AP61" s="614"/>
      <c r="AQ61" s="614"/>
      <c r="AR61" s="614"/>
      <c r="AS61" s="614"/>
      <c r="AT61" s="614"/>
      <c r="AV61" s="209">
        <v>57</v>
      </c>
      <c r="AW61" s="1230" t="str">
        <f>Definitions_FlowLang!C98</f>
        <v>Electricity and heat output</v>
      </c>
      <c r="AX61" s="1230" t="str">
        <f>Definitions_FlowLang!D98</f>
        <v>Производство электроэнерги и тепла</v>
      </c>
      <c r="AY61" s="1230" t="str">
        <f>Definitions_FlowLang!E98</f>
        <v>电力和热力产量</v>
      </c>
      <c r="AZ61" s="1230" t="s">
        <v>322</v>
      </c>
    </row>
    <row r="62" spans="1:52" x14ac:dyDescent="0.15">
      <c r="A62" s="609" t="str">
        <f t="shared" ref="A62:A67" si="14">HLOOKUP(LangChoice,$AW$4:$AY$67,$AV62+1)</f>
        <v>Electr. Generated - GWh</v>
      </c>
      <c r="B62" s="612"/>
      <c r="C62" s="612"/>
      <c r="D62" s="1348" t="str">
        <f t="shared" si="1"/>
        <v>..</v>
      </c>
      <c r="E62" s="612"/>
      <c r="F62" s="612"/>
      <c r="G62" s="1348" t="str">
        <f t="shared" si="2"/>
        <v>..</v>
      </c>
      <c r="H62" s="612"/>
      <c r="I62" s="612"/>
      <c r="J62" s="1348" t="str">
        <f t="shared" si="3"/>
        <v>..</v>
      </c>
      <c r="K62" s="1348" t="str">
        <f t="shared" si="4"/>
        <v>..</v>
      </c>
      <c r="L62" s="612"/>
      <c r="M62" s="612"/>
      <c r="N62" s="1348" t="str">
        <f t="shared" si="5"/>
        <v>..</v>
      </c>
      <c r="O62" s="612"/>
      <c r="P62" s="612"/>
      <c r="Q62" s="1348" t="str">
        <f t="shared" si="6"/>
        <v>..</v>
      </c>
      <c r="R62" s="612"/>
      <c r="S62" s="612"/>
      <c r="T62" s="1348" t="str">
        <f t="shared" si="7"/>
        <v>..</v>
      </c>
      <c r="U62" s="612"/>
      <c r="V62" s="612"/>
      <c r="W62" s="1348" t="str">
        <f t="shared" si="8"/>
        <v>..</v>
      </c>
      <c r="X62" s="612"/>
      <c r="Y62" s="612"/>
      <c r="Z62" s="1348" t="str">
        <f t="shared" si="9"/>
        <v>..</v>
      </c>
      <c r="AA62" s="612"/>
      <c r="AB62" s="612"/>
      <c r="AC62" s="1348" t="str">
        <f t="shared" si="10"/>
        <v>..</v>
      </c>
      <c r="AD62" s="612"/>
      <c r="AE62" s="612"/>
      <c r="AF62" s="1348" t="str">
        <f t="shared" si="11"/>
        <v>..</v>
      </c>
      <c r="AG62" s="612"/>
      <c r="AH62" s="612"/>
      <c r="AI62" s="1353" t="str">
        <f t="shared" si="12"/>
        <v>..</v>
      </c>
      <c r="AJ62" s="612"/>
      <c r="AK62" s="612"/>
      <c r="AL62" s="612"/>
      <c r="AM62" s="612"/>
      <c r="AN62" s="612"/>
      <c r="AO62" s="612"/>
      <c r="AP62" s="612"/>
      <c r="AQ62" s="612"/>
      <c r="AR62" s="612"/>
      <c r="AS62" s="612"/>
      <c r="AT62" s="612"/>
      <c r="AV62" s="209">
        <v>58</v>
      </c>
      <c r="AW62" s="209" t="s">
        <v>7064</v>
      </c>
      <c r="AX62" s="1230" t="str">
        <f>Definitions_FlowLang!D99</f>
        <v>Производство электроэнергии ● ГВт-ч</v>
      </c>
      <c r="AY62" s="1230" t="str">
        <f>Definitions_FlowLang!E99</f>
        <v>电力产量（单位：吉瓦时）</v>
      </c>
      <c r="AZ62" s="209" t="s">
        <v>322</v>
      </c>
    </row>
    <row r="63" spans="1:52" x14ac:dyDescent="0.15">
      <c r="A63" s="1155" t="str">
        <f t="shared" si="14"/>
        <v>Electricity plants</v>
      </c>
      <c r="B63" s="614"/>
      <c r="C63" s="614"/>
      <c r="D63" s="1350" t="str">
        <f t="shared" si="1"/>
        <v>..</v>
      </c>
      <c r="E63" s="614"/>
      <c r="F63" s="614"/>
      <c r="G63" s="1350" t="str">
        <f t="shared" si="2"/>
        <v>..</v>
      </c>
      <c r="H63" s="614"/>
      <c r="I63" s="614"/>
      <c r="J63" s="1350" t="str">
        <f t="shared" si="3"/>
        <v>..</v>
      </c>
      <c r="K63" s="1350" t="str">
        <f t="shared" si="4"/>
        <v>..</v>
      </c>
      <c r="L63" s="614"/>
      <c r="M63" s="614"/>
      <c r="N63" s="1350" t="str">
        <f t="shared" si="5"/>
        <v>..</v>
      </c>
      <c r="O63" s="614"/>
      <c r="P63" s="614"/>
      <c r="Q63" s="1350" t="str">
        <f t="shared" si="6"/>
        <v>..</v>
      </c>
      <c r="R63" s="614"/>
      <c r="S63" s="614"/>
      <c r="T63" s="1350" t="str">
        <f t="shared" si="7"/>
        <v>..</v>
      </c>
      <c r="U63" s="614"/>
      <c r="V63" s="614"/>
      <c r="W63" s="1350" t="str">
        <f t="shared" si="8"/>
        <v>..</v>
      </c>
      <c r="X63" s="614"/>
      <c r="Y63" s="614"/>
      <c r="Z63" s="1350" t="str">
        <f t="shared" si="9"/>
        <v>..</v>
      </c>
      <c r="AA63" s="614"/>
      <c r="AB63" s="614"/>
      <c r="AC63" s="1350" t="str">
        <f t="shared" si="10"/>
        <v>..</v>
      </c>
      <c r="AD63" s="614"/>
      <c r="AE63" s="614"/>
      <c r="AF63" s="1350" t="str">
        <f t="shared" si="11"/>
        <v>..</v>
      </c>
      <c r="AG63" s="614"/>
      <c r="AH63" s="614"/>
      <c r="AI63" s="1350" t="str">
        <f t="shared" si="12"/>
        <v>..</v>
      </c>
      <c r="AJ63" s="614"/>
      <c r="AK63" s="614"/>
      <c r="AL63" s="614"/>
      <c r="AM63" s="614"/>
      <c r="AN63" s="614"/>
      <c r="AO63" s="614"/>
      <c r="AP63" s="614"/>
      <c r="AQ63" s="614"/>
      <c r="AR63" s="614"/>
      <c r="AS63" s="614"/>
      <c r="AT63" s="614"/>
      <c r="AV63" s="209">
        <v>59</v>
      </c>
      <c r="AW63" s="209" t="s">
        <v>7040</v>
      </c>
      <c r="AX63" s="209" t="s">
        <v>7041</v>
      </c>
      <c r="AY63" s="209" t="s">
        <v>7065</v>
      </c>
      <c r="AZ63" s="209" t="s">
        <v>322</v>
      </c>
    </row>
    <row r="64" spans="1:52" x14ac:dyDescent="0.15">
      <c r="A64" s="1155" t="str">
        <f t="shared" si="14"/>
        <v>CHP plants</v>
      </c>
      <c r="B64" s="614"/>
      <c r="C64" s="614"/>
      <c r="D64" s="1350" t="str">
        <f t="shared" si="1"/>
        <v>..</v>
      </c>
      <c r="E64" s="614"/>
      <c r="F64" s="614"/>
      <c r="G64" s="1350" t="str">
        <f t="shared" si="2"/>
        <v>..</v>
      </c>
      <c r="H64" s="614"/>
      <c r="I64" s="614"/>
      <c r="J64" s="1350" t="str">
        <f t="shared" si="3"/>
        <v>..</v>
      </c>
      <c r="K64" s="1350" t="str">
        <f t="shared" si="4"/>
        <v>..</v>
      </c>
      <c r="L64" s="614"/>
      <c r="M64" s="614"/>
      <c r="N64" s="1350" t="str">
        <f t="shared" si="5"/>
        <v>..</v>
      </c>
      <c r="O64" s="614"/>
      <c r="P64" s="614"/>
      <c r="Q64" s="1350" t="str">
        <f t="shared" si="6"/>
        <v>..</v>
      </c>
      <c r="R64" s="614"/>
      <c r="S64" s="614"/>
      <c r="T64" s="1350" t="str">
        <f t="shared" si="7"/>
        <v>..</v>
      </c>
      <c r="U64" s="614"/>
      <c r="V64" s="614"/>
      <c r="W64" s="1350" t="str">
        <f t="shared" si="8"/>
        <v>..</v>
      </c>
      <c r="X64" s="614"/>
      <c r="Y64" s="614"/>
      <c r="Z64" s="1350" t="str">
        <f t="shared" si="9"/>
        <v>..</v>
      </c>
      <c r="AA64" s="614"/>
      <c r="AB64" s="614"/>
      <c r="AC64" s="1350" t="str">
        <f t="shared" si="10"/>
        <v>..</v>
      </c>
      <c r="AD64" s="614"/>
      <c r="AE64" s="614"/>
      <c r="AF64" s="1350" t="str">
        <f t="shared" si="11"/>
        <v>..</v>
      </c>
      <c r="AG64" s="614"/>
      <c r="AH64" s="614"/>
      <c r="AI64" s="1350" t="str">
        <f t="shared" si="12"/>
        <v>..</v>
      </c>
      <c r="AJ64" s="614"/>
      <c r="AK64" s="614"/>
      <c r="AL64" s="614"/>
      <c r="AM64" s="614"/>
      <c r="AN64" s="614"/>
      <c r="AO64" s="614"/>
      <c r="AP64" s="614"/>
      <c r="AQ64" s="614"/>
      <c r="AR64" s="614"/>
      <c r="AS64" s="614"/>
      <c r="AT64" s="614"/>
      <c r="AV64" s="209">
        <v>60</v>
      </c>
      <c r="AW64" s="209" t="s">
        <v>7043</v>
      </c>
      <c r="AX64" s="209" t="s">
        <v>7044</v>
      </c>
      <c r="AY64" s="209" t="s">
        <v>7066</v>
      </c>
      <c r="AZ64" s="209" t="s">
        <v>322</v>
      </c>
    </row>
    <row r="65" spans="1:53" x14ac:dyDescent="0.15">
      <c r="A65" s="609" t="str">
        <f t="shared" si="14"/>
        <v>Heat generated - TJ</v>
      </c>
      <c r="B65" s="612"/>
      <c r="C65" s="612"/>
      <c r="D65" s="1348" t="str">
        <f t="shared" si="1"/>
        <v>..</v>
      </c>
      <c r="E65" s="612"/>
      <c r="F65" s="612"/>
      <c r="G65" s="1348" t="str">
        <f t="shared" si="2"/>
        <v>..</v>
      </c>
      <c r="H65" s="612"/>
      <c r="I65" s="612"/>
      <c r="J65" s="1348" t="str">
        <f t="shared" si="3"/>
        <v>..</v>
      </c>
      <c r="K65" s="1348" t="str">
        <f t="shared" si="4"/>
        <v>..</v>
      </c>
      <c r="L65" s="612"/>
      <c r="M65" s="612"/>
      <c r="N65" s="1348" t="str">
        <f t="shared" si="5"/>
        <v>..</v>
      </c>
      <c r="O65" s="612"/>
      <c r="P65" s="612"/>
      <c r="Q65" s="1348" t="str">
        <f t="shared" si="6"/>
        <v>..</v>
      </c>
      <c r="R65" s="612"/>
      <c r="S65" s="612"/>
      <c r="T65" s="1348" t="str">
        <f t="shared" si="7"/>
        <v>..</v>
      </c>
      <c r="U65" s="612"/>
      <c r="V65" s="612"/>
      <c r="W65" s="1348" t="str">
        <f t="shared" si="8"/>
        <v>..</v>
      </c>
      <c r="X65" s="612"/>
      <c r="Y65" s="612"/>
      <c r="Z65" s="1348" t="str">
        <f t="shared" si="9"/>
        <v>..</v>
      </c>
      <c r="AA65" s="612"/>
      <c r="AB65" s="612"/>
      <c r="AC65" s="1348" t="str">
        <f t="shared" si="10"/>
        <v>..</v>
      </c>
      <c r="AD65" s="612"/>
      <c r="AE65" s="612"/>
      <c r="AF65" s="1348" t="str">
        <f t="shared" si="11"/>
        <v>..</v>
      </c>
      <c r="AG65" s="612"/>
      <c r="AH65" s="612"/>
      <c r="AI65" s="1353" t="str">
        <f t="shared" si="12"/>
        <v>..</v>
      </c>
      <c r="AJ65" s="612"/>
      <c r="AK65" s="612"/>
      <c r="AL65" s="612"/>
      <c r="AM65" s="612"/>
      <c r="AN65" s="612"/>
      <c r="AO65" s="612"/>
      <c r="AP65" s="612"/>
      <c r="AQ65" s="612"/>
      <c r="AR65" s="612"/>
      <c r="AS65" s="612"/>
      <c r="AT65" s="612"/>
      <c r="AV65" s="209">
        <v>61</v>
      </c>
      <c r="AW65" s="209" t="s">
        <v>7067</v>
      </c>
      <c r="AX65" s="1230" t="str">
        <f>Definitions_FlowLang!D108</f>
        <v>Производство тепла ● ТДж</v>
      </c>
      <c r="AY65" s="1230" t="str">
        <f>Definitions_FlowLang!E108</f>
        <v>热力产量（单位：太焦耳）</v>
      </c>
      <c r="AZ65" s="209" t="s">
        <v>322</v>
      </c>
    </row>
    <row r="66" spans="1:53" x14ac:dyDescent="0.15">
      <c r="A66" s="1155" t="str">
        <f t="shared" si="14"/>
        <v>CHP plants</v>
      </c>
      <c r="B66" s="614"/>
      <c r="C66" s="614"/>
      <c r="D66" s="1350" t="str">
        <f t="shared" si="1"/>
        <v>..</v>
      </c>
      <c r="E66" s="614"/>
      <c r="F66" s="614"/>
      <c r="G66" s="1350" t="str">
        <f t="shared" si="2"/>
        <v>..</v>
      </c>
      <c r="H66" s="614"/>
      <c r="I66" s="614"/>
      <c r="J66" s="1350" t="str">
        <f t="shared" si="3"/>
        <v>..</v>
      </c>
      <c r="K66" s="1350" t="str">
        <f t="shared" si="4"/>
        <v>..</v>
      </c>
      <c r="L66" s="614"/>
      <c r="M66" s="614"/>
      <c r="N66" s="1350" t="str">
        <f t="shared" si="5"/>
        <v>..</v>
      </c>
      <c r="O66" s="614"/>
      <c r="P66" s="614"/>
      <c r="Q66" s="1350" t="str">
        <f t="shared" si="6"/>
        <v>..</v>
      </c>
      <c r="R66" s="614"/>
      <c r="S66" s="614"/>
      <c r="T66" s="1350" t="str">
        <f t="shared" si="7"/>
        <v>..</v>
      </c>
      <c r="U66" s="614"/>
      <c r="V66" s="614"/>
      <c r="W66" s="1350" t="str">
        <f t="shared" si="8"/>
        <v>..</v>
      </c>
      <c r="X66" s="614"/>
      <c r="Y66" s="614"/>
      <c r="Z66" s="1350" t="str">
        <f t="shared" si="9"/>
        <v>..</v>
      </c>
      <c r="AA66" s="614"/>
      <c r="AB66" s="614"/>
      <c r="AC66" s="1350" t="str">
        <f t="shared" si="10"/>
        <v>..</v>
      </c>
      <c r="AD66" s="614"/>
      <c r="AE66" s="614"/>
      <c r="AF66" s="1350" t="str">
        <f t="shared" si="11"/>
        <v>..</v>
      </c>
      <c r="AG66" s="614"/>
      <c r="AH66" s="614"/>
      <c r="AI66" s="1350" t="str">
        <f t="shared" si="12"/>
        <v>..</v>
      </c>
      <c r="AJ66" s="614"/>
      <c r="AK66" s="614"/>
      <c r="AL66" s="614"/>
      <c r="AM66" s="614"/>
      <c r="AN66" s="614"/>
      <c r="AO66" s="614"/>
      <c r="AP66" s="614"/>
      <c r="AQ66" s="614"/>
      <c r="AR66" s="614"/>
      <c r="AS66" s="614"/>
      <c r="AT66" s="614"/>
      <c r="AV66" s="209">
        <v>62</v>
      </c>
      <c r="AW66" s="209" t="s">
        <v>7043</v>
      </c>
      <c r="AX66" s="209" t="s">
        <v>7044</v>
      </c>
      <c r="AY66" s="209" t="s">
        <v>7066</v>
      </c>
      <c r="AZ66" s="209" t="s">
        <v>322</v>
      </c>
    </row>
    <row r="67" spans="1:53" x14ac:dyDescent="0.15">
      <c r="A67" s="1155" t="str">
        <f t="shared" si="14"/>
        <v>Heat plants</v>
      </c>
      <c r="B67" s="614"/>
      <c r="C67" s="614"/>
      <c r="D67" s="1350" t="str">
        <f t="shared" si="1"/>
        <v>..</v>
      </c>
      <c r="E67" s="614"/>
      <c r="F67" s="614"/>
      <c r="G67" s="1350" t="str">
        <f t="shared" si="2"/>
        <v>..</v>
      </c>
      <c r="H67" s="614"/>
      <c r="I67" s="614"/>
      <c r="J67" s="1350" t="str">
        <f t="shared" si="3"/>
        <v>..</v>
      </c>
      <c r="K67" s="1350" t="str">
        <f t="shared" si="4"/>
        <v>..</v>
      </c>
      <c r="L67" s="614"/>
      <c r="M67" s="614"/>
      <c r="N67" s="1350" t="str">
        <f t="shared" si="5"/>
        <v>..</v>
      </c>
      <c r="O67" s="614"/>
      <c r="P67" s="614"/>
      <c r="Q67" s="1350" t="str">
        <f t="shared" si="6"/>
        <v>..</v>
      </c>
      <c r="R67" s="614"/>
      <c r="S67" s="614"/>
      <c r="T67" s="1350" t="str">
        <f t="shared" si="7"/>
        <v>..</v>
      </c>
      <c r="U67" s="614"/>
      <c r="V67" s="614"/>
      <c r="W67" s="1350" t="str">
        <f t="shared" si="8"/>
        <v>..</v>
      </c>
      <c r="X67" s="614"/>
      <c r="Y67" s="614"/>
      <c r="Z67" s="1350" t="str">
        <f t="shared" si="9"/>
        <v>..</v>
      </c>
      <c r="AA67" s="614"/>
      <c r="AB67" s="614"/>
      <c r="AC67" s="1350" t="str">
        <f t="shared" si="10"/>
        <v>..</v>
      </c>
      <c r="AD67" s="614"/>
      <c r="AE67" s="614"/>
      <c r="AF67" s="1350" t="str">
        <f t="shared" si="11"/>
        <v>..</v>
      </c>
      <c r="AG67" s="614"/>
      <c r="AH67" s="614"/>
      <c r="AI67" s="1350" t="str">
        <f t="shared" si="12"/>
        <v>..</v>
      </c>
      <c r="AJ67" s="614"/>
      <c r="AK67" s="614"/>
      <c r="AL67" s="614"/>
      <c r="AM67" s="614"/>
      <c r="AN67" s="614"/>
      <c r="AO67" s="614"/>
      <c r="AP67" s="614"/>
      <c r="AQ67" s="614"/>
      <c r="AR67" s="614"/>
      <c r="AS67" s="614"/>
      <c r="AT67" s="614"/>
      <c r="AV67" s="209">
        <v>63</v>
      </c>
      <c r="AW67" s="209" t="s">
        <v>7046</v>
      </c>
      <c r="AX67" s="209" t="s">
        <v>7047</v>
      </c>
      <c r="AY67" s="209" t="s">
        <v>7068</v>
      </c>
      <c r="AZ67" s="209" t="s">
        <v>322</v>
      </c>
      <c r="BA67" s="609"/>
    </row>
    <row r="68" spans="1:53" x14ac:dyDescent="0.15">
      <c r="AV68" s="209">
        <v>64</v>
      </c>
      <c r="AZ68" s="209" t="s">
        <v>322</v>
      </c>
    </row>
    <row r="69" spans="1:53" x14ac:dyDescent="0.15">
      <c r="AV69" s="209">
        <v>65</v>
      </c>
      <c r="AZ69" s="209" t="s">
        <v>322</v>
      </c>
      <c r="BA69" s="995"/>
    </row>
    <row r="70" spans="1:53" x14ac:dyDescent="0.15">
      <c r="AV70" s="209">
        <v>66</v>
      </c>
      <c r="AZ70" s="209" t="s">
        <v>322</v>
      </c>
      <c r="BA70" s="611"/>
    </row>
    <row r="71" spans="1:53" ht="11.25" x14ac:dyDescent="0.2">
      <c r="AH71" s="555"/>
      <c r="AI71" s="555"/>
      <c r="AJ71" s="555"/>
      <c r="AK71" s="555"/>
      <c r="AL71" s="555"/>
      <c r="AM71" s="555"/>
      <c r="AN71" s="555"/>
      <c r="AO71" s="555"/>
      <c r="AP71" s="555"/>
      <c r="AQ71" s="555"/>
      <c r="AR71" s="555"/>
      <c r="AS71" s="555"/>
      <c r="AT71" s="555"/>
      <c r="AV71" s="209">
        <v>67</v>
      </c>
      <c r="AZ71" s="209" t="s">
        <v>322</v>
      </c>
      <c r="BA71" s="996"/>
    </row>
    <row r="72" spans="1:53" x14ac:dyDescent="0.15">
      <c r="AV72" s="209">
        <v>68</v>
      </c>
      <c r="AZ72" s="209" t="s">
        <v>322</v>
      </c>
    </row>
    <row r="73" spans="1:53" x14ac:dyDescent="0.15">
      <c r="AV73" s="209">
        <v>69</v>
      </c>
      <c r="AZ73" s="209" t="s">
        <v>322</v>
      </c>
    </row>
    <row r="74" spans="1:53" x14ac:dyDescent="0.15">
      <c r="AV74" s="209">
        <v>70</v>
      </c>
      <c r="AW74" s="209" t="s">
        <v>7069</v>
      </c>
      <c r="AX74" s="209" t="s">
        <v>7070</v>
      </c>
      <c r="AY74" s="209" t="s">
        <v>148</v>
      </c>
      <c r="AZ74" s="209" t="s">
        <v>322</v>
      </c>
    </row>
    <row r="75" spans="1:53" x14ac:dyDescent="0.15">
      <c r="AV75" s="209">
        <v>71</v>
      </c>
      <c r="AW75" s="209" t="s">
        <v>161</v>
      </c>
      <c r="AX75" s="209" t="s">
        <v>162</v>
      </c>
      <c r="AZ75" s="209" t="s">
        <v>322</v>
      </c>
    </row>
  </sheetData>
  <mergeCells count="1">
    <mergeCell ref="AW3:AY3"/>
  </mergeCells>
  <pageMargins left="0.51181102362204722" right="0.51181102362204722" top="0.74803149606299213" bottom="0.74803149606299213" header="0.31496062992125984" footer="0.31496062992125984"/>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tabColor theme="8" tint="0.59999389629810485"/>
  </sheetPr>
  <dimension ref="A1:AZ96"/>
  <sheetViews>
    <sheetView showGridLines="0" topLeftCell="A5" zoomScale="148" zoomScaleNormal="148" workbookViewId="0">
      <selection activeCell="A5" sqref="A5"/>
    </sheetView>
  </sheetViews>
  <sheetFormatPr defaultRowHeight="12.75" x14ac:dyDescent="0.2"/>
  <cols>
    <col min="1" max="1" width="9.140625" customWidth="1"/>
    <col min="2" max="2" width="28.28515625" customWidth="1"/>
    <col min="3" max="3" width="16.42578125" customWidth="1"/>
    <col min="4" max="4" width="7.140625" bestFit="1" customWidth="1"/>
    <col min="5" max="5" width="6.28515625" customWidth="1"/>
    <col min="6" max="6" width="5.42578125" bestFit="1" customWidth="1"/>
    <col min="7" max="7" width="6.42578125" bestFit="1" customWidth="1"/>
    <col min="8" max="8" width="4.7109375" customWidth="1"/>
    <col min="9" max="9" width="5.140625" customWidth="1"/>
    <col min="10" max="26" width="7.42578125" customWidth="1"/>
    <col min="27" max="27" width="22.85546875" hidden="1" customWidth="1"/>
    <col min="28" max="28" width="4.42578125" hidden="1" customWidth="1"/>
    <col min="29" max="31" width="19.7109375" hidden="1" customWidth="1"/>
    <col min="32" max="32" width="1.42578125" hidden="1" customWidth="1"/>
    <col min="33" max="33" width="9.140625" hidden="1" customWidth="1"/>
    <col min="34" max="34" width="24" hidden="1" customWidth="1"/>
    <col min="35" max="35" width="16.28515625" hidden="1" customWidth="1"/>
    <col min="36" max="36" width="15.5703125" hidden="1" customWidth="1"/>
    <col min="37" max="37" width="12.7109375" hidden="1" customWidth="1"/>
    <col min="38" max="38" width="13.5703125" hidden="1" customWidth="1"/>
    <col min="39" max="39" width="10.5703125" hidden="1" customWidth="1"/>
    <col min="40" max="52" width="9.140625" hidden="1" customWidth="1"/>
  </cols>
  <sheetData>
    <row r="1" spans="1:44" ht="43.5" customHeight="1" x14ac:dyDescent="0.3">
      <c r="A1" s="2128" t="str">
        <f>HLOOKUP(LangChoice,$AC$2:$AE$50,$AB3+1,FALSE) &amp; ", " &amp; CountryName</f>
        <v>Summary of the energy balance, South Africa</v>
      </c>
      <c r="B1" s="2128"/>
      <c r="C1" s="2129"/>
      <c r="D1" s="2129"/>
      <c r="E1" s="2129"/>
      <c r="F1" s="2129"/>
      <c r="G1" s="2129"/>
      <c r="H1" s="2129"/>
      <c r="I1" s="2129"/>
      <c r="J1" s="20"/>
      <c r="K1" s="20"/>
      <c r="L1" s="20"/>
      <c r="M1" s="20"/>
      <c r="N1" s="20"/>
      <c r="O1" s="20"/>
      <c r="P1" s="20"/>
      <c r="Q1" s="20"/>
      <c r="R1" s="20"/>
      <c r="S1" s="20"/>
      <c r="T1" s="20"/>
      <c r="U1" s="20"/>
      <c r="V1" s="20"/>
      <c r="W1" s="20"/>
      <c r="X1" s="20"/>
      <c r="Y1" s="20"/>
      <c r="Z1" s="20"/>
      <c r="AA1" s="1183" t="s">
        <v>1</v>
      </c>
      <c r="AB1" s="618" t="s">
        <v>322</v>
      </c>
      <c r="AC1" s="1168" t="s">
        <v>7174</v>
      </c>
      <c r="AD1" s="720"/>
      <c r="AE1" s="1163"/>
      <c r="AF1" s="806"/>
      <c r="AG1" s="618"/>
      <c r="AH1" s="1210" t="s">
        <v>7175</v>
      </c>
      <c r="AI1" s="851"/>
      <c r="AJ1" s="851"/>
      <c r="AK1" s="851"/>
      <c r="AL1" s="851"/>
      <c r="AM1" s="1211"/>
      <c r="AN1" s="653"/>
      <c r="AO1" s="653"/>
      <c r="AP1" s="807"/>
      <c r="AQ1" s="1181" t="s">
        <v>7017</v>
      </c>
      <c r="AR1" s="20"/>
    </row>
    <row r="2" spans="1:44" s="20" customFormat="1" ht="12.75" customHeight="1" x14ac:dyDescent="0.2">
      <c r="F2" s="259"/>
      <c r="AA2" s="259" t="s">
        <v>7176</v>
      </c>
      <c r="AB2" s="592" t="s">
        <v>7074</v>
      </c>
      <c r="AC2" s="530" t="s">
        <v>7</v>
      </c>
      <c r="AD2" s="530" t="s">
        <v>8</v>
      </c>
      <c r="AE2" s="530" t="s">
        <v>9</v>
      </c>
      <c r="AH2" s="624" t="s">
        <v>7177</v>
      </c>
      <c r="AI2" s="259" t="str">
        <f>C18</f>
        <v>Graph 2: Energy production by fuel</v>
      </c>
      <c r="AJ2" s="259" t="str">
        <f>C11</f>
        <v>Graph 1: Total primary energy supply by fuel¹</v>
      </c>
      <c r="AK2" s="259" t="str">
        <f>C37</f>
        <v/>
      </c>
      <c r="AL2" s="259" t="str">
        <f>C25</f>
        <v>Graph 3: Electricity production by source</v>
      </c>
      <c r="AM2" s="715" t="s">
        <v>7178</v>
      </c>
    </row>
    <row r="3" spans="1:44" s="20" customFormat="1" ht="15" customHeight="1" x14ac:dyDescent="0.25">
      <c r="A3" s="658" t="str">
        <f>HLOOKUP(LangChoice,$AC$2:$AE$50,$AB6+1,FALSE)</f>
        <v>SUPPLY</v>
      </c>
      <c r="B3" s="32"/>
      <c r="C3" s="32"/>
      <c r="D3" s="32"/>
      <c r="E3" s="32"/>
      <c r="F3" s="32"/>
      <c r="G3" s="32"/>
      <c r="H3" s="32"/>
      <c r="I3" s="32"/>
      <c r="AA3" s="1212"/>
      <c r="AB3" s="576">
        <v>1</v>
      </c>
      <c r="AC3" s="1079" t="s">
        <v>7179</v>
      </c>
      <c r="AD3" s="1079" t="s">
        <v>7180</v>
      </c>
      <c r="AE3" s="1079" t="s">
        <v>148</v>
      </c>
      <c r="AF3" s="592"/>
      <c r="AH3" s="589" t="str">
        <f>'Aggregated Balance'!B2</f>
        <v>Coal</v>
      </c>
      <c r="AI3" s="583">
        <f ca="1">SUM('Aggregated Balance'!$B3:$D3)</f>
        <v>6020866.3651390001</v>
      </c>
      <c r="AJ3" s="583">
        <f ca="1">SUM('Aggregated Balance'!$B9:$D9)</f>
        <v>4087995.4415419996</v>
      </c>
      <c r="AK3" s="583">
        <f ca="1">SUM('Aggregated Balance'!$B28:$D28)</f>
        <v>568303.44735800009</v>
      </c>
      <c r="AL3" s="583">
        <f>SUM('Aggregated Balance'!$B61:$D61)</f>
        <v>200341.94</v>
      </c>
      <c r="AM3" s="651">
        <f ca="1">AI3/AJ3</f>
        <v>1.472816310888037</v>
      </c>
    </row>
    <row r="4" spans="1:44" s="20" customFormat="1" ht="6" customHeight="1" x14ac:dyDescent="0.2">
      <c r="AA4" s="1212"/>
      <c r="AB4" s="576">
        <v>2</v>
      </c>
      <c r="AC4" s="576"/>
      <c r="AD4" s="576"/>
      <c r="AE4" s="576"/>
      <c r="AF4" s="592"/>
      <c r="AH4" s="1201" t="str">
        <f>HLOOKUP(LangChoice,$AC$2:$AE$50,$AB39+1,FALSE)</f>
        <v>Oil</v>
      </c>
      <c r="AI4" s="654">
        <f ca="1">SUM('Aggregated Balance'!$E3,'Aggregated Balance'!$F3)</f>
        <v>587143.76603205118</v>
      </c>
      <c r="AJ4" s="654">
        <f ca="1">SUM('Aggregated Balance'!$E9,'Aggregated Balance'!$F9)</f>
        <v>1722568.762150499</v>
      </c>
      <c r="AK4" s="654">
        <f ca="1">SUM('Aggregated Balance'!$E28,'Aggregated Balance'!$F28)</f>
        <v>896290.86337471986</v>
      </c>
      <c r="AL4" s="654">
        <f>SUM('Aggregated Balance'!$E61,'Aggregated Balance'!$F61)</f>
        <v>0</v>
      </c>
      <c r="AM4" s="1202">
        <f ca="1">AI4/AJ4</f>
        <v>0.34085360128036096</v>
      </c>
    </row>
    <row r="5" spans="1:44" s="20" customFormat="1" ht="15" customHeight="1" x14ac:dyDescent="0.25">
      <c r="A5" s="659" t="str">
        <f>HLOOKUP(LangChoice,$AC$2:$AE$50,$AB7+1,FALSE)</f>
        <v>TPES</v>
      </c>
      <c r="AA5" s="576"/>
      <c r="AB5" s="576">
        <v>3</v>
      </c>
      <c r="AC5" s="576"/>
      <c r="AD5" s="576"/>
      <c r="AE5" s="576"/>
      <c r="AH5" s="589" t="str">
        <f>'Aggregated Balance'!G2</f>
        <v>Natural gas</v>
      </c>
      <c r="AI5" s="583">
        <f>'Aggregated Balance'!$G3</f>
        <v>655</v>
      </c>
      <c r="AJ5" s="583">
        <f ca="1">'Aggregated Balance'!$G9</f>
        <v>117672.17901916505</v>
      </c>
      <c r="AK5" s="583">
        <f ca="1">'Aggregated Balance'!$G28</f>
        <v>70891.136114501962</v>
      </c>
      <c r="AL5" s="583">
        <f>'Aggregated Balance'!$G61</f>
        <v>0</v>
      </c>
      <c r="AM5" s="651">
        <f ca="1">AI5/AJ5</f>
        <v>5.5663114719182805E-3</v>
      </c>
    </row>
    <row r="6" spans="1:44" s="20" customFormat="1" ht="24" customHeight="1" x14ac:dyDescent="0.2">
      <c r="A6" s="2273" t="str">
        <f ca="1">AA8&amp;$AB$1&amp;AA9&amp;$AB$1&amp;AA10&amp;$AB$1&amp;AA11</f>
        <v>Total primary energy supply (TPES) was 6090 million tonnes of oil-equivalent (Mtoe) in 2019. Coal is the main fuel in the country's energy mix, accounting for 67% of TPES. It is followed by oil (28%) and nuclear (3%). Renewable share of the TPES is 0%.</v>
      </c>
      <c r="B6" s="2273"/>
      <c r="AA6" s="1213"/>
      <c r="AB6" s="1214">
        <v>4</v>
      </c>
      <c r="AC6" s="1251" t="s">
        <v>7181</v>
      </c>
      <c r="AD6" s="1251" t="s">
        <v>7182</v>
      </c>
      <c r="AE6" s="1253" t="s">
        <v>148</v>
      </c>
      <c r="AH6" s="589" t="str">
        <f>'Aggregated Balance'!H2</f>
        <v>Nuclear</v>
      </c>
      <c r="AI6" s="583">
        <f>'Aggregated Balance'!$H3</f>
        <v>198135.20818181819</v>
      </c>
      <c r="AJ6" s="583">
        <f>'Aggregated Balance'!$H9</f>
        <v>198135.20818181819</v>
      </c>
      <c r="AK6" s="664">
        <f>'Aggregated Balance'!$H28</f>
        <v>0</v>
      </c>
      <c r="AL6" s="583">
        <f>'Aggregated Balance'!$H61</f>
        <v>14214</v>
      </c>
      <c r="AM6" s="1203"/>
    </row>
    <row r="7" spans="1:44" s="20" customFormat="1" ht="24" customHeight="1" x14ac:dyDescent="0.2">
      <c r="A7" s="2273"/>
      <c r="B7" s="2273"/>
      <c r="E7" s="605"/>
      <c r="F7" s="605"/>
      <c r="G7" s="604"/>
      <c r="H7" s="604"/>
      <c r="X7" s="584"/>
      <c r="Y7" s="584"/>
      <c r="Z7" s="584"/>
      <c r="AA7" s="1215"/>
      <c r="AB7" s="576">
        <v>5</v>
      </c>
      <c r="AC7" s="1252" t="s">
        <v>199</v>
      </c>
      <c r="AD7" s="1252" t="s">
        <v>7183</v>
      </c>
      <c r="AE7" s="1254" t="s">
        <v>148</v>
      </c>
      <c r="AF7" s="584"/>
      <c r="AH7" s="589" t="str">
        <f>'Aggregated Balance'!I2</f>
        <v>Hydro</v>
      </c>
      <c r="AI7" s="583">
        <f>'Aggregated Balance'!$I3</f>
        <v>-56949.423599999995</v>
      </c>
      <c r="AJ7" s="583">
        <f>'Aggregated Balance'!$I9</f>
        <v>-56949.423599999995</v>
      </c>
      <c r="AK7" s="664">
        <f>'Aggregated Balance'!$I28</f>
        <v>0</v>
      </c>
      <c r="AL7" s="583">
        <f>'Aggregated Balance'!$I61</f>
        <v>-16036.450999999999</v>
      </c>
      <c r="AM7" s="1203"/>
    </row>
    <row r="8" spans="1:44" s="20" customFormat="1" ht="24" customHeight="1" x14ac:dyDescent="0.2">
      <c r="A8" s="2273"/>
      <c r="B8" s="2273"/>
      <c r="C8" s="595"/>
      <c r="E8" s="568"/>
      <c r="F8" s="560"/>
      <c r="G8" s="595"/>
      <c r="N8" s="581"/>
      <c r="O8" s="560"/>
      <c r="P8" s="567"/>
      <c r="Q8" s="567"/>
      <c r="R8" s="567"/>
      <c r="S8" s="567"/>
      <c r="T8" s="567"/>
      <c r="U8" s="567"/>
      <c r="V8" s="567"/>
      <c r="W8" s="567"/>
      <c r="X8" s="567"/>
      <c r="Y8" s="567"/>
      <c r="Z8" s="567"/>
      <c r="AA8" s="1215" t="str">
        <f ca="1">HLOOKUP(LangChoice,$AC$2:$AE$65,$AB8+1)</f>
        <v>Total primary energy supply (TPES) was 6090 million tonnes of oil-equivalent (Mtoe) in 2019.</v>
      </c>
      <c r="AB8" s="576">
        <v>6</v>
      </c>
      <c r="AC8" s="1134" t="str">
        <f ca="1">"Total primary energy supply (TPES) was " &amp;ROUND($AJ$13/1000,0) &amp; " million tonnes of oil-equivalent (Mtoe) in " &amp; DataYear &amp;"."</f>
        <v>Total primary energy supply (TPES) was 6090 million tonnes of oil-equivalent (Mtoe) in 2019.</v>
      </c>
      <c r="AD8" s="1134" t="str">
        <f ca="1">"Общее предложение первичной энергии (ОППЭ) в " &amp; DataYear &amp; " году составило " &amp; ROUND($AJ$13/1000,0) &amp; " Мт н. э. (мегатонн нефтяного эквивалента)."</f>
        <v>Общее предложение первичной энергии (ОППЭ) в 2019 году составило 6090 Мт н. э. (мегатонн нефтяного эквивалента).</v>
      </c>
      <c r="AE8" s="1247" t="s">
        <v>148</v>
      </c>
      <c r="AF8" s="567"/>
      <c r="AH8" s="589" t="str">
        <f>'Aggregated Balance'!L2</f>
        <v>Biofuels and waste</v>
      </c>
      <c r="AI8" s="583">
        <f ca="1">'Aggregated Balance'!$L3</f>
        <v>0</v>
      </c>
      <c r="AJ8" s="583">
        <f ca="1">'Aggregated Balance'!$L9</f>
        <v>0</v>
      </c>
      <c r="AK8" s="583">
        <f ca="1">'Aggregated Balance'!$L28</f>
        <v>425422.29000000004</v>
      </c>
      <c r="AL8" s="583">
        <f>'Aggregated Balance'!$L61</f>
        <v>309.06</v>
      </c>
      <c r="AM8" s="1203"/>
    </row>
    <row r="9" spans="1:44" s="20" customFormat="1" ht="24" customHeight="1" x14ac:dyDescent="0.2">
      <c r="A9" s="2273"/>
      <c r="B9" s="2273"/>
      <c r="AA9" s="1215" t="str">
        <f ca="1">HLOOKUP(LangChoice,$AC$2:$AE$65,$AB9+1)</f>
        <v>Coal is the main fuel in the country's energy mix, accounting for 67% of TPES.</v>
      </c>
      <c r="AB9" s="576">
        <v>7</v>
      </c>
      <c r="AC9" s="1134" t="str">
        <f ca="1">AJ22 &amp; " is the main fuel in the country's energy mix, accounting for " &amp; IF(TEXT(AL22,"0%")="100%",TEXT(AL22,"0.0%"),TEXT(AL22,"0%")) &amp;" of TPES."</f>
        <v>Coal is the main fuel in the country's energy mix, accounting for 67% of TPES.</v>
      </c>
      <c r="AD9" s="1134" t="str">
        <f ca="1">AJ22 &amp; " является основным видом топлива в структуре энергетики страны и его доля составила " &amp;  IF(TEXT(AL22,"0%")="100%",TEXT(AL22,"0.0%"),TEXT(AL22,"0%"))  &amp; " ОППЭ."</f>
        <v>Coal является основным видом топлива в структуре энергетики страны и его доля составила 67% ОППЭ.</v>
      </c>
      <c r="AE9" s="1248" t="s">
        <v>148</v>
      </c>
      <c r="AH9" s="1204" t="str">
        <f>HLOOKUP(LangChoice,$AC$2:$AE$50,$AB40+1,FALSE)</f>
        <v>Other ²</v>
      </c>
      <c r="AI9" s="583">
        <f>SUM(AI10,AI12)</f>
        <v>44033.19</v>
      </c>
      <c r="AJ9" s="583">
        <f>SUM(AJ10,AJ12)</f>
        <v>44033.19</v>
      </c>
      <c r="AK9" s="583">
        <f>SUM(AK10:AK12)</f>
        <v>716484.8844000001</v>
      </c>
      <c r="AL9" s="583">
        <f>SUM(AL10:AL12)</f>
        <v>9507.7000000000007</v>
      </c>
      <c r="AM9" s="590"/>
    </row>
    <row r="10" spans="1:44" s="20" customFormat="1" ht="24" customHeight="1" x14ac:dyDescent="0.2">
      <c r="A10" s="2273"/>
      <c r="B10" s="2273"/>
      <c r="AA10" s="1215" t="str">
        <f ca="1">HLOOKUP(LangChoice,$AC$2:$AE$65,$AB10+1)</f>
        <v>It is followed by oil (28%) and nuclear (3%).</v>
      </c>
      <c r="AB10" s="576">
        <v>8</v>
      </c>
      <c r="AC10" s="1134" t="str">
        <f ca="1">"It is followed by " &amp; LOWER(AJ23) &amp; " (" &amp; TEXT(AL23,"0%") &amp; ") and " &amp; LOWER(AJ24) &amp; " (" &amp; TEXT(AL24,"0%") &amp; ")."</f>
        <v>It is followed by oil (28%) and nuclear (3%).</v>
      </c>
      <c r="AD10" s="1134" t="str">
        <f ca="1">"Следующими по значимости видами топлива являются " &amp; LOWER(AJ23) &amp; " (" &amp; TEXT(AL23,"0%") &amp; ") и " &amp; LOWER(AJ24) &amp; " (" &amp; TEXT(AL24,"0%") &amp; ")."</f>
        <v>Следующими по значимости видами топлива являются oil (28%) и nuclear (3%).</v>
      </c>
      <c r="AE10" s="1248" t="s">
        <v>148</v>
      </c>
      <c r="AH10" s="589" t="str">
        <f>'Aggregated Balance'!J2&amp;", "&amp;'Aggregated Balance'!K2</f>
        <v>Geothermal, Solar, Wind, Others</v>
      </c>
      <c r="AI10" s="583">
        <f>SUM('Aggregated Balance'!$J3,'Aggregated Balance'!$K3)</f>
        <v>44033.19</v>
      </c>
      <c r="AJ10" s="583">
        <f>SUM('Aggregated Balance'!$J9,'Aggregated Balance'!$K9)</f>
        <v>44033.19</v>
      </c>
      <c r="AK10" s="583">
        <f>SUM('Aggregated Balance'!$J28,'Aggregated Balance'!$K28)</f>
        <v>0</v>
      </c>
      <c r="AL10" s="583">
        <f>SUM('Aggregated Balance'!$J61,'Aggregated Balance'!$K61)</f>
        <v>9507.7000000000007</v>
      </c>
      <c r="AM10" s="1203"/>
    </row>
    <row r="11" spans="1:44" s="20" customFormat="1" ht="11.25" customHeight="1" x14ac:dyDescent="0.2">
      <c r="A11" s="207"/>
      <c r="B11" s="207"/>
      <c r="C11" s="1261" t="str">
        <f>HLOOKUP(LangChoice,$AC$2:$AE$50,$AB12+1,FALSE)</f>
        <v>Graph 1: Total primary energy supply by fuel¹</v>
      </c>
      <c r="AA11" s="1215" t="str">
        <f ca="1">HLOOKUP(LangChoice,$AC$2:$AE$65,$AB11+1)</f>
        <v>Renewable share of the TPES is 0%.</v>
      </c>
      <c r="AB11" s="576">
        <v>9</v>
      </c>
      <c r="AC11" s="1134" t="str">
        <f ca="1">"Renewable share of the TPES is " &amp;TEXT(AJ16,"0%") &amp; "."</f>
        <v>Renewable share of the TPES is 0%.</v>
      </c>
      <c r="AD11" s="1134" t="str">
        <f ca="1">"Доля возобновляемых источников энергии в ОППЭ составляет " &amp; TEXT(AJ16,"0%") &amp; "."</f>
        <v>Доля возобновляемых источников энергии в ОППЭ составляет 0%.</v>
      </c>
      <c r="AE11" s="1248" t="s">
        <v>148</v>
      </c>
      <c r="AH11" s="589" t="str">
        <f>'Aggregated Balance'!M2</f>
        <v>Electricity</v>
      </c>
      <c r="AI11" s="1205">
        <f>'Aggregated Balance'!$M3</f>
        <v>0</v>
      </c>
      <c r="AJ11" s="583">
        <f>'Aggregated Balance'!$M9</f>
        <v>-23499.017999999993</v>
      </c>
      <c r="AK11" s="583">
        <f>'Aggregated Balance'!$M28</f>
        <v>716484.8844000001</v>
      </c>
      <c r="AL11" s="664">
        <f>'Aggregated Balance'!$M61</f>
        <v>0</v>
      </c>
      <c r="AM11" s="1203"/>
    </row>
    <row r="12" spans="1:44" s="20" customFormat="1" ht="15" customHeight="1" x14ac:dyDescent="0.25">
      <c r="A12" s="659" t="str">
        <f>HLOOKUP(LangChoice,$AC$2:$AE$50,$AB15+1,FALSE)</f>
        <v>PRODUCTION</v>
      </c>
      <c r="AA12" s="1216"/>
      <c r="AB12" s="1217">
        <v>10</v>
      </c>
      <c r="AC12" s="1250" t="s">
        <v>7184</v>
      </c>
      <c r="AD12" s="1250" t="s">
        <v>7185</v>
      </c>
      <c r="AE12" s="1249" t="s">
        <v>148</v>
      </c>
      <c r="AH12" s="589" t="str">
        <f>'Aggregated Balance'!N2</f>
        <v>Heat</v>
      </c>
      <c r="AI12" s="583">
        <f>'Aggregated Balance'!$N3</f>
        <v>0</v>
      </c>
      <c r="AJ12" s="583">
        <f>'Aggregated Balance'!$N9</f>
        <v>0</v>
      </c>
      <c r="AK12" s="583">
        <f>'Aggregated Balance'!$N28</f>
        <v>0</v>
      </c>
      <c r="AL12" s="583">
        <f>'Aggregated Balance'!$N61</f>
        <v>0</v>
      </c>
      <c r="AM12" s="1203"/>
    </row>
    <row r="13" spans="1:44" s="20" customFormat="1" ht="24" customHeight="1" x14ac:dyDescent="0.2">
      <c r="A13" s="2273" t="str">
        <f ca="1">AA16&amp;$AB$1&amp;AA17&amp;$AB$1&amp;AA18&amp;$AB$1&amp;AA19</f>
        <v>Total energy production was 6794 Mtoe in 2019. In the domestic production, coal has the largest share (89%). Fossil fuels represent 97% of the total energy production. The overall self-sufficiency (ratio between production and TPES) of is 112%.</v>
      </c>
      <c r="B13" s="2273"/>
      <c r="AB13" s="576">
        <v>11</v>
      </c>
      <c r="AC13" s="241"/>
      <c r="AD13" s="241"/>
      <c r="AE13" s="241"/>
      <c r="AH13" s="624" t="str">
        <f>'Aggregated Balance'!P2</f>
        <v>Total</v>
      </c>
      <c r="AI13" s="665">
        <f ca="1">'Aggregated Balance'!$P3</f>
        <v>6793884.1057528695</v>
      </c>
      <c r="AJ13" s="665">
        <f ca="1">'Aggregated Balance'!$P9</f>
        <v>6089956.3392934818</v>
      </c>
      <c r="AK13" s="665">
        <f ca="1">'Aggregated Balance'!$P28</f>
        <v>2677392.6212472217</v>
      </c>
      <c r="AL13" s="665">
        <f>'Aggregated Balance'!$P61</f>
        <v>208336.24900000001</v>
      </c>
      <c r="AM13" s="651">
        <f ca="1">AI13/AJ13</f>
        <v>1.1155883108582438</v>
      </c>
    </row>
    <row r="14" spans="1:44" s="20" customFormat="1" ht="24" customHeight="1" x14ac:dyDescent="0.2">
      <c r="A14" s="2273"/>
      <c r="B14" s="2273"/>
      <c r="AB14" s="576">
        <v>12</v>
      </c>
      <c r="AC14" s="241"/>
      <c r="AD14" s="241"/>
      <c r="AE14" s="241"/>
      <c r="AH14" s="1200" t="s">
        <v>7186</v>
      </c>
      <c r="AI14" s="664">
        <f ca="1">SUM(AI3:AI9)-AI13</f>
        <v>0</v>
      </c>
      <c r="AJ14" s="664">
        <f t="shared" ref="AJ14:AL14" ca="1" si="0">SUM(AJ3:AJ9)-AJ13</f>
        <v>23499.018000000156</v>
      </c>
      <c r="AK14" s="664">
        <f t="shared" ca="1" si="0"/>
        <v>0</v>
      </c>
      <c r="AL14" s="664">
        <f t="shared" si="0"/>
        <v>0</v>
      </c>
      <c r="AM14" s="590"/>
    </row>
    <row r="15" spans="1:44" s="20" customFormat="1" ht="24" customHeight="1" x14ac:dyDescent="0.2">
      <c r="A15" s="2273"/>
      <c r="B15" s="2273"/>
      <c r="AA15" s="1213"/>
      <c r="AB15" s="1214">
        <v>13</v>
      </c>
      <c r="AC15" s="1251" t="s">
        <v>7187</v>
      </c>
      <c r="AD15" s="1251" t="s">
        <v>7188</v>
      </c>
      <c r="AE15" s="1253" t="s">
        <v>148</v>
      </c>
      <c r="AF15" s="576"/>
      <c r="AH15" s="1206" t="s">
        <v>7189</v>
      </c>
      <c r="AI15" s="655">
        <f ca="1">SUM(AI$7,AI$8,AI$10)-SUM('Disaggregated Balance'!$AT5,'Disaggregated Balance'!$AV5)</f>
        <v>-12916.233599999992</v>
      </c>
      <c r="AJ15" s="655">
        <f ca="1">SUM(AJ$7,AJ$8,AJ$10)-SUM('Disaggregated Balance'!$AT11,'Disaggregated Balance'!$AV11)</f>
        <v>-12916.233599999992</v>
      </c>
      <c r="AK15" s="661"/>
      <c r="AL15" s="655">
        <f>SUM(AL$7,AL$8,AL$10)-SUM('Disaggregated Balance'!$AT59,'Disaggregated Balance'!$AV59)</f>
        <v>-6219.6909999999989</v>
      </c>
      <c r="AM15" s="590"/>
    </row>
    <row r="16" spans="1:44" s="20" customFormat="1" ht="24" customHeight="1" x14ac:dyDescent="0.2">
      <c r="A16" s="2273"/>
      <c r="B16" s="2273"/>
      <c r="AA16" s="1215" t="str">
        <f ca="1">HLOOKUP(LangChoice,$AC$2:$AE$65,$AB16+1)</f>
        <v>Total energy production was 6794 Mtoe in 2019.</v>
      </c>
      <c r="AB16" s="576">
        <v>14</v>
      </c>
      <c r="AC16" s="1134" t="str">
        <f ca="1">"Total energy production was " &amp;IF(ROUND($AI$13/1000,0)=0,ROUND($AI$13/1000,1),ROUND($AI$13/1000,0)) &amp; " Mtoe in " &amp; DataYear &amp;"."</f>
        <v>Total energy production was 6794 Mtoe in 2019.</v>
      </c>
      <c r="AD16" s="1134" t="str">
        <f ca="1">"Суммарная выработка энергии в " &amp; DataYear &amp; " году составила " &amp; IF(ROUND($AI$13/1000,0)=0,ROUND($AI$13/1000,1),ROUND($AI$13/1000,0)) &amp; " Мт н. э."</f>
        <v>Суммарная выработка энергии в 2019 году составила 6794 Мт н. э.</v>
      </c>
      <c r="AE16" s="1248" t="s">
        <v>148</v>
      </c>
      <c r="AF16" s="576"/>
      <c r="AH16" s="1207" t="s">
        <v>7190</v>
      </c>
      <c r="AI16" s="1184">
        <f ca="1">AI15/AI13</f>
        <v>-1.9011560101625652E-3</v>
      </c>
      <c r="AJ16" s="1184">
        <f ca="1">AJ15/AJ13</f>
        <v>-2.1209074220552545E-3</v>
      </c>
      <c r="AK16" s="648"/>
      <c r="AL16" s="1184">
        <f>AL15/AL13</f>
        <v>-2.9854098985913867E-2</v>
      </c>
      <c r="AM16" s="590"/>
    </row>
    <row r="17" spans="1:39" s="20" customFormat="1" ht="24" customHeight="1" x14ac:dyDescent="0.2">
      <c r="A17" s="2273"/>
      <c r="B17" s="2273"/>
      <c r="AA17" s="1215" t="str">
        <f ca="1">HLOOKUP(LangChoice,$AC$2:$AE$65,$AB17+1)</f>
        <v>In the domestic production, coal has the largest share (89%).</v>
      </c>
      <c r="AB17" s="576">
        <v>15</v>
      </c>
      <c r="AC17" s="1134" t="str">
        <f ca="1">"In the domestic production, " &amp; LOWER(AJ35) &amp; " has the largest share (" &amp; TEXT(AL35,"0%") &amp; ")."</f>
        <v>In the domestic production, coal has the largest share (89%).</v>
      </c>
      <c r="AD17" s="1134" t="str">
        <f ca="1">"Наибольшая доля внутреннего производства энергии приходится на "&amp; LOWER(AJ35) &amp; " (" &amp; TEXT(AL35,"0%") &amp; ")."</f>
        <v>Наибольшая доля внутреннего производства энергии приходится на coal (89%).</v>
      </c>
      <c r="AE17" s="1248" t="s">
        <v>148</v>
      </c>
      <c r="AF17" s="576"/>
      <c r="AH17" s="1207" t="s">
        <v>7191</v>
      </c>
      <c r="AI17" s="583">
        <f ca="1">SUM(AI3:AI5)+SUM('Disaggregated Balance'!$AT5,'Disaggregated Balance'!$AV5)</f>
        <v>6608665.1311710514</v>
      </c>
      <c r="AJ17" s="648"/>
      <c r="AK17" s="648"/>
      <c r="AL17" s="583">
        <f>SUM(AL3:AL5)+SUM('Disaggregated Balance'!$AT88,'Disaggregated Balance'!$AV88)</f>
        <v>200341.94</v>
      </c>
      <c r="AM17" s="590"/>
    </row>
    <row r="18" spans="1:39" s="20" customFormat="1" ht="11.25" x14ac:dyDescent="0.2">
      <c r="C18" s="1261" t="str">
        <f>HLOOKUP(LangChoice,$AC$2:$AE$50,$AB20+1,FALSE)</f>
        <v>Graph 2: Energy production by fuel</v>
      </c>
      <c r="AA18" s="1215" t="str">
        <f ca="1">HLOOKUP(LangChoice,$AC$2:$AE$65,$AB18+1)</f>
        <v>Fossil fuels represent 97% of the total energy production.</v>
      </c>
      <c r="AB18" s="576">
        <v>16</v>
      </c>
      <c r="AC18" s="1134" t="str">
        <f ca="1">"Fossil fuels represent "&amp; TEXT(AI18,"0%") &amp; " of the total energy production."</f>
        <v>Fossil fuels represent 97% of the total energy production.</v>
      </c>
      <c r="AD18" s="1134" t="str">
        <f ca="1">"Доля ископаемого топлива составляет " &amp; TEXT(AI18,"0%") &amp; " от общего производства энергии."</f>
        <v>Доля ископаемого топлива составляет 97% от общего производства энергии.</v>
      </c>
      <c r="AE18" s="1248" t="s">
        <v>148</v>
      </c>
      <c r="AF18" s="576"/>
      <c r="AH18" s="1208" t="s">
        <v>7192</v>
      </c>
      <c r="AI18" s="669">
        <f ca="1">AI17/AI13</f>
        <v>0.97273739561954264</v>
      </c>
      <c r="AJ18" s="1209"/>
      <c r="AK18" s="1209"/>
      <c r="AL18" s="669">
        <f>AL17/AL13</f>
        <v>0.96162785382586013</v>
      </c>
      <c r="AM18" s="628"/>
    </row>
    <row r="19" spans="1:39" s="20" customFormat="1" ht="15" customHeight="1" x14ac:dyDescent="0.25">
      <c r="A19" s="659" t="str">
        <f>HLOOKUP(LangChoice,$AC$2:$AE$50,$AB23+1,FALSE)</f>
        <v>ELECTRICITY GENERATION</v>
      </c>
      <c r="AA19" s="1215" t="str">
        <f ca="1">HLOOKUP(LangChoice,$AC$2:$AE$65,$AB19+1)</f>
        <v>The overall self-sufficiency (ratio between production and TPES) of is 112%.</v>
      </c>
      <c r="AB19" s="576">
        <v>17</v>
      </c>
      <c r="AC19" s="1134" t="str">
        <f ca="1">"The overall self-sufficiency (ratio between production and TPES) of is " &amp; TEXT(AM13,"0%") &amp; "."</f>
        <v>The overall self-sufficiency (ratio between production and TPES) of is 112%.</v>
      </c>
      <c r="AD19" s="1134" t="str">
        <f ca="1">"Общая самообеспеченность (соотношение между производством и ОППЭ) составляет " &amp; TEXT(AM13,"0%") &amp;"."</f>
        <v>Общая самообеспеченность (соотношение между производством и ОППЭ) составляет 112%.</v>
      </c>
      <c r="AE19" s="1248" t="s">
        <v>148</v>
      </c>
      <c r="AF19" s="576"/>
    </row>
    <row r="20" spans="1:39" s="20" customFormat="1" ht="24" customHeight="1" x14ac:dyDescent="0.2">
      <c r="A20" s="2273" t="str">
        <f>AA24&amp;$AB$1&amp;AA25&amp;$AB$1&amp;AA26&amp;$AB$1&amp;AA27</f>
        <v>Electricity generation was 208 terawatt hours (TWh) in 2019. Main source for electricity is coal with 96% share. The fossil fuels represent 96% of total electricity generation. Renewable share in the electricity generation is -3%.</v>
      </c>
      <c r="B20" s="2273"/>
      <c r="AA20" s="1216"/>
      <c r="AB20" s="1217">
        <v>18</v>
      </c>
      <c r="AC20" s="1250" t="s">
        <v>7193</v>
      </c>
      <c r="AD20" s="1250" t="s">
        <v>7194</v>
      </c>
      <c r="AE20" s="1249" t="s">
        <v>148</v>
      </c>
      <c r="AF20" s="576"/>
      <c r="AH20" s="1185" t="s">
        <v>7195</v>
      </c>
      <c r="AI20" s="1186"/>
      <c r="AJ20" s="1186"/>
      <c r="AK20" s="1186"/>
      <c r="AL20" s="1186"/>
      <c r="AM20" s="1188"/>
    </row>
    <row r="21" spans="1:39" s="20" customFormat="1" ht="24" customHeight="1" x14ac:dyDescent="0.2">
      <c r="A21" s="2273"/>
      <c r="B21" s="2273"/>
      <c r="AB21" s="576">
        <v>19</v>
      </c>
      <c r="AC21" s="241"/>
      <c r="AD21" s="241"/>
      <c r="AE21" s="241"/>
      <c r="AH21" s="1170" t="s">
        <v>7196</v>
      </c>
      <c r="AI21" s="592" t="s">
        <v>7197</v>
      </c>
      <c r="AJ21" s="259" t="s">
        <v>7198</v>
      </c>
      <c r="AK21" s="259" t="s">
        <v>7199</v>
      </c>
      <c r="AL21" s="259" t="s">
        <v>7200</v>
      </c>
      <c r="AM21" s="590"/>
    </row>
    <row r="22" spans="1:39" s="20" customFormat="1" ht="24" customHeight="1" x14ac:dyDescent="0.2">
      <c r="A22" s="2273"/>
      <c r="B22" s="2273"/>
      <c r="AB22" s="576">
        <v>20</v>
      </c>
      <c r="AC22" s="241"/>
      <c r="AD22" s="241"/>
      <c r="AE22" s="241"/>
      <c r="AH22" s="589">
        <v>1</v>
      </c>
      <c r="AI22" s="583">
        <f t="shared" ref="AI22:AI27" ca="1" si="1">RANK($AJ3,$AJ$3:$AJ$12,0)</f>
        <v>1</v>
      </c>
      <c r="AJ22" s="662" t="str">
        <f t="shared" ref="AJ22:AJ30" ca="1" si="2">INDEX($AH$3:$AH$12,MATCH($AH22,$AI$22:$AI$30,0))</f>
        <v>Coal</v>
      </c>
      <c r="AK22" s="583">
        <f t="shared" ref="AK22:AK30" ca="1" si="3">INDEX($AJ$3:$AJ$12,MATCH($AH22,$AI$22:$AI$30,0))</f>
        <v>4087995.4415419996</v>
      </c>
      <c r="AL22" s="663">
        <f t="shared" ref="AL22:AL30" ca="1" si="4">AK22/SUM($AJ$3:$AJ$9)</f>
        <v>0.66868819720175665</v>
      </c>
      <c r="AM22" s="590"/>
    </row>
    <row r="23" spans="1:39" s="20" customFormat="1" ht="24" customHeight="1" x14ac:dyDescent="0.2">
      <c r="A23" s="2273"/>
      <c r="B23" s="2273"/>
      <c r="AA23" s="1213"/>
      <c r="AB23" s="1214">
        <v>21</v>
      </c>
      <c r="AC23" s="1251" t="s">
        <v>7201</v>
      </c>
      <c r="AD23" s="1251" t="s">
        <v>7202</v>
      </c>
      <c r="AE23" s="1253" t="s">
        <v>148</v>
      </c>
      <c r="AF23" s="576"/>
      <c r="AG23" s="555"/>
      <c r="AH23" s="589">
        <v>2</v>
      </c>
      <c r="AI23" s="583">
        <f t="shared" ca="1" si="1"/>
        <v>2</v>
      </c>
      <c r="AJ23" s="662" t="str">
        <f t="shared" ca="1" si="2"/>
        <v>Oil</v>
      </c>
      <c r="AK23" s="583">
        <f t="shared" ca="1" si="3"/>
        <v>1722568.762150499</v>
      </c>
      <c r="AL23" s="663">
        <f t="shared" ca="1" si="4"/>
        <v>0.28176680150210598</v>
      </c>
      <c r="AM23" s="590"/>
    </row>
    <row r="24" spans="1:39" s="20" customFormat="1" ht="24" customHeight="1" x14ac:dyDescent="0.2">
      <c r="A24" s="2273"/>
      <c r="B24" s="2273"/>
      <c r="AA24" s="1215" t="str">
        <f>HLOOKUP(LangChoice,$AC$2:$AE$65,$AB24+1)</f>
        <v>Electricity generation was 208 terawatt hours (TWh) in 2019.</v>
      </c>
      <c r="AB24" s="576">
        <v>22</v>
      </c>
      <c r="AC24" s="1134" t="str">
        <f>"Electricity generation was " &amp; ROUND(AL13/1000,0) &amp; " terawatt hours (TWh) in " &amp; DataYear &amp; "."</f>
        <v>Electricity generation was 208 terawatt hours (TWh) in 2019.</v>
      </c>
      <c r="AD24" s="1134" t="str">
        <f>"В " &amp; DataYear &amp; " году производство электроэнергии составило " &amp; ROUND(AL13/1000,0) &amp; " тераватт-час (ТВт·ч)."</f>
        <v>В 2019 году производство электроэнергии составило 208 тераватт-час (ТВт·ч).</v>
      </c>
      <c r="AE24" s="1248" t="s">
        <v>148</v>
      </c>
      <c r="AF24" s="576"/>
      <c r="AG24" s="555"/>
      <c r="AH24" s="589">
        <v>3</v>
      </c>
      <c r="AI24" s="583">
        <f t="shared" ca="1" si="1"/>
        <v>4</v>
      </c>
      <c r="AJ24" s="662" t="str">
        <f t="shared" ca="1" si="2"/>
        <v>Nuclear</v>
      </c>
      <c r="AK24" s="583">
        <f t="shared" ca="1" si="3"/>
        <v>198135.20818181819</v>
      </c>
      <c r="AL24" s="663">
        <f t="shared" ca="1" si="4"/>
        <v>3.2409692490097057E-2</v>
      </c>
      <c r="AM24" s="590"/>
    </row>
    <row r="25" spans="1:39" s="20" customFormat="1" ht="11.25" x14ac:dyDescent="0.2">
      <c r="C25" s="1261" t="str">
        <f>HLOOKUP(LangChoice,$AC$2:$AE$50,$AB28+1,FALSE)</f>
        <v>Graph 3: Electricity production by source</v>
      </c>
      <c r="AA25" s="1215" t="str">
        <f>HLOOKUP(LangChoice,$AC$2:$AE$65,$AB25+1)</f>
        <v>Main source for electricity is coal with 96% share.</v>
      </c>
      <c r="AB25" s="576">
        <v>23</v>
      </c>
      <c r="AC25" s="1134" t="str">
        <f>"Main source for electricity is " &amp;LOWER(AJ48) &amp; " with " &amp; TEXT(AL48,"0%") &amp; " share."</f>
        <v>Main source for electricity is coal with 96% share.</v>
      </c>
      <c r="AD25" s="1134" t="str">
        <f>"Основным источником электроэнергии является "&amp; LOWER(AJ48) &amp;" с долей "&amp; TEXT(AL48,"0%")  &amp;"."</f>
        <v>Основным источником электроэнергии является coal с долей 96%.</v>
      </c>
      <c r="AE25" s="1248" t="s">
        <v>148</v>
      </c>
      <c r="AF25" s="576"/>
      <c r="AH25" s="589">
        <v>4</v>
      </c>
      <c r="AI25" s="583">
        <f t="shared" ca="1" si="1"/>
        <v>3</v>
      </c>
      <c r="AJ25" s="662" t="str">
        <f t="shared" ca="1" si="2"/>
        <v>Natural gas</v>
      </c>
      <c r="AK25" s="583">
        <f t="shared" ca="1" si="3"/>
        <v>117672.17901916505</v>
      </c>
      <c r="AL25" s="663">
        <f t="shared" ca="1" si="4"/>
        <v>1.9248063843106279E-2</v>
      </c>
      <c r="AM25" s="590"/>
    </row>
    <row r="26" spans="1:39" s="20" customFormat="1" ht="15" customHeight="1" x14ac:dyDescent="0.25">
      <c r="A26" s="658" t="str">
        <f>HLOOKUP(LangChoice,$AC$2:$AE$50,$AB31+1,FALSE)</f>
        <v>DEMAND</v>
      </c>
      <c r="B26" s="32"/>
      <c r="C26" s="32"/>
      <c r="D26" s="32"/>
      <c r="E26" s="32"/>
      <c r="F26" s="32"/>
      <c r="G26" s="32"/>
      <c r="H26" s="32"/>
      <c r="I26" s="32"/>
      <c r="AA26" s="1215" t="str">
        <f>HLOOKUP(LangChoice,$AC$2:$AE$65,$AB26+1)</f>
        <v>The fossil fuels represent 96% of total electricity generation.</v>
      </c>
      <c r="AB26" s="576">
        <v>24</v>
      </c>
      <c r="AC26" s="1134" t="str">
        <f>"The fossil fuels represent "&amp; TEXT(AL18,"0%") &amp; " of total electricity generation."</f>
        <v>The fossil fuels represent 96% of total electricity generation.</v>
      </c>
      <c r="AD26" s="1134" t="str">
        <f>"Доля ископаемых видов топлива составляет " &amp; TEXT(AL18,"0%") &amp; " от общего производства электроэнергии."</f>
        <v>Доля ископаемых видов топлива составляет 96% от общего производства электроэнергии.</v>
      </c>
      <c r="AE26" s="1248" t="s">
        <v>148</v>
      </c>
      <c r="AF26" s="576"/>
      <c r="AH26" s="589">
        <v>5</v>
      </c>
      <c r="AI26" s="583">
        <f t="shared" ca="1" si="1"/>
        <v>10</v>
      </c>
      <c r="AJ26" s="662" t="str">
        <f t="shared" ca="1" si="2"/>
        <v>Other ²</v>
      </c>
      <c r="AK26" s="583">
        <f t="shared" ca="1" si="3"/>
        <v>44033.19</v>
      </c>
      <c r="AL26" s="663">
        <f t="shared" ca="1" si="4"/>
        <v>7.2026681191787022E-3</v>
      </c>
      <c r="AM26" s="590"/>
    </row>
    <row r="27" spans="1:39" s="20" customFormat="1" ht="6" customHeight="1" x14ac:dyDescent="0.2">
      <c r="AA27" s="1215" t="str">
        <f>HLOOKUP(LangChoice,$AC$2:$AE$65,$AB27+1)</f>
        <v>Renewable share in the electricity generation is -3%.</v>
      </c>
      <c r="AB27" s="576">
        <v>25</v>
      </c>
      <c r="AC27" s="1134" t="str">
        <f>"Renewable share in the electricity generation is " &amp;TEXT(AL16,"0%") &amp; "."</f>
        <v>Renewable share in the electricity generation is -3%.</v>
      </c>
      <c r="AD27" s="1134" t="str">
        <f>"Доля ВИЭ в производстве электроэнергии составляет " &amp; TEXT(AL16,"0%") &amp; "."</f>
        <v>Доля ВИЭ в производстве электроэнергии составляет -3%.</v>
      </c>
      <c r="AE27" s="1248" t="s">
        <v>148</v>
      </c>
      <c r="AF27" s="576"/>
      <c r="AH27" s="709">
        <v>6</v>
      </c>
      <c r="AI27" s="655">
        <f t="shared" ca="1" si="1"/>
        <v>7</v>
      </c>
      <c r="AJ27" s="656" t="e">
        <f t="shared" ca="1" si="2"/>
        <v>#N/A</v>
      </c>
      <c r="AK27" s="655" t="e">
        <f t="shared" ca="1" si="3"/>
        <v>#N/A</v>
      </c>
      <c r="AL27" s="657" t="e">
        <f t="shared" ca="1" si="4"/>
        <v>#N/A</v>
      </c>
      <c r="AM27" s="652"/>
    </row>
    <row r="28" spans="1:39" s="20" customFormat="1" ht="15.75" x14ac:dyDescent="0.25">
      <c r="A28" s="659" t="str">
        <f>HLOOKUP(LangChoice,$AC$2:$AE$50,$AB32+1,FALSE)</f>
        <v>FINAL ENERGY CONSUMPTION</v>
      </c>
      <c r="AA28" s="1216"/>
      <c r="AB28" s="1217">
        <v>26</v>
      </c>
      <c r="AC28" s="1250" t="s">
        <v>7203</v>
      </c>
      <c r="AD28" s="1250" t="s">
        <v>7204</v>
      </c>
      <c r="AE28" s="1249" t="s">
        <v>148</v>
      </c>
      <c r="AF28" s="576"/>
      <c r="AH28" s="589">
        <v>7</v>
      </c>
      <c r="AI28" s="583">
        <f ca="1">RANK($AJ10,$AJ$3:$AJ$12,0)</f>
        <v>5</v>
      </c>
      <c r="AJ28" s="662" t="str">
        <f t="shared" ca="1" si="2"/>
        <v>Biofuels and waste</v>
      </c>
      <c r="AK28" s="583">
        <f t="shared" ca="1" si="3"/>
        <v>0</v>
      </c>
      <c r="AL28" s="663">
        <f t="shared" ca="1" si="4"/>
        <v>0</v>
      </c>
      <c r="AM28" s="652"/>
    </row>
    <row r="29" spans="1:39" s="20" customFormat="1" ht="24" customHeight="1" x14ac:dyDescent="0.2">
      <c r="A29" s="2273" t="str">
        <f ca="1">AA33&amp;$AB$1&amp;AA34&amp;$AB$1&amp;AA35&amp;$AB$1&amp;AA36</f>
        <v>Total final consumption (TFC) was 2677 Mtoe in 2019. Industry is the largest energy-consuming sector at 1144 Mtoe. It represents 43% of TFC. Residential sector accounted for 20% of TFC in 2019.</v>
      </c>
      <c r="B29" s="2273"/>
      <c r="AB29" s="576">
        <v>27</v>
      </c>
      <c r="AC29" s="1134"/>
      <c r="AD29" s="1134"/>
      <c r="AE29" s="1134"/>
      <c r="AF29" s="576"/>
      <c r="AH29" s="589">
        <v>8</v>
      </c>
      <c r="AI29" s="583">
        <f ca="1">RANK($AJ11,$AJ$3:$AJ$12,0)</f>
        <v>9</v>
      </c>
      <c r="AJ29" s="662" t="e">
        <f t="shared" ca="1" si="2"/>
        <v>#N/A</v>
      </c>
      <c r="AK29" s="583" t="e">
        <f t="shared" ca="1" si="3"/>
        <v>#N/A</v>
      </c>
      <c r="AL29" s="663" t="e">
        <f t="shared" ca="1" si="4"/>
        <v>#N/A</v>
      </c>
      <c r="AM29" s="652"/>
    </row>
    <row r="30" spans="1:39" s="20" customFormat="1" ht="24" customHeight="1" x14ac:dyDescent="0.2">
      <c r="A30" s="2273"/>
      <c r="B30" s="2273"/>
      <c r="AB30" s="576">
        <v>28</v>
      </c>
      <c r="AC30" s="1134"/>
      <c r="AD30" s="1134"/>
      <c r="AE30" s="1134"/>
      <c r="AF30" s="576"/>
      <c r="AH30" s="589">
        <v>9</v>
      </c>
      <c r="AI30" s="583">
        <f ca="1">RANK($AJ12,$AJ$3:$AJ$12,0)</f>
        <v>7</v>
      </c>
      <c r="AJ30" s="662" t="str">
        <f t="shared" ca="1" si="2"/>
        <v>Geothermal, Solar, Wind, Others</v>
      </c>
      <c r="AK30" s="583">
        <f t="shared" ca="1" si="3"/>
        <v>44033.19</v>
      </c>
      <c r="AL30" s="663">
        <f t="shared" ca="1" si="4"/>
        <v>7.2026681191787022E-3</v>
      </c>
      <c r="AM30" s="652"/>
    </row>
    <row r="31" spans="1:39" s="20" customFormat="1" ht="24" customHeight="1" x14ac:dyDescent="0.2">
      <c r="A31" s="2273"/>
      <c r="B31" s="2273"/>
      <c r="AA31" s="1213"/>
      <c r="AB31" s="1214">
        <v>29</v>
      </c>
      <c r="AC31" s="1251" t="s">
        <v>7205</v>
      </c>
      <c r="AD31" s="1251" t="s">
        <v>7206</v>
      </c>
      <c r="AE31" s="1253" t="s">
        <v>148</v>
      </c>
      <c r="AF31" s="576"/>
      <c r="AH31" s="256"/>
      <c r="AI31" s="654"/>
      <c r="AJ31" s="1189" t="s">
        <v>7207</v>
      </c>
      <c r="AK31" s="654">
        <f ca="1">AJ13-SUM(AK22:AK26)</f>
        <v>-80448.441600000486</v>
      </c>
      <c r="AL31" s="256"/>
      <c r="AM31" s="628"/>
    </row>
    <row r="32" spans="1:39" s="20" customFormat="1" ht="24" customHeight="1" x14ac:dyDescent="0.2">
      <c r="A32" s="2273"/>
      <c r="B32" s="2273"/>
      <c r="AA32" s="1215"/>
      <c r="AB32" s="576">
        <v>30</v>
      </c>
      <c r="AC32" s="1252" t="s">
        <v>7208</v>
      </c>
      <c r="AD32" s="1252" t="s">
        <v>7209</v>
      </c>
      <c r="AE32" s="1254" t="s">
        <v>148</v>
      </c>
      <c r="AF32" s="576"/>
      <c r="AJ32" s="583"/>
    </row>
    <row r="33" spans="1:41" s="20" customFormat="1" ht="24" customHeight="1" x14ac:dyDescent="0.2">
      <c r="A33" s="2273"/>
      <c r="B33" s="2273"/>
      <c r="AA33" s="1215" t="str">
        <f ca="1">HLOOKUP(LangChoice,$AC$2:$AE$65,$AB33+1)</f>
        <v>Total final consumption (TFC) was 2677 Mtoe in 2019.</v>
      </c>
      <c r="AB33" s="576">
        <v>31</v>
      </c>
      <c r="AC33" s="1134" t="str">
        <f ca="1">"Total final consumption (TFC) was " &amp; ROUND(AK13/1000,0) &amp; " Mtoe in "&amp;DataYear &amp; "."</f>
        <v>Total final consumption (TFC) was 2677 Mtoe in 2019.</v>
      </c>
      <c r="AD33" s="1134" t="str">
        <f ca="1">"В " &amp; DataYear &amp; " году общее конечное потребление энергии (ОКПЭ) составило " &amp; ROUND(AK13/1000,0) &amp; " Мт н. э."</f>
        <v>В 2019 году общее конечное потребление энергии (ОКПЭ) составило 2677 Мт н. э.</v>
      </c>
      <c r="AE33" s="1248" t="s">
        <v>148</v>
      </c>
      <c r="AF33" s="576"/>
      <c r="AH33" s="1187" t="s">
        <v>7210</v>
      </c>
      <c r="AI33" s="1186"/>
      <c r="AJ33" s="1186"/>
      <c r="AK33" s="1186"/>
      <c r="AL33" s="1186"/>
      <c r="AM33" s="1188"/>
    </row>
    <row r="34" spans="1:41" s="20" customFormat="1" ht="11.25" x14ac:dyDescent="0.2">
      <c r="A34" s="259"/>
      <c r="AA34" s="1215" t="str">
        <f ca="1">HLOOKUP(LangChoice,$AC$2:$AE$65,$AB34+1)</f>
        <v>Industry is the largest energy-consuming sector at 1144 Mtoe.</v>
      </c>
      <c r="AB34" s="576">
        <v>32</v>
      </c>
      <c r="AC34" s="1134" t="str">
        <f ca="1">AH74 &amp; " is the largest energy-consuming sector at " &amp; ROUND(AO74/1000,0) &amp; " Mtoe."</f>
        <v>Industry is the largest energy-consuming sector at 1144 Mtoe.</v>
      </c>
      <c r="AD34" s="1134" t="str">
        <f ca="1">"наибольший объем потребления энергии в объеме " &amp; ROUND(AO74/1000,0) &amp; " Мт н. э. продемонстрировал сектор "&amp; AH74 &amp; "."</f>
        <v>наибольший объем потребления энергии в объеме 1144 Мт н. э. продемонстрировал сектор Industry.</v>
      </c>
      <c r="AE34" s="1248" t="s">
        <v>148</v>
      </c>
      <c r="AF34" s="576"/>
      <c r="AH34" s="592" t="s">
        <v>7196</v>
      </c>
      <c r="AI34" s="592" t="s">
        <v>7197</v>
      </c>
      <c r="AJ34" s="259" t="s">
        <v>7198</v>
      </c>
      <c r="AK34" s="259" t="s">
        <v>7199</v>
      </c>
      <c r="AL34" s="259" t="s">
        <v>7200</v>
      </c>
      <c r="AM34" s="590"/>
    </row>
    <row r="35" spans="1:41" s="20" customFormat="1" ht="11.25" x14ac:dyDescent="0.2">
      <c r="A35" s="561"/>
      <c r="AA35" s="1215" t="str">
        <f ca="1">HLOOKUP(LangChoice,$AC$2:$AE$65,$AB35+1)</f>
        <v>It represents 43% of TFC.</v>
      </c>
      <c r="AB35" s="576">
        <v>33</v>
      </c>
      <c r="AC35" s="1134" t="str">
        <f ca="1">"It represents " &amp; TEXT(AI91,"0%") &amp; " of TFC."</f>
        <v>It represents 43% of TFC.</v>
      </c>
      <c r="AD35" s="1134" t="str">
        <f ca="1">"что составляет " &amp; TEXT(AI91,"0%") &amp; " от ОКПЭ."</f>
        <v>что составляет 43% от ОКПЭ.</v>
      </c>
      <c r="AE35" s="1248" t="s">
        <v>148</v>
      </c>
      <c r="AF35" s="576"/>
      <c r="AH35" s="20">
        <v>1</v>
      </c>
      <c r="AI35" s="583">
        <f t="shared" ref="AI35:AI40" ca="1" si="5">RANK($AI3,$AI$3:$AI$12,0)</f>
        <v>1</v>
      </c>
      <c r="AJ35" s="662" t="str">
        <f t="shared" ref="AJ35:AJ43" ca="1" si="6">INDEX($AH$3:$AH$12,MATCH($AH35,$AI$35:$AI$43,0))</f>
        <v>Coal</v>
      </c>
      <c r="AK35" s="583">
        <f t="shared" ref="AK35:AK43" ca="1" si="7">INDEX($AI$3:$AI$12,MATCH($AH35,$AI$35:$AI$43,0))</f>
        <v>6020866.3651390001</v>
      </c>
      <c r="AL35" s="663">
        <f t="shared" ref="AL35:AL43" ca="1" si="8">AK35/$AI$13</f>
        <v>0.88621858592505287</v>
      </c>
      <c r="AM35" s="590"/>
    </row>
    <row r="36" spans="1:41" s="20" customFormat="1" ht="16.5" customHeight="1" x14ac:dyDescent="0.2">
      <c r="A36" s="561"/>
      <c r="B36" s="241"/>
      <c r="C36" s="1322" t="str">
        <f>IF(LangChoice&lt;&gt;"Pусский",HLOOKUP(LangChoice,$AC$2:$AE$50,$AB37+1,FALSE),"")</f>
        <v>Graph 4: Total final consumption, Mtoe</v>
      </c>
      <c r="AA36" s="1215" t="str">
        <f ca="1">HLOOKUP(LangChoice,$AC$2:$AE$65,$AB36+1)</f>
        <v>Residential sector accounted for 20% of TFC in 2019.</v>
      </c>
      <c r="AB36" s="576">
        <v>34</v>
      </c>
      <c r="AC36" s="1134" t="str">
        <f ca="1">IF(AH74=AH66,"",AH66 &amp; " sector accounted for " &amp; TEXT(AQ66,"0%") &amp; " of TFC in " &amp; DataYear &amp; ".")</f>
        <v>Residential sector accounted for 20% of TFC in 2019.</v>
      </c>
      <c r="AD36" s="1134" t="str">
        <f ca="1">IF(AH74=AH66,"","Доля сектора " &amp; AH66 &amp; " составила " &amp; TEXT(AQ66,"0%") &amp; " ОКПЭ в " &amp; DataYear &amp; " году.")</f>
        <v>Доля сектора Residential составила 20% ОКПЭ в 2019 году.</v>
      </c>
      <c r="AE36" s="1248" t="s">
        <v>148</v>
      </c>
      <c r="AF36" s="576"/>
      <c r="AH36" s="20">
        <v>2</v>
      </c>
      <c r="AI36" s="583">
        <f t="shared" ca="1" si="5"/>
        <v>2</v>
      </c>
      <c r="AJ36" s="662" t="str">
        <f t="shared" ca="1" si="6"/>
        <v>Oil</v>
      </c>
      <c r="AK36" s="583">
        <f t="shared" ca="1" si="7"/>
        <v>587143.76603205118</v>
      </c>
      <c r="AL36" s="663">
        <f t="shared" ca="1" si="8"/>
        <v>8.6422399454072873E-2</v>
      </c>
      <c r="AM36" s="590"/>
    </row>
    <row r="37" spans="1:41" s="20" customFormat="1" ht="11.25" x14ac:dyDescent="0.2">
      <c r="A37" s="561"/>
      <c r="B37" s="241"/>
      <c r="C37" s="1261" t="str">
        <f>IF(LangChoice="Pусский",HLOOKUP(LangChoice,$AC$2:$AE$50,$AB37+1,FALSE),"")</f>
        <v/>
      </c>
      <c r="AA37" s="1216"/>
      <c r="AB37" s="1217">
        <v>35</v>
      </c>
      <c r="AC37" s="1250" t="s">
        <v>7211</v>
      </c>
      <c r="AD37" s="1250" t="s">
        <v>7212</v>
      </c>
      <c r="AE37" s="1249" t="s">
        <v>148</v>
      </c>
      <c r="AF37" s="576"/>
      <c r="AH37" s="20">
        <v>3</v>
      </c>
      <c r="AI37" s="583">
        <f t="shared" ca="1" si="5"/>
        <v>6</v>
      </c>
      <c r="AJ37" s="662" t="str">
        <f t="shared" ca="1" si="6"/>
        <v>Nuclear</v>
      </c>
      <c r="AK37" s="583">
        <f t="shared" ca="1" si="7"/>
        <v>198135.20818181819</v>
      </c>
      <c r="AL37" s="663">
        <f t="shared" ca="1" si="8"/>
        <v>2.9163760390619981E-2</v>
      </c>
      <c r="AM37" s="590"/>
    </row>
    <row r="38" spans="1:41" s="20" customFormat="1" ht="11.25" x14ac:dyDescent="0.2">
      <c r="A38" s="1262" t="str">
        <f>HLOOKUP(LangChoice,$AC$2:$AE$50,$AB41+1,FALSE)</f>
        <v>1. Excludes electricity trade</v>
      </c>
      <c r="B38" s="241"/>
      <c r="AB38" s="576">
        <v>36</v>
      </c>
      <c r="AC38" s="241"/>
      <c r="AD38" s="241"/>
      <c r="AE38" s="241"/>
      <c r="AH38" s="589">
        <v>4</v>
      </c>
      <c r="AI38" s="583">
        <f t="shared" ca="1" si="5"/>
        <v>3</v>
      </c>
      <c r="AJ38" s="662" t="str">
        <f t="shared" ca="1" si="6"/>
        <v>Other ²</v>
      </c>
      <c r="AK38" s="583">
        <f t="shared" ca="1" si="7"/>
        <v>44033.19</v>
      </c>
      <c r="AL38" s="663">
        <f t="shared" ca="1" si="8"/>
        <v>6.4812983728577203E-3</v>
      </c>
      <c r="AM38" s="590"/>
    </row>
    <row r="39" spans="1:41" s="20" customFormat="1" ht="11.25" x14ac:dyDescent="0.2">
      <c r="A39" s="1262" t="str">
        <f>HLOOKUP(LangChoice,$AC$2:$AE$50,$AB42+1,FALSE)</f>
        <v>2. Includes geothermal, solar, wind, tide/wave/ocean, heat and other.</v>
      </c>
      <c r="C39" s="460"/>
      <c r="AB39" s="576">
        <v>37</v>
      </c>
      <c r="AC39" s="241" t="s">
        <v>167</v>
      </c>
      <c r="AD39" s="241" t="s">
        <v>7213</v>
      </c>
      <c r="AE39" s="241" t="s">
        <v>148</v>
      </c>
      <c r="AH39" s="703">
        <v>5</v>
      </c>
      <c r="AI39" s="667">
        <f t="shared" ca="1" si="5"/>
        <v>10</v>
      </c>
      <c r="AJ39" s="668" t="e">
        <f t="shared" ca="1" si="6"/>
        <v>#N/A</v>
      </c>
      <c r="AK39" s="667" t="e">
        <f t="shared" ca="1" si="7"/>
        <v>#N/A</v>
      </c>
      <c r="AL39" s="669" t="e">
        <f t="shared" ca="1" si="8"/>
        <v>#N/A</v>
      </c>
      <c r="AM39" s="590"/>
    </row>
    <row r="40" spans="1:41" s="20" customFormat="1" ht="11.25" x14ac:dyDescent="0.2">
      <c r="AB40" s="576">
        <v>38</v>
      </c>
      <c r="AC40" s="241" t="s">
        <v>7214</v>
      </c>
      <c r="AD40" s="241" t="s">
        <v>7215</v>
      </c>
      <c r="AE40" s="241" t="s">
        <v>148</v>
      </c>
      <c r="AH40" s="589">
        <v>6</v>
      </c>
      <c r="AI40" s="583">
        <f t="shared" ca="1" si="5"/>
        <v>7</v>
      </c>
      <c r="AJ40" s="662" t="str">
        <f t="shared" ca="1" si="6"/>
        <v>Natural gas</v>
      </c>
      <c r="AK40" s="583">
        <f t="shared" ca="1" si="7"/>
        <v>655</v>
      </c>
      <c r="AL40" s="663">
        <f t="shared" ca="1" si="8"/>
        <v>9.6410240416872059E-5</v>
      </c>
      <c r="AM40" s="652"/>
    </row>
    <row r="41" spans="1:41" x14ac:dyDescent="0.2">
      <c r="D41" s="20"/>
      <c r="AB41" s="576">
        <v>39</v>
      </c>
      <c r="AC41" s="241" t="s">
        <v>7216</v>
      </c>
      <c r="AD41" s="241" t="s">
        <v>7217</v>
      </c>
      <c r="AE41" s="241" t="s">
        <v>148</v>
      </c>
      <c r="AH41" s="589">
        <v>7</v>
      </c>
      <c r="AI41" s="583">
        <f ca="1">RANK($AI10,$AI$3:$AI$12,0)</f>
        <v>4</v>
      </c>
      <c r="AJ41" s="662" t="str">
        <f t="shared" ca="1" si="6"/>
        <v>Biofuels and waste</v>
      </c>
      <c r="AK41" s="583">
        <f t="shared" ca="1" si="7"/>
        <v>0</v>
      </c>
      <c r="AL41" s="663">
        <f t="shared" ca="1" si="8"/>
        <v>0</v>
      </c>
      <c r="AM41" s="652"/>
      <c r="AN41" s="20"/>
      <c r="AO41" s="20"/>
    </row>
    <row r="42" spans="1:41" x14ac:dyDescent="0.2">
      <c r="D42" s="20"/>
      <c r="AB42" s="576">
        <v>40</v>
      </c>
      <c r="AC42" s="241" t="s">
        <v>7218</v>
      </c>
      <c r="AD42" s="241" t="s">
        <v>7219</v>
      </c>
      <c r="AE42" s="241" t="s">
        <v>148</v>
      </c>
      <c r="AH42" s="589">
        <v>8</v>
      </c>
      <c r="AI42" s="583">
        <f ca="1">RANK($AI11,$AI$3:$AI$12,0)</f>
        <v>7</v>
      </c>
      <c r="AJ42" s="662" t="e">
        <f t="shared" ca="1" si="6"/>
        <v>#N/A</v>
      </c>
      <c r="AK42" s="583" t="e">
        <f t="shared" ca="1" si="7"/>
        <v>#N/A</v>
      </c>
      <c r="AL42" s="663" t="e">
        <f t="shared" ca="1" si="8"/>
        <v>#N/A</v>
      </c>
      <c r="AM42" s="652"/>
      <c r="AN42" s="20"/>
      <c r="AO42" s="20"/>
    </row>
    <row r="43" spans="1:41" s="20" customFormat="1" ht="11.25" x14ac:dyDescent="0.2">
      <c r="D43" s="604"/>
      <c r="AB43" s="576">
        <v>41</v>
      </c>
      <c r="AC43" s="241"/>
      <c r="AD43" s="241"/>
      <c r="AE43" s="241"/>
      <c r="AH43" s="703">
        <v>9</v>
      </c>
      <c r="AI43" s="667">
        <f ca="1">RANK($AI12,$AI$3:$AI$12,0)</f>
        <v>7</v>
      </c>
      <c r="AJ43" s="668" t="e">
        <f t="shared" ca="1" si="6"/>
        <v>#N/A</v>
      </c>
      <c r="AK43" s="667" t="e">
        <f t="shared" ca="1" si="7"/>
        <v>#N/A</v>
      </c>
      <c r="AL43" s="669" t="e">
        <f t="shared" ca="1" si="8"/>
        <v>#N/A</v>
      </c>
      <c r="AM43" s="1193"/>
    </row>
    <row r="44" spans="1:41" s="20" customFormat="1" ht="12" thickBot="1" x14ac:dyDescent="0.25">
      <c r="AB44" s="576">
        <v>42</v>
      </c>
      <c r="AC44" s="20" t="s">
        <v>7220</v>
      </c>
      <c r="AD44" s="20" t="s">
        <v>7221</v>
      </c>
      <c r="AH44" s="1190"/>
      <c r="AI44" s="1191"/>
      <c r="AJ44" s="1192" t="s">
        <v>7207</v>
      </c>
      <c r="AK44" s="1191" t="e">
        <f ca="1">AI13-SUM(AK35:AK39)</f>
        <v>#N/A</v>
      </c>
      <c r="AL44" s="393"/>
      <c r="AM44" s="393"/>
    </row>
    <row r="45" spans="1:41" s="20" customFormat="1" x14ac:dyDescent="0.2">
      <c r="AB45" s="576">
        <v>43</v>
      </c>
      <c r="AC45" s="20" t="s">
        <v>7057</v>
      </c>
      <c r="AD45" s="20" t="str">
        <f>'Published Balance'!AC55</f>
        <v>Неспецифицированные</v>
      </c>
      <c r="AH45"/>
      <c r="AI45"/>
      <c r="AJ45"/>
      <c r="AK45"/>
      <c r="AL45"/>
      <c r="AM45"/>
    </row>
    <row r="46" spans="1:41" s="20" customFormat="1" ht="11.25" x14ac:dyDescent="0.2">
      <c r="AB46" s="576">
        <v>44</v>
      </c>
      <c r="AH46" s="1185" t="s">
        <v>7222</v>
      </c>
      <c r="AI46" s="1186"/>
      <c r="AJ46" s="1186"/>
      <c r="AK46" s="1186"/>
      <c r="AL46" s="1186"/>
      <c r="AM46" s="1188"/>
    </row>
    <row r="47" spans="1:41" s="20" customFormat="1" ht="11.25" x14ac:dyDescent="0.2">
      <c r="AB47" s="576">
        <v>45</v>
      </c>
      <c r="AH47" s="1170" t="s">
        <v>7196</v>
      </c>
      <c r="AI47" s="592" t="s">
        <v>7197</v>
      </c>
      <c r="AJ47" s="259" t="s">
        <v>7198</v>
      </c>
      <c r="AK47" s="259" t="s">
        <v>7199</v>
      </c>
      <c r="AL47" s="259" t="s">
        <v>7200</v>
      </c>
      <c r="AM47" s="590"/>
    </row>
    <row r="48" spans="1:41" s="20" customFormat="1" ht="11.25" x14ac:dyDescent="0.2">
      <c r="AB48" s="576">
        <v>46</v>
      </c>
      <c r="AH48" s="589">
        <v>1</v>
      </c>
      <c r="AI48" s="583">
        <f t="shared" ref="AI48:AI53" si="9">RANK($AL3,$AL$3:$AL$12,0)</f>
        <v>1</v>
      </c>
      <c r="AJ48" s="662" t="str">
        <f t="shared" ref="AJ48:AJ56" si="10">INDEX($AH$3:$AH$12,MATCH($AH48,$AI$48:$AI$56,0))</f>
        <v>Coal</v>
      </c>
      <c r="AK48" s="583">
        <f t="shared" ref="AK48:AK56" si="11">INDEX($AL$3:$AL$12,MATCH($AH48,$AI$48:$AI$56,0))</f>
        <v>200341.94</v>
      </c>
      <c r="AL48" s="663">
        <f t="shared" ref="AL48:AL56" si="12">AK48/$AL$13</f>
        <v>0.96162785382586013</v>
      </c>
      <c r="AM48" s="590"/>
    </row>
    <row r="49" spans="28:46" s="20" customFormat="1" ht="11.25" x14ac:dyDescent="0.2">
      <c r="AB49" s="576">
        <v>47</v>
      </c>
      <c r="AH49" s="589">
        <v>2</v>
      </c>
      <c r="AI49" s="583">
        <f t="shared" si="9"/>
        <v>6</v>
      </c>
      <c r="AJ49" s="662" t="str">
        <f t="shared" si="10"/>
        <v>Nuclear</v>
      </c>
      <c r="AK49" s="583">
        <f t="shared" si="11"/>
        <v>14214</v>
      </c>
      <c r="AL49" s="663">
        <f t="shared" si="12"/>
        <v>6.8226245160053739E-2</v>
      </c>
      <c r="AM49" s="590"/>
    </row>
    <row r="50" spans="28:46" s="20" customFormat="1" ht="11.25" x14ac:dyDescent="0.2">
      <c r="AB50" s="576">
        <v>48</v>
      </c>
      <c r="AH50" s="589">
        <v>3</v>
      </c>
      <c r="AI50" s="583">
        <f t="shared" si="9"/>
        <v>6</v>
      </c>
      <c r="AJ50" s="662" t="str">
        <f t="shared" si="10"/>
        <v>Other ²</v>
      </c>
      <c r="AK50" s="583">
        <f t="shared" si="11"/>
        <v>9507.7000000000007</v>
      </c>
      <c r="AL50" s="663">
        <f t="shared" si="12"/>
        <v>4.5636321310555998E-2</v>
      </c>
      <c r="AM50" s="590"/>
    </row>
    <row r="51" spans="28:46" s="20" customFormat="1" ht="11.25" x14ac:dyDescent="0.2">
      <c r="AB51" s="20">
        <v>49</v>
      </c>
      <c r="AH51" s="589">
        <v>4</v>
      </c>
      <c r="AI51" s="583">
        <f t="shared" si="9"/>
        <v>2</v>
      </c>
      <c r="AJ51" s="662" t="e">
        <f t="shared" si="10"/>
        <v>#N/A</v>
      </c>
      <c r="AK51" s="583" t="e">
        <f t="shared" si="11"/>
        <v>#N/A</v>
      </c>
      <c r="AL51" s="663" t="e">
        <f t="shared" si="12"/>
        <v>#N/A</v>
      </c>
      <c r="AM51" s="590"/>
    </row>
    <row r="52" spans="28:46" s="20" customFormat="1" ht="11.25" x14ac:dyDescent="0.2">
      <c r="AB52" s="20">
        <v>50</v>
      </c>
      <c r="AH52" s="703">
        <v>5</v>
      </c>
      <c r="AI52" s="667">
        <f t="shared" si="9"/>
        <v>10</v>
      </c>
      <c r="AJ52" s="668" t="str">
        <f t="shared" si="10"/>
        <v>Biofuels and waste</v>
      </c>
      <c r="AK52" s="667">
        <f t="shared" si="11"/>
        <v>309.06</v>
      </c>
      <c r="AL52" s="669">
        <f t="shared" si="12"/>
        <v>1.4834672385793026E-3</v>
      </c>
      <c r="AM52" s="590"/>
    </row>
    <row r="53" spans="28:46" s="20" customFormat="1" ht="11.25" x14ac:dyDescent="0.2">
      <c r="AH53" s="589">
        <v>6</v>
      </c>
      <c r="AI53" s="583">
        <f t="shared" si="9"/>
        <v>5</v>
      </c>
      <c r="AJ53" s="662" t="str">
        <f t="shared" si="10"/>
        <v>Oil</v>
      </c>
      <c r="AK53" s="583">
        <f t="shared" si="11"/>
        <v>0</v>
      </c>
      <c r="AL53" s="663">
        <f t="shared" si="12"/>
        <v>0</v>
      </c>
      <c r="AM53" s="652"/>
    </row>
    <row r="54" spans="28:46" s="20" customFormat="1" x14ac:dyDescent="0.2">
      <c r="AH54" s="589">
        <v>7</v>
      </c>
      <c r="AI54" s="583">
        <f>RANK($AL10,$AL$3:$AL$12,0)</f>
        <v>3</v>
      </c>
      <c r="AJ54" s="662" t="e">
        <f t="shared" si="10"/>
        <v>#N/A</v>
      </c>
      <c r="AK54" s="583" t="e">
        <f t="shared" si="11"/>
        <v>#N/A</v>
      </c>
      <c r="AL54" s="663" t="e">
        <f t="shared" si="12"/>
        <v>#N/A</v>
      </c>
      <c r="AM54" s="652"/>
      <c r="AR54"/>
      <c r="AS54"/>
      <c r="AT54"/>
    </row>
    <row r="55" spans="28:46" s="20" customFormat="1" x14ac:dyDescent="0.2">
      <c r="AH55" s="589">
        <v>8</v>
      </c>
      <c r="AI55" s="583">
        <f>RANK($AL11,$AL$3:$AL$12,0)</f>
        <v>6</v>
      </c>
      <c r="AJ55" s="662" t="e">
        <f t="shared" si="10"/>
        <v>#N/A</v>
      </c>
      <c r="AK55" s="583" t="e">
        <f t="shared" si="11"/>
        <v>#N/A</v>
      </c>
      <c r="AL55" s="663" t="e">
        <f t="shared" si="12"/>
        <v>#N/A</v>
      </c>
      <c r="AM55" s="652"/>
      <c r="AR55"/>
      <c r="AS55"/>
      <c r="AT55"/>
    </row>
    <row r="56" spans="28:46" s="20" customFormat="1" ht="11.25" x14ac:dyDescent="0.2">
      <c r="AH56" s="589">
        <v>9</v>
      </c>
      <c r="AI56" s="583">
        <f>RANK($AL12,$AL$3:$AL$12,0)</f>
        <v>6</v>
      </c>
      <c r="AJ56" s="662" t="e">
        <f t="shared" si="10"/>
        <v>#N/A</v>
      </c>
      <c r="AK56" s="583" t="e">
        <f t="shared" si="11"/>
        <v>#N/A</v>
      </c>
      <c r="AL56" s="663" t="e">
        <f t="shared" si="12"/>
        <v>#N/A</v>
      </c>
      <c r="AM56" s="652"/>
    </row>
    <row r="57" spans="28:46" s="20" customFormat="1" ht="11.25" x14ac:dyDescent="0.2">
      <c r="AH57" s="893"/>
      <c r="AI57" s="654"/>
      <c r="AJ57" s="1189" t="s">
        <v>7207</v>
      </c>
      <c r="AK57" s="654" t="e">
        <f>AL13-SUM(AK48:AK52)</f>
        <v>#N/A</v>
      </c>
      <c r="AL57" s="256"/>
      <c r="AM57" s="628"/>
    </row>
    <row r="58" spans="28:46" s="20" customFormat="1" ht="11.25" x14ac:dyDescent="0.2"/>
    <row r="59" spans="28:46" s="20" customFormat="1" ht="11.25" x14ac:dyDescent="0.2"/>
    <row r="60" spans="28:46" s="20" customFormat="1" ht="11.25" x14ac:dyDescent="0.2"/>
    <row r="61" spans="28:46" s="20" customFormat="1" ht="11.25" x14ac:dyDescent="0.2"/>
    <row r="62" spans="28:46" s="20" customFormat="1" ht="11.25" x14ac:dyDescent="0.2">
      <c r="AH62" s="719" t="s">
        <v>7223</v>
      </c>
      <c r="AI62" s="554"/>
      <c r="AJ62" s="554"/>
      <c r="AK62" s="554"/>
      <c r="AL62" s="554"/>
      <c r="AM62" s="554"/>
      <c r="AN62" s="554"/>
      <c r="AO62" s="554"/>
      <c r="AP62" s="554"/>
      <c r="AQ62" s="1194"/>
    </row>
    <row r="63" spans="28:46" s="20" customFormat="1" ht="11.25" x14ac:dyDescent="0.2">
      <c r="AH63" s="589"/>
      <c r="AI63" s="20" t="str">
        <f>AH3</f>
        <v>Coal</v>
      </c>
      <c r="AJ63" s="617" t="str">
        <f>AH4</f>
        <v>Oil</v>
      </c>
      <c r="AK63" s="20" t="str">
        <f>AH5</f>
        <v>Natural gas</v>
      </c>
      <c r="AL63" s="20" t="str">
        <f>AH8</f>
        <v>Biofuels and waste</v>
      </c>
      <c r="AM63" s="20" t="str">
        <f>AH11</f>
        <v>Electricity</v>
      </c>
      <c r="AN63" s="20" t="str">
        <f>AH12</f>
        <v>Heat</v>
      </c>
      <c r="AO63" s="20" t="str">
        <f>AH13</f>
        <v>Total</v>
      </c>
      <c r="AP63" s="666" t="s">
        <v>7186</v>
      </c>
      <c r="AQ63" s="590" t="s">
        <v>7224</v>
      </c>
    </row>
    <row r="64" spans="28:46" s="20" customFormat="1" ht="11.25" x14ac:dyDescent="0.2">
      <c r="AH64" s="589" t="str">
        <f>'Aggregated Balance'!A29</f>
        <v>Industry</v>
      </c>
      <c r="AI64" s="583">
        <f ca="1">SUM('Aggregated Balance'!B29:D29,'Aggregated Balance'!B57:D57)</f>
        <v>530349.58198600006</v>
      </c>
      <c r="AJ64" s="583">
        <f ca="1">SUM('Aggregated Balance'!E29:F29,'Aggregated Balance'!E57:F57)</f>
        <v>90422.607692819933</v>
      </c>
      <c r="AK64" s="583">
        <f ca="1">SUM('Aggregated Balance'!G29,'Aggregated Balance'!G57)</f>
        <v>69571.799121093762</v>
      </c>
      <c r="AL64" s="583">
        <f ca="1">SUM('Aggregated Balance'!L29,'Aggregated Balance'!L57)</f>
        <v>81176.2</v>
      </c>
      <c r="AM64" s="583">
        <f>SUM('Aggregated Balance'!M29,'Aggregated Balance'!M57)</f>
        <v>372905.17920000001</v>
      </c>
      <c r="AN64" s="583">
        <f>SUM('Aggregated Balance'!N29,'Aggregated Balance'!N57)+SUM('Aggregated Balance'!J29:K29,'Aggregated Balance'!J57:K57)</f>
        <v>0</v>
      </c>
      <c r="AO64" s="583">
        <f ca="1">SUM('Aggregated Balance'!P29,'Aggregated Balance'!P57)</f>
        <v>1144425.3679999139</v>
      </c>
      <c r="AP64" s="664">
        <f t="shared" ref="AP64:AP69" ca="1" si="13">SUM(AI64:AN64)-AO64</f>
        <v>0</v>
      </c>
      <c r="AQ64" s="651">
        <f ca="1">AO64/$AO$69</f>
        <v>0.42744024873976127</v>
      </c>
    </row>
    <row r="65" spans="33:43" s="20" customFormat="1" ht="11.25" x14ac:dyDescent="0.2">
      <c r="AH65" s="589" t="str">
        <f>'Aggregated Balance'!A43</f>
        <v>Transport</v>
      </c>
      <c r="AI65" s="583">
        <f ca="1">SUM('Aggregated Balance'!B43:D43,'Aggregated Balance'!B58:D58)</f>
        <v>0</v>
      </c>
      <c r="AJ65" s="583">
        <f ca="1">SUM('Aggregated Balance'!E43:F43,'Aggregated Balance'!E58:F58)</f>
        <v>560770.741133095</v>
      </c>
      <c r="AK65" s="583">
        <f ca="1">SUM('Aggregated Balance'!G43,'Aggregated Balance'!G58)</f>
        <v>0</v>
      </c>
      <c r="AL65" s="583">
        <f ca="1">SUM('Aggregated Balance'!L43,'Aggregated Balance'!L58)</f>
        <v>0</v>
      </c>
      <c r="AM65" s="583">
        <f>SUM('Aggregated Balance'!M43,'Aggregated Balance'!M58)</f>
        <v>11526.505200000001</v>
      </c>
      <c r="AN65" s="583">
        <f>SUM('Aggregated Balance'!N43,'Aggregated Balance'!N58)+SUM('Aggregated Balance'!J43:K43,'Aggregated Balance'!J58:K58)</f>
        <v>0</v>
      </c>
      <c r="AO65" s="583">
        <f ca="1">SUM('Aggregated Balance'!P43,'Aggregated Balance'!P58)</f>
        <v>572297.24633309501</v>
      </c>
      <c r="AP65" s="664">
        <f t="shared" ca="1" si="13"/>
        <v>0</v>
      </c>
      <c r="AQ65" s="651">
        <f ca="1">AO65/$AO$69</f>
        <v>0.21375170820725548</v>
      </c>
    </row>
    <row r="66" spans="33:43" s="20" customFormat="1" ht="11.25" x14ac:dyDescent="0.2">
      <c r="AH66" s="589" t="str">
        <f>'Aggregated Balance'!A51</f>
        <v>Residential</v>
      </c>
      <c r="AI66" s="583">
        <f ca="1">SUM('Aggregated Balance'!B51:D51)</f>
        <v>18193.927204</v>
      </c>
      <c r="AJ66" s="583">
        <f ca="1">SUM('Aggregated Balance'!E51:F51)</f>
        <v>86.630227810339989</v>
      </c>
      <c r="AK66" s="583">
        <f ca="1">SUM('Aggregated Balance'!G51)</f>
        <v>208.73699340820312</v>
      </c>
      <c r="AL66" s="583">
        <f ca="1">SUM('Aggregated Balance'!L51)</f>
        <v>344246.09</v>
      </c>
      <c r="AM66" s="583">
        <f>SUM('Aggregated Balance'!M51)</f>
        <v>174682.80000000002</v>
      </c>
      <c r="AN66" s="583">
        <f>SUM('Aggregated Balance'!N51)+SUM('Aggregated Balance'!J51:K51)</f>
        <v>0</v>
      </c>
      <c r="AO66" s="583">
        <f ca="1">'Aggregated Balance'!P51</f>
        <v>537418.18442521861</v>
      </c>
      <c r="AP66" s="664">
        <f t="shared" ca="1" si="13"/>
        <v>0</v>
      </c>
      <c r="AQ66" s="651">
        <f ca="1">AO66/$AO$69</f>
        <v>0.20072445862455193</v>
      </c>
    </row>
    <row r="67" spans="33:43" s="20" customFormat="1" ht="11.25" x14ac:dyDescent="0.2">
      <c r="AH67" s="589" t="str">
        <f>HLOOKUP(LangChoice,$AC$2:$AE$50,$AB44+1,FALSE)</f>
        <v>Services</v>
      </c>
      <c r="AI67" s="583">
        <f ca="1">SUM('Aggregated Balance'!B52:D54,'Aggregated Balance'!B59:D59)</f>
        <v>17856.180247999997</v>
      </c>
      <c r="AJ67" s="583">
        <f ca="1">SUM('Aggregated Balance'!E52:F54,'Aggregated Balance'!E59:F59)</f>
        <v>238026.96593246856</v>
      </c>
      <c r="AK67" s="583">
        <f ca="1">SUM('Aggregated Balance'!G52:G54,'Aggregated Balance'!G59)</f>
        <v>1110.6000000000001</v>
      </c>
      <c r="AL67" s="583">
        <f ca="1">SUM('Aggregated Balance'!L52:L54,'Aggregated Balance'!L59)</f>
        <v>0</v>
      </c>
      <c r="AM67" s="583">
        <f>SUM('Aggregated Balance'!M52:M54,'Aggregated Balance'!M59)</f>
        <v>154684.79999999999</v>
      </c>
      <c r="AN67" s="583">
        <f>SUM('Aggregated Balance'!N52:N54,'Aggregated Balance'!N59)+SUM('Aggregated Balance'!J52:K54,'Aggregated Balance'!J59:K59)</f>
        <v>0</v>
      </c>
      <c r="AO67" s="583">
        <f ca="1">SUM('Aggregated Balance'!P52:P54,'Aggregated Balance'!P59)</f>
        <v>411678.54618046852</v>
      </c>
      <c r="AP67" s="664">
        <f t="shared" ca="1" si="13"/>
        <v>0</v>
      </c>
      <c r="AQ67" s="651">
        <f ca="1">AO67/$AO$69</f>
        <v>0.153760992285358</v>
      </c>
    </row>
    <row r="68" spans="33:43" s="20" customFormat="1" ht="11.25" x14ac:dyDescent="0.2">
      <c r="AH68" s="589" t="str">
        <f>HLOOKUP(LangChoice,$AC$2:$AE$50,$AB45+1,FALSE)</f>
        <v>Non-specified</v>
      </c>
      <c r="AI68" s="583">
        <f ca="1">SUM('Aggregated Balance'!B55:D55)</f>
        <v>1903.75792</v>
      </c>
      <c r="AJ68" s="583">
        <f ca="1">SUM('Aggregated Balance'!E55:F55)</f>
        <v>6983.9183885260009</v>
      </c>
      <c r="AK68" s="583">
        <f ca="1">SUM('Aggregated Balance'!G55)</f>
        <v>0</v>
      </c>
      <c r="AL68" s="583">
        <f ca="1">SUM('Aggregated Balance'!L55)</f>
        <v>0</v>
      </c>
      <c r="AM68" s="583">
        <f>SUM('Aggregated Balance'!M55)</f>
        <v>2685.6</v>
      </c>
      <c r="AN68" s="583">
        <f>SUM('Aggregated Balance'!N55)+SUM('Aggregated Balance'!J55:K55)</f>
        <v>0</v>
      </c>
      <c r="AO68" s="583">
        <f ca="1">'Aggregated Balance'!P55</f>
        <v>11573.276308526001</v>
      </c>
      <c r="AP68" s="664">
        <f t="shared" ca="1" si="13"/>
        <v>0</v>
      </c>
      <c r="AQ68" s="651">
        <f ca="1">AO68/$AO$69</f>
        <v>4.3225921430734247E-3</v>
      </c>
    </row>
    <row r="69" spans="33:43" s="20" customFormat="1" ht="11.25" x14ac:dyDescent="0.2">
      <c r="AH69" s="624" t="str">
        <f>'Aggregated Balance'!A28</f>
        <v>Final consumption</v>
      </c>
      <c r="AI69" s="665">
        <f ca="1">AK3</f>
        <v>568303.44735800009</v>
      </c>
      <c r="AJ69" s="665">
        <f ca="1">SUM(AK4:AK4)</f>
        <v>896290.86337471986</v>
      </c>
      <c r="AK69" s="665">
        <f ca="1">AK5</f>
        <v>70891.136114501962</v>
      </c>
      <c r="AL69" s="665">
        <f ca="1">AK8</f>
        <v>425422.29000000004</v>
      </c>
      <c r="AM69" s="665">
        <f>AK11</f>
        <v>716484.8844000001</v>
      </c>
      <c r="AN69" s="665">
        <f>AK12</f>
        <v>0</v>
      </c>
      <c r="AO69" s="665">
        <f ca="1">'Aggregated Balance'!P28</f>
        <v>2677392.6212472217</v>
      </c>
      <c r="AP69" s="664">
        <f t="shared" ca="1" si="13"/>
        <v>0</v>
      </c>
      <c r="AQ69" s="590"/>
    </row>
    <row r="70" spans="33:43" s="20" customFormat="1" ht="11.25" x14ac:dyDescent="0.2">
      <c r="AH70" s="1195" t="s">
        <v>7186</v>
      </c>
      <c r="AI70" s="664">
        <f t="shared" ref="AI70:AO70" ca="1" si="14">SUM(AI64:AI68)-AI69</f>
        <v>0</v>
      </c>
      <c r="AJ70" s="664">
        <f t="shared" ca="1" si="14"/>
        <v>0</v>
      </c>
      <c r="AK70" s="664">
        <f t="shared" ca="1" si="14"/>
        <v>0</v>
      </c>
      <c r="AL70" s="664">
        <f t="shared" ca="1" si="14"/>
        <v>0</v>
      </c>
      <c r="AM70" s="664">
        <f t="shared" si="14"/>
        <v>0</v>
      </c>
      <c r="AN70" s="664">
        <f t="shared" si="14"/>
        <v>0</v>
      </c>
      <c r="AO70" s="664">
        <f t="shared" ca="1" si="14"/>
        <v>0</v>
      </c>
      <c r="AP70" s="648"/>
      <c r="AQ70" s="590"/>
    </row>
    <row r="71" spans="33:43" s="20" customFormat="1" x14ac:dyDescent="0.2">
      <c r="AG71"/>
      <c r="AH71" s="589"/>
      <c r="AQ71" s="590"/>
    </row>
    <row r="72" spans="33:43" s="20" customFormat="1" ht="11.25" x14ac:dyDescent="0.2">
      <c r="AH72" s="624" t="s">
        <v>7225</v>
      </c>
      <c r="AI72" s="259">
        <v>1</v>
      </c>
      <c r="AJ72" s="259">
        <v>2</v>
      </c>
      <c r="AK72" s="259">
        <v>3</v>
      </c>
      <c r="AL72" s="259">
        <v>4</v>
      </c>
      <c r="AM72" s="259">
        <v>5</v>
      </c>
      <c r="AN72" s="259">
        <v>6</v>
      </c>
      <c r="AO72" s="259">
        <v>7</v>
      </c>
      <c r="AP72" s="259"/>
      <c r="AQ72" s="590"/>
    </row>
    <row r="73" spans="33:43" s="20" customFormat="1" ht="11.25" x14ac:dyDescent="0.2">
      <c r="AG73" s="259" t="s">
        <v>7196</v>
      </c>
      <c r="AH73" s="589" t="s">
        <v>322</v>
      </c>
      <c r="AI73" s="567" t="str">
        <f t="shared" ref="AI73:AN73" si="15">AI63</f>
        <v>Coal</v>
      </c>
      <c r="AJ73" s="567" t="str">
        <f t="shared" si="15"/>
        <v>Oil</v>
      </c>
      <c r="AK73" s="567" t="str">
        <f t="shared" si="15"/>
        <v>Natural gas</v>
      </c>
      <c r="AL73" s="567" t="str">
        <f t="shared" si="15"/>
        <v>Biofuels and waste</v>
      </c>
      <c r="AM73" s="567" t="str">
        <f t="shared" si="15"/>
        <v>Electricity</v>
      </c>
      <c r="AN73" s="567" t="str">
        <f t="shared" si="15"/>
        <v>Heat</v>
      </c>
      <c r="AO73" s="567" t="str">
        <f>AO63</f>
        <v>Total</v>
      </c>
      <c r="AP73" s="666" t="s">
        <v>7186</v>
      </c>
      <c r="AQ73" s="715" t="s">
        <v>7226</v>
      </c>
    </row>
    <row r="74" spans="33:43" s="20" customFormat="1" ht="11.25" x14ac:dyDescent="0.2">
      <c r="AG74" s="259">
        <v>1</v>
      </c>
      <c r="AH74" s="1196" t="str">
        <f ca="1">INDEX($AH$64:$AH$68,MATCH(AG74,$AQ$74:$AQ$77,0),1)</f>
        <v>Industry</v>
      </c>
      <c r="AI74" s="583">
        <f t="shared" ref="AI74:AO77" ca="1" si="16">INDEX($AI$64:$AO$67,MATCH($AG74,$AQ$74:$AQ$77,0),AI$72)</f>
        <v>530349.58198600006</v>
      </c>
      <c r="AJ74" s="583">
        <f t="shared" ca="1" si="16"/>
        <v>90422.607692819933</v>
      </c>
      <c r="AK74" s="583">
        <f t="shared" ca="1" si="16"/>
        <v>69571.799121093762</v>
      </c>
      <c r="AL74" s="583">
        <f t="shared" ca="1" si="16"/>
        <v>81176.2</v>
      </c>
      <c r="AM74" s="583">
        <f t="shared" ca="1" si="16"/>
        <v>372905.17920000001</v>
      </c>
      <c r="AN74" s="583">
        <f t="shared" ca="1" si="16"/>
        <v>0</v>
      </c>
      <c r="AO74" s="583">
        <f t="shared" ca="1" si="16"/>
        <v>1144425.3679999139</v>
      </c>
      <c r="AP74" s="664">
        <f t="shared" ref="AP74:AP79" ca="1" si="17">SUM(AH74:AN74)-AO74</f>
        <v>0</v>
      </c>
      <c r="AQ74" s="1197">
        <f ca="1">RANK($AO64,$AO$64:$AO$67,0)</f>
        <v>1</v>
      </c>
    </row>
    <row r="75" spans="33:43" s="20" customFormat="1" ht="11.25" x14ac:dyDescent="0.2">
      <c r="AG75" s="259">
        <v>2</v>
      </c>
      <c r="AH75" s="1196" t="str">
        <f ca="1">INDEX($AH$64:$AH$68,MATCH(AG75,$AQ$74:$AQ$77,0),1)</f>
        <v>Transport</v>
      </c>
      <c r="AI75" s="583">
        <f t="shared" ca="1" si="16"/>
        <v>0</v>
      </c>
      <c r="AJ75" s="583">
        <f t="shared" ca="1" si="16"/>
        <v>560770.741133095</v>
      </c>
      <c r="AK75" s="583">
        <f t="shared" ca="1" si="16"/>
        <v>0</v>
      </c>
      <c r="AL75" s="583">
        <f t="shared" ca="1" si="16"/>
        <v>0</v>
      </c>
      <c r="AM75" s="583">
        <f t="shared" ca="1" si="16"/>
        <v>11526.505200000001</v>
      </c>
      <c r="AN75" s="583">
        <f t="shared" ca="1" si="16"/>
        <v>0</v>
      </c>
      <c r="AO75" s="583">
        <f t="shared" ca="1" si="16"/>
        <v>572297.24633309501</v>
      </c>
      <c r="AP75" s="664">
        <f t="shared" ca="1" si="17"/>
        <v>0</v>
      </c>
      <c r="AQ75" s="1197">
        <f t="shared" ref="AQ75:AQ77" ca="1" si="18">RANK($AO65,$AO$64:$AO$67,0)</f>
        <v>2</v>
      </c>
    </row>
    <row r="76" spans="33:43" s="20" customFormat="1" ht="11.25" x14ac:dyDescent="0.2">
      <c r="AG76" s="259">
        <v>3</v>
      </c>
      <c r="AH76" s="1196" t="str">
        <f ca="1">INDEX($AH$64:$AH$68,MATCH(AG76,$AQ$74:$AQ$77,0),1)</f>
        <v>Residential</v>
      </c>
      <c r="AI76" s="583">
        <f t="shared" ca="1" si="16"/>
        <v>18193.927204</v>
      </c>
      <c r="AJ76" s="583">
        <f t="shared" ca="1" si="16"/>
        <v>86.630227810339989</v>
      </c>
      <c r="AK76" s="583">
        <f t="shared" ca="1" si="16"/>
        <v>208.73699340820312</v>
      </c>
      <c r="AL76" s="583">
        <f t="shared" ca="1" si="16"/>
        <v>344246.09</v>
      </c>
      <c r="AM76" s="583">
        <f t="shared" ca="1" si="16"/>
        <v>174682.80000000002</v>
      </c>
      <c r="AN76" s="583">
        <f t="shared" ca="1" si="16"/>
        <v>0</v>
      </c>
      <c r="AO76" s="583">
        <f t="shared" ca="1" si="16"/>
        <v>537418.18442521861</v>
      </c>
      <c r="AP76" s="664">
        <f t="shared" ca="1" si="17"/>
        <v>0</v>
      </c>
      <c r="AQ76" s="1197">
        <f t="shared" ca="1" si="18"/>
        <v>3</v>
      </c>
    </row>
    <row r="77" spans="33:43" s="20" customFormat="1" ht="11.25" x14ac:dyDescent="0.2">
      <c r="AG77" s="259">
        <v>4</v>
      </c>
      <c r="AH77" s="1196" t="str">
        <f ca="1">INDEX($AH$64:$AH$68,MATCH(AG77,$AQ$74:$AQ$77,0),1)</f>
        <v>Services</v>
      </c>
      <c r="AI77" s="583">
        <f t="shared" ca="1" si="16"/>
        <v>17856.180247999997</v>
      </c>
      <c r="AJ77" s="583">
        <f t="shared" ca="1" si="16"/>
        <v>238026.96593246856</v>
      </c>
      <c r="AK77" s="583">
        <f t="shared" ca="1" si="16"/>
        <v>1110.6000000000001</v>
      </c>
      <c r="AL77" s="583">
        <f t="shared" ca="1" si="16"/>
        <v>0</v>
      </c>
      <c r="AM77" s="583">
        <f t="shared" ca="1" si="16"/>
        <v>154684.79999999999</v>
      </c>
      <c r="AN77" s="583">
        <f t="shared" ca="1" si="16"/>
        <v>0</v>
      </c>
      <c r="AO77" s="583">
        <f t="shared" ca="1" si="16"/>
        <v>411678.54618046852</v>
      </c>
      <c r="AP77" s="664">
        <f t="shared" ca="1" si="17"/>
        <v>0</v>
      </c>
      <c r="AQ77" s="1197">
        <f t="shared" ca="1" si="18"/>
        <v>4</v>
      </c>
    </row>
    <row r="78" spans="33:43" s="20" customFormat="1" ht="11.25" x14ac:dyDescent="0.2">
      <c r="AH78" s="1198" t="str">
        <f t="shared" ref="AH78:AN78" si="19">AH68</f>
        <v>Non-specified</v>
      </c>
      <c r="AI78" s="654">
        <f t="shared" ca="1" si="19"/>
        <v>1903.75792</v>
      </c>
      <c r="AJ78" s="654">
        <f t="shared" ca="1" si="19"/>
        <v>6983.9183885260009</v>
      </c>
      <c r="AK78" s="654">
        <f t="shared" ca="1" si="19"/>
        <v>0</v>
      </c>
      <c r="AL78" s="654">
        <f t="shared" ca="1" si="19"/>
        <v>0</v>
      </c>
      <c r="AM78" s="654">
        <f t="shared" si="19"/>
        <v>2685.6</v>
      </c>
      <c r="AN78" s="654">
        <f t="shared" si="19"/>
        <v>0</v>
      </c>
      <c r="AO78" s="654">
        <f ca="1">AO68</f>
        <v>11573.276308526001</v>
      </c>
      <c r="AP78" s="664">
        <f t="shared" ca="1" si="17"/>
        <v>0</v>
      </c>
      <c r="AQ78" s="590"/>
    </row>
    <row r="79" spans="33:43" s="20" customFormat="1" x14ac:dyDescent="0.2">
      <c r="AH79" s="624" t="str">
        <f>AH69</f>
        <v>Final consumption</v>
      </c>
      <c r="AI79" s="665">
        <f ca="1">SUM(AI74:AI78)</f>
        <v>568303.44735799998</v>
      </c>
      <c r="AJ79" s="665">
        <f t="shared" ref="AJ79:AO79" ca="1" si="20">SUM(AJ74:AJ78)</f>
        <v>896290.86337471975</v>
      </c>
      <c r="AK79" s="665">
        <f t="shared" ca="1" si="20"/>
        <v>70891.136114501976</v>
      </c>
      <c r="AL79" s="665">
        <f t="shared" ca="1" si="20"/>
        <v>425422.29000000004</v>
      </c>
      <c r="AM79" s="665">
        <f t="shared" ca="1" si="20"/>
        <v>716484.88439999998</v>
      </c>
      <c r="AN79" s="665">
        <f t="shared" ca="1" si="20"/>
        <v>0</v>
      </c>
      <c r="AO79" s="665">
        <f t="shared" ca="1" si="20"/>
        <v>2677392.6212472217</v>
      </c>
      <c r="AP79" s="664">
        <f t="shared" ca="1" si="17"/>
        <v>0</v>
      </c>
      <c r="AQ79" s="1169"/>
    </row>
    <row r="80" spans="33:43" s="20" customFormat="1" x14ac:dyDescent="0.2">
      <c r="AH80" s="1195" t="s">
        <v>7186</v>
      </c>
      <c r="AI80" s="664">
        <f t="shared" ref="AI80:AO80" ca="1" si="21">SUM(AI74:AI78)-AI79</f>
        <v>0</v>
      </c>
      <c r="AJ80" s="664">
        <f t="shared" ca="1" si="21"/>
        <v>0</v>
      </c>
      <c r="AK80" s="664">
        <f t="shared" ca="1" si="21"/>
        <v>0</v>
      </c>
      <c r="AL80" s="664">
        <f t="shared" ca="1" si="21"/>
        <v>0</v>
      </c>
      <c r="AM80" s="664">
        <f t="shared" ca="1" si="21"/>
        <v>0</v>
      </c>
      <c r="AN80" s="664">
        <f t="shared" ca="1" si="21"/>
        <v>0</v>
      </c>
      <c r="AO80" s="664">
        <f t="shared" ca="1" si="21"/>
        <v>0</v>
      </c>
      <c r="AP80" s="648"/>
      <c r="AQ80" s="1169"/>
    </row>
    <row r="81" spans="34:43" s="20" customFormat="1" ht="11.25" x14ac:dyDescent="0.2">
      <c r="AH81" s="589"/>
      <c r="AQ81" s="590"/>
    </row>
    <row r="82" spans="34:43" s="20" customFormat="1" ht="11.25" x14ac:dyDescent="0.2">
      <c r="AH82" s="624" t="s">
        <v>7227</v>
      </c>
      <c r="AQ82" s="590"/>
    </row>
    <row r="83" spans="34:43" s="20" customFormat="1" ht="11.25" x14ac:dyDescent="0.2">
      <c r="AH83" s="1196" t="str">
        <f t="array" ref="AH83:AM90">TRANSPOSE(AH73:AO78)</f>
        <v xml:space="preserve"> </v>
      </c>
      <c r="AI83" s="567" t="str">
        <f ca="1"/>
        <v>Industry</v>
      </c>
      <c r="AJ83" s="567" t="str">
        <f ca="1"/>
        <v>Transport</v>
      </c>
      <c r="AK83" s="567" t="str">
        <f ca="1"/>
        <v>Residential</v>
      </c>
      <c r="AL83" s="567" t="str">
        <f ca="1"/>
        <v>Services</v>
      </c>
      <c r="AM83" s="567" t="str">
        <v>Non-specified</v>
      </c>
      <c r="AN83" s="567"/>
      <c r="AQ83" s="590"/>
    </row>
    <row r="84" spans="34:43" s="20" customFormat="1" ht="11.25" x14ac:dyDescent="0.2">
      <c r="AH84" s="1196" t="str">
        <v>Coal</v>
      </c>
      <c r="AI84" s="583">
        <f ca="1"/>
        <v>530349.58198600006</v>
      </c>
      <c r="AJ84" s="583">
        <f ca="1"/>
        <v>0</v>
      </c>
      <c r="AK84" s="583">
        <f ca="1"/>
        <v>18193.927204</v>
      </c>
      <c r="AL84" s="583">
        <f ca="1"/>
        <v>17856.180247999997</v>
      </c>
      <c r="AM84" s="583">
        <f ca="1"/>
        <v>1903.75792</v>
      </c>
      <c r="AN84" s="567"/>
      <c r="AQ84" s="590"/>
    </row>
    <row r="85" spans="34:43" s="20" customFormat="1" ht="11.25" x14ac:dyDescent="0.2">
      <c r="AH85" s="1196" t="str">
        <v>Oil</v>
      </c>
      <c r="AI85" s="583">
        <f ca="1"/>
        <v>90422.607692819933</v>
      </c>
      <c r="AJ85" s="583">
        <f ca="1"/>
        <v>560770.741133095</v>
      </c>
      <c r="AK85" s="583">
        <f ca="1"/>
        <v>86.630227810339989</v>
      </c>
      <c r="AL85" s="583">
        <f ca="1"/>
        <v>238026.96593246856</v>
      </c>
      <c r="AM85" s="583">
        <f ca="1"/>
        <v>6983.9183885260009</v>
      </c>
      <c r="AN85" s="567"/>
      <c r="AQ85" s="590"/>
    </row>
    <row r="86" spans="34:43" s="20" customFormat="1" ht="11.25" x14ac:dyDescent="0.2">
      <c r="AH86" s="1196" t="str">
        <v>Natural gas</v>
      </c>
      <c r="AI86" s="583">
        <f ca="1"/>
        <v>69571.799121093762</v>
      </c>
      <c r="AJ86" s="583">
        <f ca="1"/>
        <v>0</v>
      </c>
      <c r="AK86" s="583">
        <f ca="1"/>
        <v>208.73699340820312</v>
      </c>
      <c r="AL86" s="583">
        <f ca="1"/>
        <v>1110.6000000000001</v>
      </c>
      <c r="AM86" s="583">
        <f ca="1"/>
        <v>0</v>
      </c>
      <c r="AN86" s="567"/>
      <c r="AQ86" s="590"/>
    </row>
    <row r="87" spans="34:43" s="20" customFormat="1" ht="11.25" x14ac:dyDescent="0.2">
      <c r="AH87" s="1196" t="str">
        <v>Biofuels and waste</v>
      </c>
      <c r="AI87" s="583">
        <f ca="1"/>
        <v>81176.2</v>
      </c>
      <c r="AJ87" s="583">
        <f ca="1"/>
        <v>0</v>
      </c>
      <c r="AK87" s="583">
        <f ca="1"/>
        <v>344246.09</v>
      </c>
      <c r="AL87" s="583">
        <f ca="1"/>
        <v>0</v>
      </c>
      <c r="AM87" s="583">
        <f ca="1"/>
        <v>0</v>
      </c>
      <c r="AN87" s="567"/>
      <c r="AQ87" s="590"/>
    </row>
    <row r="88" spans="34:43" s="20" customFormat="1" ht="11.25" x14ac:dyDescent="0.2">
      <c r="AH88" s="1196" t="str">
        <v>Electricity</v>
      </c>
      <c r="AI88" s="583">
        <f ca="1"/>
        <v>372905.17920000001</v>
      </c>
      <c r="AJ88" s="583">
        <f ca="1"/>
        <v>11526.505200000001</v>
      </c>
      <c r="AK88" s="583">
        <f ca="1"/>
        <v>174682.80000000002</v>
      </c>
      <c r="AL88" s="583">
        <f ca="1"/>
        <v>154684.79999999999</v>
      </c>
      <c r="AM88" s="583">
        <v>2685.6</v>
      </c>
      <c r="AN88" s="567"/>
      <c r="AQ88" s="590"/>
    </row>
    <row r="89" spans="34:43" s="20" customFormat="1" ht="11.25" x14ac:dyDescent="0.2">
      <c r="AH89" s="1196" t="str">
        <v>Heat</v>
      </c>
      <c r="AI89" s="583">
        <f ca="1"/>
        <v>0</v>
      </c>
      <c r="AJ89" s="583">
        <f ca="1"/>
        <v>0</v>
      </c>
      <c r="AK89" s="583">
        <f ca="1"/>
        <v>0</v>
      </c>
      <c r="AL89" s="583">
        <f ca="1"/>
        <v>0</v>
      </c>
      <c r="AM89" s="583">
        <v>0</v>
      </c>
      <c r="AN89" s="567"/>
      <c r="AQ89" s="590"/>
    </row>
    <row r="90" spans="34:43" s="20" customFormat="1" ht="11.25" x14ac:dyDescent="0.2">
      <c r="AH90" s="1196" t="str">
        <v>Total</v>
      </c>
      <c r="AI90" s="583">
        <f ca="1"/>
        <v>1144425.3679999139</v>
      </c>
      <c r="AJ90" s="583">
        <f ca="1"/>
        <v>572297.24633309501</v>
      </c>
      <c r="AK90" s="583">
        <f ca="1"/>
        <v>537418.18442521861</v>
      </c>
      <c r="AL90" s="583">
        <f ca="1"/>
        <v>411678.54618046852</v>
      </c>
      <c r="AM90" s="583">
        <f ca="1"/>
        <v>11573.276308526001</v>
      </c>
      <c r="AN90" s="567"/>
      <c r="AQ90" s="590"/>
    </row>
    <row r="91" spans="34:43" s="20" customFormat="1" ht="11.25" x14ac:dyDescent="0.2">
      <c r="AH91" s="1199" t="s">
        <v>7224</v>
      </c>
      <c r="AI91" s="672">
        <f ca="1">AI90/$AK$13</f>
        <v>0.42744024873976127</v>
      </c>
      <c r="AJ91" s="672">
        <f ca="1">AJ90/$AK$13</f>
        <v>0.21375170820725548</v>
      </c>
      <c r="AK91" s="672">
        <f ca="1">AK90/$AK$13</f>
        <v>0.20072445862455193</v>
      </c>
      <c r="AL91" s="672">
        <f ca="1">AL90/$AK$13</f>
        <v>0.153760992285358</v>
      </c>
      <c r="AM91" s="672">
        <f ca="1">AM90/$AK$13</f>
        <v>4.3225921430734247E-3</v>
      </c>
      <c r="AQ91" s="590"/>
    </row>
    <row r="92" spans="34:43" s="20" customFormat="1" ht="11.25" x14ac:dyDescent="0.2">
      <c r="AH92" s="1200" t="s">
        <v>7228</v>
      </c>
      <c r="AI92" s="583" t="s">
        <v>7229</v>
      </c>
      <c r="AQ92" s="590"/>
    </row>
    <row r="93" spans="34:43" s="20" customFormat="1" ht="11.25" x14ac:dyDescent="0.2">
      <c r="AH93" s="1200" t="s">
        <v>7230</v>
      </c>
      <c r="AI93" s="20" t="s">
        <v>7231</v>
      </c>
      <c r="AQ93" s="590"/>
    </row>
    <row r="94" spans="34:43" s="20" customFormat="1" ht="11.25" x14ac:dyDescent="0.2">
      <c r="AH94" s="627">
        <v>1.6180000000000001</v>
      </c>
      <c r="AI94" s="32"/>
      <c r="AJ94" s="32"/>
      <c r="AK94" s="32"/>
      <c r="AL94" s="32"/>
      <c r="AM94" s="32"/>
      <c r="AN94" s="32"/>
      <c r="AO94" s="32"/>
      <c r="AP94" s="32"/>
      <c r="AQ94" s="628"/>
    </row>
    <row r="95" spans="34:43" s="20" customFormat="1" ht="11.25" x14ac:dyDescent="0.2"/>
    <row r="96" spans="34:43" s="20" customFormat="1" ht="11.25" x14ac:dyDescent="0.2"/>
  </sheetData>
  <sheetProtection sheet="1" objects="1" scenarios="1"/>
  <mergeCells count="4">
    <mergeCell ref="A20:B24"/>
    <mergeCell ref="A6:B10"/>
    <mergeCell ref="A13:B17"/>
    <mergeCell ref="A29:B33"/>
  </mergeCells>
  <pageMargins left="0.7" right="0.7" top="0.75" bottom="0.75" header="0.3" footer="0.3"/>
  <pageSetup paperSize="9" orientation="portrait"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C00000"/>
  </sheetPr>
  <dimension ref="A1:U101"/>
  <sheetViews>
    <sheetView showGridLines="0" zoomScaleNormal="100" workbookViewId="0">
      <pane xSplit="4" ySplit="5" topLeftCell="E6" activePane="bottomRight" state="frozen"/>
      <selection pane="topRight"/>
      <selection pane="bottomLeft"/>
      <selection pane="bottomRight" activeCell="C16" sqref="C16"/>
    </sheetView>
  </sheetViews>
  <sheetFormatPr defaultColWidth="11.42578125" defaultRowHeight="12.75" x14ac:dyDescent="0.2"/>
  <cols>
    <col min="1" max="1" width="10.7109375" hidden="1" customWidth="1"/>
    <col min="2" max="2" width="12.7109375" hidden="1" customWidth="1"/>
    <col min="3" max="3" width="43.28515625" customWidth="1"/>
    <col min="4" max="4" width="5.7109375" customWidth="1"/>
    <col min="5" max="19" width="11.85546875" customWidth="1"/>
    <col min="20" max="26" width="11.42578125" customWidth="1"/>
    <col min="27" max="27" width="45" customWidth="1"/>
    <col min="28" max="52" width="11.42578125" customWidth="1"/>
    <col min="53" max="53" width="57.28515625" customWidth="1"/>
    <col min="54" max="78" width="11.42578125" customWidth="1"/>
  </cols>
  <sheetData>
    <row r="1" spans="1:21" ht="46.5" customHeight="1" x14ac:dyDescent="0.2">
      <c r="A1" s="72"/>
      <c r="B1" s="45"/>
      <c r="C1" s="2065">
        <f>DataYear</f>
        <v>2019</v>
      </c>
      <c r="F1" s="74" t="s">
        <v>7232</v>
      </c>
      <c r="G1" s="73"/>
      <c r="H1" s="73"/>
      <c r="I1" s="73"/>
      <c r="J1" s="73"/>
      <c r="K1" s="73"/>
      <c r="L1" s="73"/>
      <c r="M1" s="73"/>
      <c r="N1" s="73"/>
      <c r="O1" s="73"/>
      <c r="P1" s="73"/>
      <c r="Q1" s="73"/>
      <c r="R1" s="73"/>
      <c r="S1" s="73"/>
      <c r="T1" s="73"/>
      <c r="U1" s="73"/>
    </row>
    <row r="2" spans="1:21" x14ac:dyDescent="0.2">
      <c r="A2" s="72"/>
      <c r="B2" s="17" t="s">
        <v>7233</v>
      </c>
      <c r="D2" s="45"/>
      <c r="E2" s="449" t="s">
        <v>325</v>
      </c>
      <c r="F2" s="449" t="s">
        <v>338</v>
      </c>
      <c r="G2" s="449" t="s">
        <v>348</v>
      </c>
      <c r="H2" s="449" t="s">
        <v>358</v>
      </c>
      <c r="I2" s="449" t="s">
        <v>368</v>
      </c>
      <c r="J2" s="449" t="s">
        <v>377</v>
      </c>
      <c r="K2" s="449" t="s">
        <v>387</v>
      </c>
      <c r="L2" s="449" t="s">
        <v>397</v>
      </c>
      <c r="M2" s="449" t="s">
        <v>407</v>
      </c>
      <c r="N2" s="449" t="s">
        <v>418</v>
      </c>
      <c r="O2" s="449" t="s">
        <v>428</v>
      </c>
      <c r="P2" s="449" t="s">
        <v>441</v>
      </c>
      <c r="Q2" s="449" t="s">
        <v>448</v>
      </c>
      <c r="R2" s="449" t="s">
        <v>455</v>
      </c>
      <c r="S2" s="449" t="s">
        <v>469</v>
      </c>
      <c r="T2" s="449" t="s">
        <v>476</v>
      </c>
      <c r="U2" s="449" t="s">
        <v>483</v>
      </c>
    </row>
    <row r="3" spans="1:21" ht="38.1" customHeight="1" x14ac:dyDescent="0.2">
      <c r="B3" s="45"/>
      <c r="C3" s="2060" t="str">
        <f>CountryName</f>
        <v>South Africa</v>
      </c>
      <c r="D3" s="45"/>
      <c r="E3" s="43" t="s">
        <v>326</v>
      </c>
      <c r="F3" s="43" t="s">
        <v>339</v>
      </c>
      <c r="G3" s="58" t="s">
        <v>349</v>
      </c>
      <c r="H3" s="59" t="s">
        <v>359</v>
      </c>
      <c r="I3" s="59" t="s">
        <v>369</v>
      </c>
      <c r="J3" s="59" t="s">
        <v>378</v>
      </c>
      <c r="K3" s="59" t="s">
        <v>388</v>
      </c>
      <c r="L3" s="59" t="s">
        <v>398</v>
      </c>
      <c r="M3" s="59" t="s">
        <v>408</v>
      </c>
      <c r="N3" s="59" t="s">
        <v>418</v>
      </c>
      <c r="O3" s="43" t="s">
        <v>429</v>
      </c>
      <c r="P3" s="59" t="s">
        <v>442</v>
      </c>
      <c r="Q3" s="59" t="s">
        <v>449</v>
      </c>
      <c r="R3" s="59" t="s">
        <v>456</v>
      </c>
      <c r="S3" s="59" t="s">
        <v>470</v>
      </c>
      <c r="T3" s="59" t="s">
        <v>477</v>
      </c>
      <c r="U3" s="59" t="s">
        <v>484</v>
      </c>
    </row>
    <row r="4" spans="1:21" ht="12.75" customHeight="1" x14ac:dyDescent="0.2">
      <c r="A4" s="18" t="s">
        <v>7234</v>
      </c>
      <c r="B4" s="18" t="s">
        <v>7235</v>
      </c>
      <c r="C4" s="56" t="s">
        <v>7236</v>
      </c>
      <c r="D4" s="61"/>
      <c r="E4" s="46" t="s">
        <v>7237</v>
      </c>
      <c r="F4" s="46" t="s">
        <v>7237</v>
      </c>
      <c r="G4" s="46" t="s">
        <v>7237</v>
      </c>
      <c r="H4" s="46" t="s">
        <v>7237</v>
      </c>
      <c r="I4" s="46" t="s">
        <v>7237</v>
      </c>
      <c r="J4" s="46" t="s">
        <v>7237</v>
      </c>
      <c r="K4" s="46" t="s">
        <v>7237</v>
      </c>
      <c r="L4" s="46" t="s">
        <v>7237</v>
      </c>
      <c r="M4" s="46" t="s">
        <v>7237</v>
      </c>
      <c r="N4" s="46" t="s">
        <v>7237</v>
      </c>
      <c r="O4" s="60" t="s">
        <v>7238</v>
      </c>
      <c r="P4" s="60" t="s">
        <v>7238</v>
      </c>
      <c r="Q4" s="60" t="s">
        <v>7238</v>
      </c>
      <c r="R4" s="60" t="s">
        <v>7238</v>
      </c>
      <c r="S4" s="46" t="s">
        <v>7237</v>
      </c>
      <c r="T4" s="46" t="s">
        <v>7237</v>
      </c>
      <c r="U4" s="46" t="s">
        <v>7237</v>
      </c>
    </row>
    <row r="5" spans="1:21" ht="12.75" customHeight="1" x14ac:dyDescent="0.2">
      <c r="C5" s="56"/>
      <c r="D5" s="15"/>
      <c r="E5" s="62" t="s">
        <v>7239</v>
      </c>
      <c r="F5" s="62" t="s">
        <v>7240</v>
      </c>
      <c r="G5" s="63" t="s">
        <v>7241</v>
      </c>
      <c r="H5" s="63" t="s">
        <v>7242</v>
      </c>
      <c r="I5" s="63" t="s">
        <v>7243</v>
      </c>
      <c r="J5" s="63" t="s">
        <v>7244</v>
      </c>
      <c r="K5" s="63" t="s">
        <v>7245</v>
      </c>
      <c r="L5" s="63" t="s">
        <v>7246</v>
      </c>
      <c r="M5" s="63" t="s">
        <v>7247</v>
      </c>
      <c r="N5" s="63" t="s">
        <v>7248</v>
      </c>
      <c r="O5" s="64" t="s">
        <v>7249</v>
      </c>
      <c r="P5" s="63" t="s">
        <v>7250</v>
      </c>
      <c r="Q5" s="63" t="s">
        <v>7251</v>
      </c>
      <c r="R5" s="63" t="s">
        <v>7252</v>
      </c>
      <c r="S5" s="63" t="s">
        <v>7253</v>
      </c>
      <c r="T5" s="63" t="s">
        <v>7254</v>
      </c>
      <c r="U5" s="63" t="s">
        <v>7255</v>
      </c>
    </row>
    <row r="6" spans="1:21" ht="12.75" customHeight="1" x14ac:dyDescent="0.2">
      <c r="A6" s="15"/>
      <c r="B6" s="15" t="s">
        <v>852</v>
      </c>
      <c r="C6" s="55" t="s">
        <v>7256</v>
      </c>
      <c r="D6" s="65">
        <v>1</v>
      </c>
      <c r="E6" s="2258"/>
      <c r="F6" s="2258"/>
      <c r="G6" s="2258"/>
      <c r="H6" s="2258"/>
      <c r="I6" s="2258"/>
      <c r="J6" s="1604"/>
      <c r="K6" s="1604"/>
      <c r="L6" s="1604"/>
      <c r="M6" s="1604"/>
      <c r="N6" s="1604"/>
      <c r="O6" s="1604"/>
      <c r="P6" s="1604"/>
      <c r="Q6" s="1604"/>
      <c r="R6" s="1604"/>
      <c r="S6" s="1604"/>
      <c r="T6" s="1604"/>
      <c r="U6" s="1604"/>
    </row>
    <row r="7" spans="1:21" ht="12.75" customHeight="1" x14ac:dyDescent="0.2">
      <c r="A7" s="15" t="s">
        <v>7257</v>
      </c>
      <c r="B7" s="15" t="s">
        <v>7258</v>
      </c>
      <c r="C7" s="70" t="s">
        <v>7259</v>
      </c>
      <c r="D7" s="65">
        <v>2</v>
      </c>
      <c r="E7" s="1602"/>
      <c r="F7" s="1604"/>
      <c r="G7" s="1604"/>
      <c r="H7" s="1604"/>
      <c r="I7" s="1604"/>
      <c r="J7" s="1611"/>
      <c r="K7" s="1611"/>
      <c r="L7" s="1611"/>
      <c r="M7" s="1611"/>
      <c r="N7" s="1611"/>
      <c r="O7" s="1611"/>
      <c r="P7" s="1611"/>
      <c r="Q7" s="1611"/>
      <c r="R7" s="1611"/>
      <c r="S7" s="1611"/>
      <c r="T7" s="1611"/>
      <c r="U7" s="1611"/>
    </row>
    <row r="8" spans="1:21" ht="12.75" customHeight="1" x14ac:dyDescent="0.2">
      <c r="A8" s="15" t="s">
        <v>7257</v>
      </c>
      <c r="B8" s="15" t="s">
        <v>7260</v>
      </c>
      <c r="C8" s="70" t="s">
        <v>7261</v>
      </c>
      <c r="D8" s="65">
        <v>3</v>
      </c>
      <c r="E8" s="1604"/>
      <c r="F8" s="1604"/>
      <c r="G8" s="1604"/>
      <c r="H8" s="1604"/>
      <c r="I8" s="1604"/>
      <c r="J8" s="1611"/>
      <c r="K8" s="1611"/>
      <c r="L8" s="1611"/>
      <c r="M8" s="1611"/>
      <c r="N8" s="1611"/>
      <c r="O8" s="1611"/>
      <c r="P8" s="1611"/>
      <c r="Q8" s="1611"/>
      <c r="R8" s="1611"/>
      <c r="S8" s="1611"/>
      <c r="T8" s="1611"/>
      <c r="U8" s="1611"/>
    </row>
    <row r="9" spans="1:21" ht="12.75" customHeight="1" x14ac:dyDescent="0.2">
      <c r="A9" s="15" t="s">
        <v>7257</v>
      </c>
      <c r="B9" s="15" t="s">
        <v>7262</v>
      </c>
      <c r="C9" s="55" t="s">
        <v>859</v>
      </c>
      <c r="D9" s="65">
        <v>4</v>
      </c>
      <c r="E9" s="1604"/>
      <c r="F9" s="1604"/>
      <c r="G9" s="1604"/>
      <c r="H9" s="1604"/>
      <c r="I9" s="1604"/>
      <c r="J9" s="1604"/>
      <c r="K9" s="1604"/>
      <c r="L9" s="1604"/>
      <c r="M9" s="1604"/>
      <c r="N9" s="1604"/>
      <c r="O9" s="1604"/>
      <c r="P9" s="1604"/>
      <c r="Q9" s="1604"/>
      <c r="R9" s="1604"/>
      <c r="S9" s="1604"/>
      <c r="T9" s="1604"/>
      <c r="U9" s="1604"/>
    </row>
    <row r="10" spans="1:21" ht="12.75" customHeight="1" x14ac:dyDescent="0.2">
      <c r="A10" s="15" t="s">
        <v>7257</v>
      </c>
      <c r="B10" s="15" t="s">
        <v>7263</v>
      </c>
      <c r="C10" s="55" t="s">
        <v>7264</v>
      </c>
      <c r="D10" s="65">
        <v>5</v>
      </c>
      <c r="E10" s="1604"/>
      <c r="F10" s="1604"/>
      <c r="G10" s="1604"/>
      <c r="H10" s="1604"/>
      <c r="I10" s="1604"/>
      <c r="J10" s="1604"/>
      <c r="K10" s="1604"/>
      <c r="L10" s="1604"/>
      <c r="M10" s="1604"/>
      <c r="N10" s="1604"/>
      <c r="O10" s="1604"/>
      <c r="P10" s="1604"/>
      <c r="Q10" s="1604"/>
      <c r="R10" s="1604"/>
      <c r="S10" s="1604"/>
      <c r="T10" s="1604"/>
      <c r="U10" s="1604"/>
    </row>
    <row r="11" spans="1:21" ht="12.75" customHeight="1" x14ac:dyDescent="0.2">
      <c r="A11" s="15" t="s">
        <v>7257</v>
      </c>
      <c r="B11" s="15" t="s">
        <v>7265</v>
      </c>
      <c r="C11" s="55" t="s">
        <v>7266</v>
      </c>
      <c r="D11" s="65">
        <v>6</v>
      </c>
      <c r="E11" s="1604"/>
      <c r="F11" s="1604"/>
      <c r="G11" s="1604"/>
      <c r="H11" s="1604"/>
      <c r="I11" s="1604"/>
      <c r="J11" s="1604"/>
      <c r="K11" s="1604"/>
      <c r="L11" s="1604"/>
      <c r="M11" s="1604"/>
      <c r="N11" s="1604"/>
      <c r="O11" s="1604"/>
      <c r="P11" s="1604"/>
      <c r="Q11" s="1604"/>
      <c r="R11" s="1604"/>
      <c r="S11" s="1604"/>
      <c r="T11" s="1604"/>
      <c r="U11" s="1604"/>
    </row>
    <row r="12" spans="1:21" ht="12.75" customHeight="1" x14ac:dyDescent="0.2">
      <c r="A12" s="15" t="s">
        <v>7257</v>
      </c>
      <c r="B12" s="15" t="s">
        <v>7267</v>
      </c>
      <c r="C12" s="55" t="s">
        <v>891</v>
      </c>
      <c r="D12" s="65">
        <v>7</v>
      </c>
      <c r="E12" s="1604"/>
      <c r="F12" s="1604"/>
      <c r="G12" s="1604"/>
      <c r="H12" s="1604"/>
      <c r="I12" s="1604"/>
      <c r="J12" s="1604"/>
      <c r="K12" s="1604"/>
      <c r="L12" s="1604"/>
      <c r="M12" s="1604"/>
      <c r="N12" s="1604"/>
      <c r="O12" s="1604"/>
      <c r="P12" s="1604"/>
      <c r="Q12" s="1604"/>
      <c r="R12" s="1604"/>
      <c r="S12" s="1604"/>
      <c r="T12" s="1604"/>
      <c r="U12" s="1604"/>
    </row>
    <row r="13" spans="1:21" ht="12.75" customHeight="1" x14ac:dyDescent="0.2">
      <c r="A13" s="15" t="s">
        <v>7257</v>
      </c>
      <c r="B13" s="15" t="s">
        <v>7268</v>
      </c>
      <c r="C13" s="55" t="s">
        <v>7269</v>
      </c>
      <c r="D13" s="65">
        <v>8</v>
      </c>
      <c r="E13" s="1604"/>
      <c r="F13" s="1604"/>
      <c r="G13" s="1602"/>
      <c r="H13" s="1604"/>
      <c r="I13" s="1604"/>
      <c r="J13" s="1604"/>
      <c r="K13" s="1604"/>
      <c r="L13" s="1604"/>
      <c r="M13" s="1604"/>
      <c r="N13" s="1604"/>
      <c r="O13" s="1604"/>
      <c r="P13" s="1604"/>
      <c r="Q13" s="1604"/>
      <c r="R13" s="1604"/>
      <c r="S13" s="1604"/>
      <c r="T13" s="1604"/>
      <c r="U13" s="1604"/>
    </row>
    <row r="14" spans="1:21" ht="12.75" customHeight="1" x14ac:dyDescent="0.2">
      <c r="A14" s="15" t="s">
        <v>7257</v>
      </c>
      <c r="B14" s="15" t="s">
        <v>7270</v>
      </c>
      <c r="C14" s="55" t="s">
        <v>7271</v>
      </c>
      <c r="D14" s="65">
        <v>9</v>
      </c>
      <c r="E14" s="2258"/>
      <c r="F14" s="2258"/>
      <c r="G14" s="2258"/>
      <c r="H14" s="2258"/>
      <c r="I14" s="2258"/>
      <c r="J14" s="2258"/>
      <c r="K14" s="2258"/>
      <c r="L14" s="2258"/>
      <c r="M14" s="2258"/>
      <c r="N14" s="2258"/>
      <c r="O14" s="2258"/>
      <c r="P14" s="2258"/>
      <c r="Q14" s="2258"/>
      <c r="R14" s="2258"/>
      <c r="S14" s="2258"/>
      <c r="T14" s="2258"/>
      <c r="U14" s="2258"/>
    </row>
    <row r="15" spans="1:21" ht="12.75" customHeight="1" x14ac:dyDescent="0.2">
      <c r="A15" s="15" t="s">
        <v>7257</v>
      </c>
      <c r="B15" s="15" t="s">
        <v>198</v>
      </c>
      <c r="C15" s="55" t="s">
        <v>7272</v>
      </c>
      <c r="D15" s="65">
        <v>10</v>
      </c>
      <c r="E15" s="2258"/>
      <c r="F15" s="2258"/>
      <c r="G15" s="2258"/>
      <c r="H15" s="2258"/>
      <c r="I15" s="2258"/>
      <c r="J15" s="2258"/>
      <c r="K15" s="2258"/>
      <c r="L15" s="2258"/>
      <c r="M15" s="2258"/>
      <c r="N15" s="2258"/>
      <c r="O15" s="2258"/>
      <c r="P15" s="2258"/>
      <c r="Q15" s="2258"/>
      <c r="R15" s="2258"/>
      <c r="S15" s="2258"/>
      <c r="T15" s="2258"/>
      <c r="U15" s="2258"/>
    </row>
    <row r="16" spans="1:21" ht="12.75" customHeight="1" x14ac:dyDescent="0.2">
      <c r="A16" s="15"/>
      <c r="B16" s="15"/>
      <c r="C16" s="66"/>
      <c r="D16" s="54"/>
      <c r="E16" s="1432"/>
      <c r="F16" s="1432"/>
      <c r="G16" s="1432"/>
      <c r="H16" s="1432"/>
      <c r="I16" s="1432"/>
      <c r="J16" s="1432"/>
      <c r="K16" s="1432"/>
      <c r="L16" s="1432"/>
      <c r="M16" s="1432"/>
      <c r="N16" s="1432"/>
      <c r="O16" s="1432"/>
      <c r="P16" s="1432"/>
      <c r="Q16" s="1432"/>
      <c r="R16" s="1432"/>
      <c r="S16" s="1432"/>
      <c r="T16" s="1432"/>
      <c r="U16" s="1432"/>
    </row>
    <row r="17" spans="1:21" ht="12.75" customHeight="1" x14ac:dyDescent="0.2">
      <c r="A17" s="15"/>
      <c r="B17" s="15"/>
      <c r="C17" s="56" t="s">
        <v>7273</v>
      </c>
      <c r="D17" s="54"/>
      <c r="E17" s="1607"/>
      <c r="F17" s="1607"/>
      <c r="G17" s="1607"/>
      <c r="H17" s="1607"/>
      <c r="I17" s="1607"/>
      <c r="J17" s="1607"/>
      <c r="K17" s="1607"/>
      <c r="L17" s="1607"/>
      <c r="M17" s="1607"/>
      <c r="N17" s="1607"/>
      <c r="O17" s="1607"/>
      <c r="P17" s="1607"/>
      <c r="Q17" s="1607"/>
      <c r="R17" s="1607"/>
      <c r="S17" s="1607"/>
      <c r="T17" s="1607"/>
      <c r="U17" s="1607"/>
    </row>
    <row r="18" spans="1:21" ht="12.75" customHeight="1" x14ac:dyDescent="0.2">
      <c r="A18" s="15" t="s">
        <v>7257</v>
      </c>
      <c r="B18" s="15" t="s">
        <v>869</v>
      </c>
      <c r="C18" s="70" t="s">
        <v>7274</v>
      </c>
      <c r="D18" s="65">
        <v>11</v>
      </c>
      <c r="E18" s="1611"/>
      <c r="F18" s="1611"/>
      <c r="G18" s="1611"/>
      <c r="H18" s="1611"/>
      <c r="I18" s="1611"/>
      <c r="J18" s="1604"/>
      <c r="K18" s="1604"/>
      <c r="L18" s="1604"/>
      <c r="M18" s="1604"/>
      <c r="N18" s="1604"/>
      <c r="O18" s="1604"/>
      <c r="P18" s="1604"/>
      <c r="Q18" s="1604"/>
      <c r="R18" s="1604"/>
      <c r="S18" s="1611"/>
      <c r="T18" s="1604"/>
      <c r="U18" s="1604"/>
    </row>
    <row r="19" spans="1:21" ht="12.75" customHeight="1" x14ac:dyDescent="0.2">
      <c r="A19" s="15" t="s">
        <v>7257</v>
      </c>
      <c r="B19" s="15" t="s">
        <v>866</v>
      </c>
      <c r="C19" s="70" t="s">
        <v>7275</v>
      </c>
      <c r="D19" s="65">
        <v>12</v>
      </c>
      <c r="E19" s="1611"/>
      <c r="F19" s="1611"/>
      <c r="G19" s="1611"/>
      <c r="H19" s="1611"/>
      <c r="I19" s="1611"/>
      <c r="J19" s="1604"/>
      <c r="K19" s="1604"/>
      <c r="L19" s="1604"/>
      <c r="M19" s="1604"/>
      <c r="N19" s="1604"/>
      <c r="O19" s="1604"/>
      <c r="P19" s="1604"/>
      <c r="Q19" s="1604"/>
      <c r="R19" s="1604"/>
      <c r="S19" s="1611"/>
      <c r="T19" s="1604"/>
      <c r="U19" s="1604"/>
    </row>
    <row r="20" spans="1:21" ht="12.75" customHeight="1" x14ac:dyDescent="0.2">
      <c r="A20" s="15" t="s">
        <v>7257</v>
      </c>
      <c r="B20" s="15" t="s">
        <v>872</v>
      </c>
      <c r="C20" s="70" t="s">
        <v>7276</v>
      </c>
      <c r="D20" s="65">
        <v>13</v>
      </c>
      <c r="E20" s="1611"/>
      <c r="F20" s="1611"/>
      <c r="G20" s="1611"/>
      <c r="H20" s="1611"/>
      <c r="I20" s="1611"/>
      <c r="J20" s="1604"/>
      <c r="K20" s="1604"/>
      <c r="L20" s="1604"/>
      <c r="M20" s="1604"/>
      <c r="N20" s="1604"/>
      <c r="O20" s="1604"/>
      <c r="P20" s="1604"/>
      <c r="Q20" s="1604"/>
      <c r="R20" s="1604"/>
      <c r="S20" s="1611"/>
      <c r="T20" s="1604"/>
      <c r="U20" s="1604"/>
    </row>
    <row r="21" spans="1:21" ht="12.75" customHeight="1" x14ac:dyDescent="0.2">
      <c r="A21" s="15"/>
      <c r="B21" s="15"/>
      <c r="C21" s="66"/>
      <c r="D21" s="54"/>
      <c r="E21" s="1603"/>
      <c r="F21" s="1607"/>
      <c r="G21" s="1607"/>
      <c r="H21" s="1607"/>
      <c r="I21" s="1607"/>
      <c r="J21" s="1607"/>
      <c r="K21" s="1607"/>
      <c r="L21" s="1607"/>
      <c r="M21" s="1607"/>
      <c r="N21" s="1607"/>
      <c r="O21" s="1607"/>
      <c r="P21" s="1607"/>
      <c r="Q21" s="1607"/>
      <c r="R21" s="1607"/>
      <c r="S21" s="1607"/>
      <c r="T21" s="1607"/>
      <c r="U21" s="1607"/>
    </row>
    <row r="22" spans="1:21" ht="12.75" customHeight="1" x14ac:dyDescent="0.2">
      <c r="A22" s="15"/>
      <c r="B22" s="15"/>
      <c r="C22" s="15"/>
      <c r="D22" s="53"/>
      <c r="E22" s="1601"/>
      <c r="F22" s="1401"/>
      <c r="G22" s="1401"/>
      <c r="H22" s="1401"/>
      <c r="I22" s="1401"/>
      <c r="J22" s="1401"/>
      <c r="K22" s="1401"/>
      <c r="L22" s="1401"/>
      <c r="M22" s="1401"/>
      <c r="N22" s="1401"/>
      <c r="O22" s="1401"/>
      <c r="P22" s="1401"/>
      <c r="Q22" s="1401"/>
      <c r="R22" s="1401"/>
      <c r="S22" s="1401"/>
      <c r="T22" s="1401"/>
      <c r="U22" s="1401"/>
    </row>
    <row r="23" spans="1:21" ht="12.75" customHeight="1" x14ac:dyDescent="0.2">
      <c r="A23" s="15" t="s">
        <v>7257</v>
      </c>
      <c r="B23" s="15" t="s">
        <v>936</v>
      </c>
      <c r="C23" s="1640" t="s">
        <v>7277</v>
      </c>
      <c r="D23" s="65">
        <v>14</v>
      </c>
      <c r="E23" s="2258"/>
      <c r="F23" s="2258"/>
      <c r="G23" s="2258"/>
      <c r="H23" s="2258"/>
      <c r="I23" s="2258"/>
      <c r="J23" s="2258"/>
      <c r="K23" s="2258"/>
      <c r="L23" s="2258"/>
      <c r="M23" s="2258"/>
      <c r="N23" s="2258"/>
      <c r="O23" s="2258"/>
      <c r="P23" s="2258"/>
      <c r="Q23" s="2258"/>
      <c r="R23" s="2258"/>
      <c r="S23" s="2258"/>
      <c r="T23" s="2258"/>
      <c r="U23" s="2258"/>
    </row>
    <row r="24" spans="1:21" ht="12.75" customHeight="1" x14ac:dyDescent="0.2">
      <c r="A24" s="15" t="s">
        <v>7257</v>
      </c>
      <c r="B24" s="15" t="s">
        <v>940</v>
      </c>
      <c r="C24" s="57" t="s">
        <v>7278</v>
      </c>
      <c r="D24" s="65">
        <v>15</v>
      </c>
      <c r="E24" s="1604"/>
      <c r="F24" s="1604"/>
      <c r="G24" s="1604"/>
      <c r="H24" s="1604"/>
      <c r="I24" s="1604"/>
      <c r="J24" s="1604"/>
      <c r="K24" s="1604"/>
      <c r="L24" s="1604"/>
      <c r="M24" s="1604"/>
      <c r="N24" s="1604"/>
      <c r="O24" s="1604"/>
      <c r="P24" s="1604"/>
      <c r="Q24" s="1604"/>
      <c r="R24" s="1604"/>
      <c r="S24" s="1604"/>
      <c r="T24" s="1604"/>
      <c r="U24" s="1604"/>
    </row>
    <row r="25" spans="1:21" ht="12.75" customHeight="1" x14ac:dyDescent="0.2">
      <c r="A25" s="15" t="s">
        <v>7257</v>
      </c>
      <c r="B25" s="15" t="s">
        <v>954</v>
      </c>
      <c r="C25" s="57" t="s">
        <v>7279</v>
      </c>
      <c r="D25" s="65">
        <v>16</v>
      </c>
      <c r="E25" s="1604"/>
      <c r="F25" s="1604"/>
      <c r="G25" s="1604"/>
      <c r="H25" s="1604"/>
      <c r="I25" s="1604"/>
      <c r="J25" s="1604"/>
      <c r="K25" s="1604"/>
      <c r="L25" s="1604"/>
      <c r="M25" s="1604"/>
      <c r="N25" s="1604"/>
      <c r="O25" s="1604"/>
      <c r="P25" s="1604"/>
      <c r="Q25" s="1604"/>
      <c r="R25" s="1604"/>
      <c r="S25" s="1604"/>
      <c r="T25" s="1604"/>
      <c r="U25" s="1604"/>
    </row>
    <row r="26" spans="1:21" ht="12.75" customHeight="1" x14ac:dyDescent="0.2">
      <c r="A26" s="15" t="s">
        <v>7257</v>
      </c>
      <c r="B26" s="15" t="s">
        <v>968</v>
      </c>
      <c r="C26" s="57" t="s">
        <v>7280</v>
      </c>
      <c r="D26" s="65">
        <v>17</v>
      </c>
      <c r="E26" s="1604"/>
      <c r="F26" s="1604"/>
      <c r="G26" s="1604"/>
      <c r="H26" s="1604"/>
      <c r="I26" s="1604"/>
      <c r="J26" s="1604"/>
      <c r="K26" s="1604"/>
      <c r="L26" s="1604"/>
      <c r="M26" s="1604"/>
      <c r="N26" s="1604"/>
      <c r="O26" s="1604"/>
      <c r="P26" s="1604"/>
      <c r="Q26" s="1604"/>
      <c r="R26" s="1604"/>
      <c r="S26" s="1604"/>
      <c r="T26" s="1604"/>
      <c r="U26" s="1604"/>
    </row>
    <row r="27" spans="1:21" ht="12.75" customHeight="1" x14ac:dyDescent="0.2">
      <c r="A27" s="15" t="s">
        <v>7257</v>
      </c>
      <c r="B27" s="15" t="s">
        <v>947</v>
      </c>
      <c r="C27" s="1641" t="s">
        <v>7281</v>
      </c>
      <c r="D27" s="65">
        <v>18</v>
      </c>
      <c r="E27" s="1604"/>
      <c r="F27" s="1604"/>
      <c r="G27" s="1604"/>
      <c r="H27" s="1604"/>
      <c r="I27" s="1604"/>
      <c r="J27" s="1604"/>
      <c r="K27" s="1604"/>
      <c r="L27" s="1604"/>
      <c r="M27" s="1604"/>
      <c r="N27" s="1604"/>
      <c r="O27" s="1604"/>
      <c r="P27" s="1604"/>
      <c r="Q27" s="1604"/>
      <c r="R27" s="1604"/>
      <c r="S27" s="1604"/>
      <c r="T27" s="1604"/>
      <c r="U27" s="1604"/>
    </row>
    <row r="28" spans="1:21" ht="12.75" customHeight="1" x14ac:dyDescent="0.2">
      <c r="A28" s="15" t="s">
        <v>7257</v>
      </c>
      <c r="B28" s="15" t="s">
        <v>961</v>
      </c>
      <c r="C28" s="1641" t="s">
        <v>7282</v>
      </c>
      <c r="D28" s="65">
        <v>19</v>
      </c>
      <c r="E28" s="1604"/>
      <c r="F28" s="1604"/>
      <c r="G28" s="1604"/>
      <c r="H28" s="1604"/>
      <c r="I28" s="1604"/>
      <c r="J28" s="1604"/>
      <c r="K28" s="1604"/>
      <c r="L28" s="1604"/>
      <c r="M28" s="1604"/>
      <c r="N28" s="1604"/>
      <c r="O28" s="1604"/>
      <c r="P28" s="1604"/>
      <c r="Q28" s="1604"/>
      <c r="R28" s="1604"/>
      <c r="S28" s="1604"/>
      <c r="T28" s="1604"/>
      <c r="U28" s="1604"/>
    </row>
    <row r="29" spans="1:21" ht="12.75" customHeight="1" x14ac:dyDescent="0.2">
      <c r="A29" s="15" t="s">
        <v>7257</v>
      </c>
      <c r="B29" s="15" t="s">
        <v>975</v>
      </c>
      <c r="C29" s="55" t="s">
        <v>7283</v>
      </c>
      <c r="D29" s="65">
        <v>20</v>
      </c>
      <c r="E29" s="1604"/>
      <c r="F29" s="1604"/>
      <c r="G29" s="1604"/>
      <c r="H29" s="1604"/>
      <c r="I29" s="1604"/>
      <c r="J29" s="1604"/>
      <c r="K29" s="1604"/>
      <c r="L29" s="1604"/>
      <c r="M29" s="1604"/>
      <c r="N29" s="1604"/>
      <c r="O29" s="1604"/>
      <c r="P29" s="1604"/>
      <c r="Q29" s="1604"/>
      <c r="R29" s="1604"/>
      <c r="S29" s="1604"/>
      <c r="T29" s="1604"/>
      <c r="U29" s="1604"/>
    </row>
    <row r="30" spans="1:21" ht="12.75" customHeight="1" x14ac:dyDescent="0.2">
      <c r="A30" s="15" t="s">
        <v>7257</v>
      </c>
      <c r="B30" s="15" t="s">
        <v>996</v>
      </c>
      <c r="C30" s="55" t="s">
        <v>7284</v>
      </c>
      <c r="D30" s="65">
        <v>21</v>
      </c>
      <c r="E30" s="1604"/>
      <c r="F30" s="1604"/>
      <c r="G30" s="1604"/>
      <c r="H30" s="1604"/>
      <c r="I30" s="1604"/>
      <c r="J30" s="1604"/>
      <c r="K30" s="1604"/>
      <c r="L30" s="1604"/>
      <c r="M30" s="1604"/>
      <c r="N30" s="1604"/>
      <c r="O30" s="1604"/>
      <c r="P30" s="1604"/>
      <c r="Q30" s="1604"/>
      <c r="R30" s="1604"/>
      <c r="S30" s="1604"/>
      <c r="T30" s="1604"/>
      <c r="U30" s="1604"/>
    </row>
    <row r="31" spans="1:21" ht="12.75" customHeight="1" x14ac:dyDescent="0.2">
      <c r="A31" s="15" t="s">
        <v>7257</v>
      </c>
      <c r="B31" s="15" t="s">
        <v>1003</v>
      </c>
      <c r="C31" s="55" t="s">
        <v>7285</v>
      </c>
      <c r="D31" s="65">
        <v>22</v>
      </c>
      <c r="E31" s="1604"/>
      <c r="F31" s="1604"/>
      <c r="G31" s="1604"/>
      <c r="H31" s="1604"/>
      <c r="I31" s="1604"/>
      <c r="J31" s="1604"/>
      <c r="K31" s="1604"/>
      <c r="L31" s="1604"/>
      <c r="M31" s="1604"/>
      <c r="N31" s="1604"/>
      <c r="O31" s="1604"/>
      <c r="P31" s="1604"/>
      <c r="Q31" s="1604"/>
      <c r="R31" s="1604"/>
      <c r="S31" s="1604"/>
      <c r="T31" s="1604"/>
      <c r="U31" s="1604"/>
    </row>
    <row r="32" spans="1:21" ht="12.75" customHeight="1" x14ac:dyDescent="0.2">
      <c r="A32" s="15" t="s">
        <v>7257</v>
      </c>
      <c r="B32" s="15" t="s">
        <v>1030</v>
      </c>
      <c r="C32" s="55" t="s">
        <v>7286</v>
      </c>
      <c r="D32" s="65">
        <v>23</v>
      </c>
      <c r="E32" s="1604"/>
      <c r="F32" s="1604"/>
      <c r="G32" s="1604"/>
      <c r="H32" s="1604"/>
      <c r="I32" s="1604"/>
      <c r="J32" s="1604"/>
      <c r="K32" s="1604"/>
      <c r="L32" s="1604"/>
      <c r="M32" s="1604"/>
      <c r="N32" s="1604"/>
      <c r="O32" s="1604"/>
      <c r="P32" s="1604"/>
      <c r="Q32" s="1604"/>
      <c r="R32" s="1604"/>
      <c r="S32" s="1604"/>
      <c r="T32" s="1604"/>
      <c r="U32" s="1604"/>
    </row>
    <row r="33" spans="1:21" ht="12.75" customHeight="1" x14ac:dyDescent="0.2">
      <c r="A33" s="15" t="s">
        <v>7257</v>
      </c>
      <c r="B33" s="15" t="s">
        <v>1010</v>
      </c>
      <c r="C33" s="55" t="s">
        <v>7287</v>
      </c>
      <c r="D33" s="65">
        <v>24</v>
      </c>
      <c r="E33" s="1604"/>
      <c r="F33" s="1604"/>
      <c r="G33" s="1604"/>
      <c r="H33" s="1604"/>
      <c r="I33" s="1604"/>
      <c r="J33" s="1604"/>
      <c r="K33" s="1604"/>
      <c r="L33" s="1604"/>
      <c r="M33" s="1604"/>
      <c r="N33" s="1604"/>
      <c r="O33" s="1604"/>
      <c r="P33" s="1604"/>
      <c r="Q33" s="1604"/>
      <c r="R33" s="1604"/>
      <c r="S33" s="1604"/>
      <c r="T33" s="1604"/>
      <c r="U33" s="1604"/>
    </row>
    <row r="34" spans="1:21" ht="12.75" customHeight="1" x14ac:dyDescent="0.2">
      <c r="A34" s="15" t="s">
        <v>7257</v>
      </c>
      <c r="B34" s="15" t="s">
        <v>1017</v>
      </c>
      <c r="C34" s="55" t="s">
        <v>7288</v>
      </c>
      <c r="D34" s="65">
        <v>25</v>
      </c>
      <c r="E34" s="1604"/>
      <c r="F34" s="1604"/>
      <c r="G34" s="1604"/>
      <c r="H34" s="1604"/>
      <c r="I34" s="1604"/>
      <c r="J34" s="1604"/>
      <c r="K34" s="1604"/>
      <c r="L34" s="1604"/>
      <c r="M34" s="1604"/>
      <c r="N34" s="1604"/>
      <c r="O34" s="1604"/>
      <c r="P34" s="1604"/>
      <c r="Q34" s="1604"/>
      <c r="R34" s="1604"/>
      <c r="S34" s="1604"/>
      <c r="T34" s="1604"/>
      <c r="U34" s="1604"/>
    </row>
    <row r="35" spans="1:21" ht="12.75" customHeight="1" x14ac:dyDescent="0.2">
      <c r="A35" s="15" t="s">
        <v>7257</v>
      </c>
      <c r="B35" s="15" t="s">
        <v>1044</v>
      </c>
      <c r="C35" s="55" t="s">
        <v>7289</v>
      </c>
      <c r="D35" s="65">
        <v>26</v>
      </c>
      <c r="E35" s="1604"/>
      <c r="F35" s="1604"/>
      <c r="G35" s="1604"/>
      <c r="H35" s="1604"/>
      <c r="I35" s="1604"/>
      <c r="J35" s="1604"/>
      <c r="K35" s="1604"/>
      <c r="L35" s="1604"/>
      <c r="M35" s="1604"/>
      <c r="N35" s="1604"/>
      <c r="O35" s="1604"/>
      <c r="P35" s="1604"/>
      <c r="Q35" s="1604"/>
      <c r="R35" s="1604"/>
      <c r="S35" s="1604"/>
      <c r="T35" s="1604"/>
      <c r="U35" s="1604"/>
    </row>
    <row r="36" spans="1:21" ht="12.75" customHeight="1" x14ac:dyDescent="0.2">
      <c r="A36" s="15" t="s">
        <v>7257</v>
      </c>
      <c r="B36" s="15" t="s">
        <v>1058</v>
      </c>
      <c r="C36" s="55" t="s">
        <v>1059</v>
      </c>
      <c r="D36" s="65">
        <v>27</v>
      </c>
      <c r="E36" s="1611"/>
      <c r="F36" s="1611"/>
      <c r="G36" s="1611"/>
      <c r="H36" s="1611"/>
      <c r="I36" s="1611"/>
      <c r="J36" s="1611"/>
      <c r="K36" s="1611"/>
      <c r="L36" s="1611"/>
      <c r="M36" s="1611"/>
      <c r="N36" s="1611"/>
      <c r="O36" s="1604"/>
      <c r="P36" s="1604"/>
      <c r="Q36" s="1604"/>
      <c r="R36" s="1604"/>
      <c r="S36" s="1611"/>
      <c r="T36" s="1611"/>
      <c r="U36" s="1611"/>
    </row>
    <row r="37" spans="1:21" ht="12.75" customHeight="1" x14ac:dyDescent="0.2">
      <c r="A37" s="15" t="s">
        <v>7257</v>
      </c>
      <c r="B37" s="15" t="s">
        <v>1072</v>
      </c>
      <c r="C37" s="55" t="s">
        <v>7290</v>
      </c>
      <c r="D37" s="65">
        <v>28</v>
      </c>
      <c r="E37" s="1604"/>
      <c r="F37" s="1604"/>
      <c r="G37" s="1604"/>
      <c r="H37" s="1604"/>
      <c r="I37" s="1604"/>
      <c r="J37" s="1604"/>
      <c r="K37" s="1604"/>
      <c r="L37" s="1604"/>
      <c r="M37" s="1604"/>
      <c r="N37" s="1604"/>
      <c r="O37" s="1604"/>
      <c r="P37" s="1604"/>
      <c r="Q37" s="1604"/>
      <c r="R37" s="1604"/>
      <c r="S37" s="1604"/>
      <c r="T37" s="1604"/>
      <c r="U37" s="1604"/>
    </row>
    <row r="38" spans="1:21" ht="12.75" customHeight="1" x14ac:dyDescent="0.2">
      <c r="A38" s="15"/>
      <c r="B38" s="15"/>
      <c r="C38" s="15"/>
      <c r="D38" s="54"/>
      <c r="E38" s="1631"/>
      <c r="F38" s="1401"/>
      <c r="G38" s="1401"/>
      <c r="H38" s="1401"/>
      <c r="I38" s="1401"/>
      <c r="J38" s="1401"/>
      <c r="K38" s="1401"/>
      <c r="L38" s="1401"/>
      <c r="M38" s="1401"/>
      <c r="N38" s="1401"/>
      <c r="O38" s="1401"/>
      <c r="P38" s="1401"/>
      <c r="Q38" s="1401"/>
      <c r="R38" s="1401"/>
      <c r="S38" s="1401"/>
      <c r="T38" s="1401"/>
      <c r="U38" s="1401"/>
    </row>
    <row r="39" spans="1:21" ht="12.75" customHeight="1" x14ac:dyDescent="0.2">
      <c r="A39" s="15"/>
      <c r="B39" s="15"/>
      <c r="C39" s="56" t="s">
        <v>7291</v>
      </c>
      <c r="D39" s="15"/>
      <c r="E39" s="1632"/>
      <c r="F39" s="2259"/>
      <c r="G39" s="1632"/>
      <c r="H39" s="1632"/>
      <c r="I39" s="1632"/>
      <c r="J39" s="1632"/>
      <c r="K39" s="1632"/>
      <c r="L39" s="1632"/>
      <c r="M39" s="1632"/>
      <c r="N39" s="1632"/>
      <c r="O39" s="1632"/>
      <c r="P39" s="1632"/>
      <c r="Q39" s="1632"/>
      <c r="R39" s="1632"/>
      <c r="S39" s="1632"/>
      <c r="T39" s="1632"/>
      <c r="U39" s="1632"/>
    </row>
    <row r="40" spans="1:21" ht="12.75" customHeight="1" x14ac:dyDescent="0.2">
      <c r="A40" s="15" t="s">
        <v>7257</v>
      </c>
      <c r="B40" s="15" t="s">
        <v>1082</v>
      </c>
      <c r="C40" s="1640" t="s">
        <v>7292</v>
      </c>
      <c r="D40" s="65">
        <v>29</v>
      </c>
      <c r="E40" s="2260"/>
      <c r="F40" s="2258"/>
      <c r="G40" s="2258"/>
      <c r="H40" s="2258"/>
      <c r="I40" s="2258"/>
      <c r="J40" s="2258"/>
      <c r="K40" s="2258"/>
      <c r="L40" s="2258"/>
      <c r="M40" s="2258"/>
      <c r="N40" s="2258"/>
      <c r="O40" s="2258"/>
      <c r="P40" s="2258"/>
      <c r="Q40" s="2258"/>
      <c r="R40" s="2258"/>
      <c r="S40" s="2258"/>
      <c r="T40" s="2258"/>
      <c r="U40" s="2258"/>
    </row>
    <row r="41" spans="1:21" ht="12.75" customHeight="1" x14ac:dyDescent="0.2">
      <c r="A41" s="15" t="s">
        <v>7257</v>
      </c>
      <c r="B41" s="15" t="s">
        <v>1155</v>
      </c>
      <c r="C41" s="55" t="s">
        <v>7293</v>
      </c>
      <c r="D41" s="65">
        <v>30</v>
      </c>
      <c r="E41" s="1604"/>
      <c r="F41" s="1604"/>
      <c r="G41" s="1604"/>
      <c r="H41" s="1604"/>
      <c r="I41" s="1604"/>
      <c r="J41" s="1604"/>
      <c r="K41" s="1604"/>
      <c r="L41" s="1604"/>
      <c r="M41" s="1604"/>
      <c r="N41" s="1604"/>
      <c r="O41" s="1604"/>
      <c r="P41" s="1604"/>
      <c r="Q41" s="1604"/>
      <c r="R41" s="1604"/>
      <c r="S41" s="1604"/>
      <c r="T41" s="1604"/>
      <c r="U41" s="1604"/>
    </row>
    <row r="42" spans="1:21" ht="12.75" customHeight="1" x14ac:dyDescent="0.2">
      <c r="A42" s="15" t="s">
        <v>7257</v>
      </c>
      <c r="B42" s="15" t="s">
        <v>1089</v>
      </c>
      <c r="C42" s="55" t="s">
        <v>1090</v>
      </c>
      <c r="D42" s="65">
        <v>31</v>
      </c>
      <c r="E42" s="1604"/>
      <c r="F42" s="1604"/>
      <c r="G42" s="1604"/>
      <c r="H42" s="1604"/>
      <c r="I42" s="1604"/>
      <c r="J42" s="1604"/>
      <c r="K42" s="1604"/>
      <c r="L42" s="1604"/>
      <c r="M42" s="1604"/>
      <c r="N42" s="1604"/>
      <c r="O42" s="1604"/>
      <c r="P42" s="1604"/>
      <c r="Q42" s="1604"/>
      <c r="R42" s="1604"/>
      <c r="S42" s="1604"/>
      <c r="T42" s="1604"/>
      <c r="U42" s="1604"/>
    </row>
    <row r="43" spans="1:21" ht="12.75" customHeight="1" x14ac:dyDescent="0.2">
      <c r="A43" s="15" t="s">
        <v>7257</v>
      </c>
      <c r="B43" s="15" t="s">
        <v>1103</v>
      </c>
      <c r="C43" s="55" t="s">
        <v>7294</v>
      </c>
      <c r="D43" s="65">
        <v>32</v>
      </c>
      <c r="E43" s="1604"/>
      <c r="F43" s="1604"/>
      <c r="G43" s="1604"/>
      <c r="H43" s="1604"/>
      <c r="I43" s="1604"/>
      <c r="J43" s="1604"/>
      <c r="K43" s="1604"/>
      <c r="L43" s="1604"/>
      <c r="M43" s="1604"/>
      <c r="N43" s="1604"/>
      <c r="O43" s="1604"/>
      <c r="P43" s="1604"/>
      <c r="Q43" s="1604"/>
      <c r="R43" s="1604"/>
      <c r="S43" s="1604"/>
      <c r="T43" s="1604"/>
      <c r="U43" s="1604"/>
    </row>
    <row r="44" spans="1:21" ht="12.75" customHeight="1" x14ac:dyDescent="0.2">
      <c r="A44" s="15" t="s">
        <v>7257</v>
      </c>
      <c r="B44" s="15" t="s">
        <v>1107</v>
      </c>
      <c r="C44" s="55" t="s">
        <v>7295</v>
      </c>
      <c r="D44" s="65">
        <v>33</v>
      </c>
      <c r="E44" s="1604"/>
      <c r="F44" s="1604"/>
      <c r="G44" s="1604"/>
      <c r="H44" s="1604"/>
      <c r="I44" s="1604"/>
      <c r="J44" s="1604"/>
      <c r="K44" s="1604"/>
      <c r="L44" s="1604"/>
      <c r="M44" s="1604"/>
      <c r="N44" s="1604"/>
      <c r="O44" s="1604"/>
      <c r="P44" s="1604"/>
      <c r="Q44" s="1604"/>
      <c r="R44" s="1604"/>
      <c r="S44" s="1604"/>
      <c r="T44" s="1604"/>
      <c r="U44" s="1604"/>
    </row>
    <row r="45" spans="1:21" ht="12.75" customHeight="1" x14ac:dyDescent="0.2">
      <c r="A45" s="15" t="s">
        <v>7257</v>
      </c>
      <c r="B45" s="15" t="s">
        <v>1127</v>
      </c>
      <c r="C45" s="55" t="s">
        <v>7296</v>
      </c>
      <c r="D45" s="65">
        <v>34</v>
      </c>
      <c r="E45" s="1604"/>
      <c r="F45" s="1604"/>
      <c r="G45" s="1604"/>
      <c r="H45" s="1604"/>
      <c r="I45" s="1604"/>
      <c r="J45" s="1604"/>
      <c r="K45" s="1604"/>
      <c r="L45" s="1604"/>
      <c r="M45" s="1604"/>
      <c r="N45" s="1604"/>
      <c r="O45" s="1604"/>
      <c r="P45" s="1604"/>
      <c r="Q45" s="1604"/>
      <c r="R45" s="1604"/>
      <c r="S45" s="1604"/>
      <c r="T45" s="1604"/>
      <c r="U45" s="1604"/>
    </row>
    <row r="46" spans="1:21" ht="12.75" customHeight="1" x14ac:dyDescent="0.2">
      <c r="A46" s="15" t="s">
        <v>7257</v>
      </c>
      <c r="B46" s="15" t="s">
        <v>1111</v>
      </c>
      <c r="C46" s="55" t="s">
        <v>7297</v>
      </c>
      <c r="D46" s="65">
        <v>35</v>
      </c>
      <c r="E46" s="1604"/>
      <c r="F46" s="1604"/>
      <c r="G46" s="1604"/>
      <c r="H46" s="1604"/>
      <c r="I46" s="1604"/>
      <c r="J46" s="1604"/>
      <c r="K46" s="1604"/>
      <c r="L46" s="1604"/>
      <c r="M46" s="1604"/>
      <c r="N46" s="1604"/>
      <c r="O46" s="1604"/>
      <c r="P46" s="1604"/>
      <c r="Q46" s="1604"/>
      <c r="R46" s="1604"/>
      <c r="S46" s="1604"/>
      <c r="T46" s="1604"/>
      <c r="U46" s="1604"/>
    </row>
    <row r="47" spans="1:21" ht="12.75" customHeight="1" x14ac:dyDescent="0.2">
      <c r="A47" s="15" t="s">
        <v>7257</v>
      </c>
      <c r="B47" s="15" t="s">
        <v>1123</v>
      </c>
      <c r="C47" s="55" t="s">
        <v>7298</v>
      </c>
      <c r="D47" s="65">
        <v>36</v>
      </c>
      <c r="E47" s="1604"/>
      <c r="F47" s="1604"/>
      <c r="G47" s="1604"/>
      <c r="H47" s="1604"/>
      <c r="I47" s="1604"/>
      <c r="J47" s="1604"/>
      <c r="K47" s="1604"/>
      <c r="L47" s="1604"/>
      <c r="M47" s="1604"/>
      <c r="N47" s="1604"/>
      <c r="O47" s="1604"/>
      <c r="P47" s="1604"/>
      <c r="Q47" s="1604"/>
      <c r="R47" s="1604"/>
      <c r="S47" s="1604"/>
      <c r="T47" s="1604"/>
      <c r="U47" s="1604"/>
    </row>
    <row r="48" spans="1:21" ht="12.75" customHeight="1" x14ac:dyDescent="0.2">
      <c r="A48" s="15" t="s">
        <v>7257</v>
      </c>
      <c r="B48" s="15" t="s">
        <v>1132</v>
      </c>
      <c r="C48" s="55" t="s">
        <v>1038</v>
      </c>
      <c r="D48" s="65">
        <v>37</v>
      </c>
      <c r="E48" s="1604"/>
      <c r="F48" s="1604"/>
      <c r="G48" s="1604"/>
      <c r="H48" s="1604"/>
      <c r="I48" s="1604"/>
      <c r="J48" s="1604"/>
      <c r="K48" s="1604"/>
      <c r="L48" s="1604"/>
      <c r="M48" s="1604"/>
      <c r="N48" s="1604"/>
      <c r="O48" s="1604"/>
      <c r="P48" s="1604"/>
      <c r="Q48" s="1604"/>
      <c r="R48" s="1604"/>
      <c r="S48" s="1604"/>
      <c r="T48" s="1604"/>
      <c r="U48" s="1604"/>
    </row>
    <row r="49" spans="1:21" ht="12.75" customHeight="1" x14ac:dyDescent="0.2">
      <c r="A49" s="15" t="s">
        <v>7257</v>
      </c>
      <c r="B49" s="15" t="s">
        <v>1137</v>
      </c>
      <c r="C49" s="55" t="s">
        <v>7299</v>
      </c>
      <c r="D49" s="65">
        <v>38</v>
      </c>
      <c r="E49" s="1604"/>
      <c r="F49" s="1604"/>
      <c r="G49" s="1604"/>
      <c r="H49" s="1604"/>
      <c r="I49" s="1604"/>
      <c r="J49" s="1604"/>
      <c r="K49" s="1604"/>
      <c r="L49" s="1604"/>
      <c r="M49" s="1604"/>
      <c r="N49" s="1604"/>
      <c r="O49" s="1604"/>
      <c r="P49" s="1604"/>
      <c r="Q49" s="1604"/>
      <c r="R49" s="1604"/>
      <c r="S49" s="1604"/>
      <c r="T49" s="1604"/>
      <c r="U49" s="1604"/>
    </row>
    <row r="50" spans="1:21" ht="12.75" customHeight="1" x14ac:dyDescent="0.2">
      <c r="A50" s="15" t="s">
        <v>7257</v>
      </c>
      <c r="B50" s="15" t="s">
        <v>1180</v>
      </c>
      <c r="C50" s="55" t="s">
        <v>7300</v>
      </c>
      <c r="D50" s="65">
        <v>39</v>
      </c>
      <c r="E50" s="1604"/>
      <c r="F50" s="1604"/>
      <c r="G50" s="1604"/>
      <c r="H50" s="1604"/>
      <c r="I50" s="1604"/>
      <c r="J50" s="1604"/>
      <c r="K50" s="1604"/>
      <c r="L50" s="1604"/>
      <c r="M50" s="1604"/>
      <c r="N50" s="1604"/>
      <c r="O50" s="1604"/>
      <c r="P50" s="1604"/>
      <c r="Q50" s="1604"/>
      <c r="R50" s="1604"/>
      <c r="S50" s="1604"/>
      <c r="T50" s="1604"/>
      <c r="U50" s="1604"/>
    </row>
    <row r="51" spans="1:21" ht="12.75" customHeight="1" x14ac:dyDescent="0.2">
      <c r="A51" s="15"/>
      <c r="B51" s="15"/>
      <c r="C51" s="15"/>
      <c r="D51" s="15"/>
      <c r="E51" s="1401"/>
      <c r="F51" s="1401"/>
      <c r="G51" s="1401"/>
      <c r="H51" s="1401"/>
      <c r="I51" s="1401"/>
      <c r="J51" s="1401"/>
      <c r="K51" s="1401"/>
      <c r="L51" s="1401"/>
      <c r="M51" s="1401"/>
      <c r="N51" s="1401"/>
      <c r="O51" s="1401"/>
      <c r="P51" s="1401"/>
      <c r="Q51" s="1401"/>
      <c r="R51" s="1401"/>
      <c r="S51" s="1401"/>
      <c r="T51" s="1401"/>
      <c r="U51" s="1401"/>
    </row>
    <row r="52" spans="1:21" ht="12.75" customHeight="1" x14ac:dyDescent="0.2">
      <c r="A52" s="15" t="s">
        <v>7257</v>
      </c>
      <c r="B52" s="15" t="s">
        <v>1187</v>
      </c>
      <c r="C52" s="516" t="s">
        <v>1188</v>
      </c>
      <c r="D52" s="65">
        <v>40</v>
      </c>
      <c r="E52" s="1604"/>
      <c r="F52" s="1604"/>
      <c r="G52" s="1604"/>
      <c r="H52" s="1604"/>
      <c r="I52" s="1604"/>
      <c r="J52" s="1604"/>
      <c r="K52" s="1604"/>
      <c r="L52" s="1604"/>
      <c r="M52" s="1604"/>
      <c r="N52" s="1604"/>
      <c r="O52" s="1604"/>
      <c r="P52" s="1604"/>
      <c r="Q52" s="1604"/>
      <c r="R52" s="1604"/>
      <c r="S52" s="1604"/>
      <c r="T52" s="1604"/>
      <c r="U52" s="1604"/>
    </row>
    <row r="53" spans="1:21" ht="12.75" customHeight="1" x14ac:dyDescent="0.2">
      <c r="A53" s="15"/>
      <c r="B53" s="15"/>
      <c r="C53" s="15"/>
      <c r="D53" s="15"/>
      <c r="E53" s="1401"/>
      <c r="F53" s="1401"/>
      <c r="G53" s="1401"/>
      <c r="H53" s="1401"/>
      <c r="I53" s="1401"/>
      <c r="J53" s="1401"/>
      <c r="K53" s="1401"/>
      <c r="L53" s="1401"/>
      <c r="M53" s="1401"/>
      <c r="N53" s="1401"/>
      <c r="O53" s="1401"/>
      <c r="P53" s="1401"/>
      <c r="Q53" s="1401"/>
      <c r="R53" s="1401"/>
      <c r="S53" s="1401"/>
      <c r="T53" s="1401"/>
      <c r="U53" s="1401"/>
    </row>
    <row r="54" spans="1:21" ht="12.75" customHeight="1" x14ac:dyDescent="0.2">
      <c r="A54" s="15" t="s">
        <v>7257</v>
      </c>
      <c r="B54" s="15" t="s">
        <v>1196</v>
      </c>
      <c r="C54" s="516" t="s">
        <v>7301</v>
      </c>
      <c r="D54" s="65">
        <v>41</v>
      </c>
      <c r="E54" s="2258"/>
      <c r="F54" s="2258"/>
      <c r="G54" s="2258"/>
      <c r="H54" s="2258"/>
      <c r="I54" s="2258"/>
      <c r="J54" s="2258"/>
      <c r="K54" s="2258"/>
      <c r="L54" s="2258"/>
      <c r="M54" s="2258"/>
      <c r="N54" s="2258"/>
      <c r="O54" s="2258"/>
      <c r="P54" s="2258"/>
      <c r="Q54" s="2258"/>
      <c r="R54" s="2258"/>
      <c r="S54" s="2258"/>
      <c r="T54" s="2258"/>
      <c r="U54" s="2258"/>
    </row>
    <row r="55" spans="1:21" ht="12.75" customHeight="1" x14ac:dyDescent="0.2">
      <c r="A55" s="15"/>
      <c r="B55" s="15"/>
      <c r="C55" s="15"/>
      <c r="D55" s="15"/>
      <c r="E55" s="1401"/>
      <c r="F55" s="1401"/>
      <c r="G55" s="1401"/>
      <c r="H55" s="1401"/>
      <c r="I55" s="1401"/>
      <c r="J55" s="1401"/>
      <c r="K55" s="1401"/>
      <c r="L55" s="1401"/>
      <c r="M55" s="1401"/>
      <c r="N55" s="1401"/>
      <c r="O55" s="1401"/>
      <c r="P55" s="1401"/>
      <c r="Q55" s="1401"/>
      <c r="R55" s="1401"/>
      <c r="S55" s="1401"/>
      <c r="T55" s="1401"/>
      <c r="U55" s="1401"/>
    </row>
    <row r="56" spans="1:21" ht="12.75" customHeight="1" x14ac:dyDescent="0.2">
      <c r="A56" s="15" t="s">
        <v>7257</v>
      </c>
      <c r="B56" s="15" t="s">
        <v>1387</v>
      </c>
      <c r="C56" s="516" t="s">
        <v>7302</v>
      </c>
      <c r="D56" s="65">
        <v>42</v>
      </c>
      <c r="E56" s="2258"/>
      <c r="F56" s="2258"/>
      <c r="G56" s="2258"/>
      <c r="H56" s="2258"/>
      <c r="I56" s="2258"/>
      <c r="J56" s="2258"/>
      <c r="K56" s="2258"/>
      <c r="L56" s="2258"/>
      <c r="M56" s="2258"/>
      <c r="N56" s="2258"/>
      <c r="O56" s="2258"/>
      <c r="P56" s="2258"/>
      <c r="Q56" s="2258"/>
      <c r="R56" s="2258"/>
      <c r="S56" s="2258"/>
      <c r="T56" s="2258"/>
      <c r="U56" s="2258"/>
    </row>
    <row r="57" spans="1:21" ht="12.75" customHeight="1" x14ac:dyDescent="0.2">
      <c r="A57" s="15" t="s">
        <v>7257</v>
      </c>
      <c r="B57" s="15" t="s">
        <v>1394</v>
      </c>
      <c r="C57" s="55" t="s">
        <v>7303</v>
      </c>
      <c r="D57" s="65">
        <v>43</v>
      </c>
      <c r="E57" s="1604"/>
      <c r="F57" s="1604"/>
      <c r="G57" s="1604"/>
      <c r="H57" s="1604"/>
      <c r="I57" s="1604"/>
      <c r="J57" s="1604"/>
      <c r="K57" s="1604"/>
      <c r="L57" s="1604"/>
      <c r="M57" s="1604"/>
      <c r="N57" s="1604"/>
      <c r="O57" s="1604"/>
      <c r="P57" s="1604"/>
      <c r="Q57" s="1604"/>
      <c r="R57" s="1604"/>
      <c r="S57" s="1604"/>
      <c r="T57" s="1604"/>
      <c r="U57" s="1604"/>
    </row>
    <row r="58" spans="1:21" ht="12.75" customHeight="1" x14ac:dyDescent="0.2">
      <c r="A58" s="15" t="s">
        <v>7257</v>
      </c>
      <c r="B58" s="15" t="s">
        <v>1415</v>
      </c>
      <c r="C58" s="71" t="s">
        <v>7304</v>
      </c>
      <c r="D58" s="65">
        <v>44</v>
      </c>
      <c r="E58" s="1604"/>
      <c r="F58" s="1604"/>
      <c r="G58" s="1604"/>
      <c r="H58" s="1604"/>
      <c r="I58" s="1604"/>
      <c r="J58" s="1604"/>
      <c r="K58" s="1604"/>
      <c r="L58" s="1604"/>
      <c r="M58" s="1604"/>
      <c r="N58" s="1604"/>
      <c r="O58" s="1604"/>
      <c r="P58" s="1604"/>
      <c r="Q58" s="1604"/>
      <c r="R58" s="1604"/>
      <c r="S58" s="1604"/>
      <c r="T58" s="1604"/>
      <c r="U58" s="1604"/>
    </row>
    <row r="59" spans="1:21" ht="12.75" customHeight="1" x14ac:dyDescent="0.2">
      <c r="A59" s="15" t="s">
        <v>7257</v>
      </c>
      <c r="B59" s="15" t="s">
        <v>1401</v>
      </c>
      <c r="C59" s="55" t="s">
        <v>7305</v>
      </c>
      <c r="D59" s="65">
        <v>45</v>
      </c>
      <c r="E59" s="1604"/>
      <c r="F59" s="1604"/>
      <c r="G59" s="1604"/>
      <c r="H59" s="1604"/>
      <c r="I59" s="1604"/>
      <c r="J59" s="1604"/>
      <c r="K59" s="1604"/>
      <c r="L59" s="1604"/>
      <c r="M59" s="1604"/>
      <c r="N59" s="1604"/>
      <c r="O59" s="1604"/>
      <c r="P59" s="1604"/>
      <c r="Q59" s="1604"/>
      <c r="R59" s="1604"/>
      <c r="S59" s="1604"/>
      <c r="T59" s="1604"/>
      <c r="U59" s="1604"/>
    </row>
    <row r="60" spans="1:21" ht="12.75" customHeight="1" x14ac:dyDescent="0.2">
      <c r="A60" s="15" t="s">
        <v>7257</v>
      </c>
      <c r="B60" s="15" t="s">
        <v>1408</v>
      </c>
      <c r="C60" s="55" t="s">
        <v>7306</v>
      </c>
      <c r="D60" s="65">
        <v>46</v>
      </c>
      <c r="E60" s="1604"/>
      <c r="F60" s="1604"/>
      <c r="G60" s="1604"/>
      <c r="H60" s="1604"/>
      <c r="I60" s="1604"/>
      <c r="J60" s="1604"/>
      <c r="K60" s="1604"/>
      <c r="L60" s="1604"/>
      <c r="M60" s="1604"/>
      <c r="N60" s="1604"/>
      <c r="O60" s="1604"/>
      <c r="P60" s="1604"/>
      <c r="Q60" s="1604"/>
      <c r="R60" s="1604"/>
      <c r="S60" s="1604"/>
      <c r="T60" s="1604"/>
      <c r="U60" s="1604"/>
    </row>
    <row r="61" spans="1:21" ht="12.75" customHeight="1" x14ac:dyDescent="0.2">
      <c r="A61" s="15"/>
      <c r="B61" s="15"/>
      <c r="C61" s="15"/>
      <c r="D61" s="15"/>
      <c r="E61" s="1633"/>
      <c r="F61" s="1633"/>
      <c r="G61" s="1401"/>
      <c r="H61" s="1401"/>
      <c r="I61" s="1401"/>
      <c r="J61" s="1401"/>
      <c r="K61" s="1401"/>
      <c r="L61" s="1401"/>
      <c r="M61" s="1401"/>
      <c r="N61" s="1401"/>
      <c r="O61" s="1401"/>
      <c r="P61" s="1401"/>
      <c r="Q61" s="1401"/>
      <c r="R61" s="1401"/>
      <c r="S61" s="1401"/>
      <c r="T61" s="1401"/>
      <c r="U61" s="1401"/>
    </row>
    <row r="62" spans="1:21" ht="12.75" customHeight="1" x14ac:dyDescent="0.2">
      <c r="A62" s="15"/>
      <c r="B62" s="15"/>
      <c r="C62" s="56" t="s">
        <v>7307</v>
      </c>
      <c r="D62" s="15"/>
      <c r="E62" s="1632"/>
      <c r="F62" s="2259"/>
      <c r="G62" s="1632"/>
      <c r="H62" s="1632"/>
      <c r="I62" s="1632"/>
      <c r="J62" s="1632"/>
      <c r="K62" s="1632"/>
      <c r="L62" s="1632"/>
      <c r="M62" s="1632"/>
      <c r="N62" s="1632"/>
      <c r="O62" s="1632"/>
      <c r="P62" s="1632"/>
      <c r="Q62" s="1632"/>
      <c r="R62" s="1632"/>
      <c r="S62" s="1632"/>
      <c r="T62" s="1632"/>
      <c r="U62" s="1632"/>
    </row>
    <row r="63" spans="1:21" ht="12.75" customHeight="1" x14ac:dyDescent="0.2">
      <c r="A63" s="15" t="s">
        <v>7257</v>
      </c>
      <c r="B63" s="15" t="s">
        <v>7308</v>
      </c>
      <c r="C63" s="516" t="s">
        <v>7309</v>
      </c>
      <c r="D63" s="65">
        <v>47</v>
      </c>
      <c r="E63" s="2258"/>
      <c r="F63" s="2260"/>
      <c r="G63" s="2258"/>
      <c r="H63" s="2258"/>
      <c r="I63" s="2258"/>
      <c r="J63" s="2258"/>
      <c r="K63" s="2258"/>
      <c r="L63" s="2258"/>
      <c r="M63" s="2258"/>
      <c r="N63" s="2258"/>
      <c r="O63" s="2258"/>
      <c r="P63" s="2258"/>
      <c r="Q63" s="2258"/>
      <c r="R63" s="2258"/>
      <c r="S63" s="2258"/>
      <c r="T63" s="2258"/>
      <c r="U63" s="2258"/>
    </row>
    <row r="64" spans="1:21" ht="12.75" customHeight="1" x14ac:dyDescent="0.2">
      <c r="A64" s="15"/>
      <c r="B64" s="15"/>
      <c r="C64" s="13"/>
      <c r="D64" s="53"/>
      <c r="E64" s="1432"/>
      <c r="F64" s="1432"/>
      <c r="G64" s="1432"/>
      <c r="H64" s="1432"/>
      <c r="I64" s="1432"/>
      <c r="J64" s="1432"/>
      <c r="K64" s="1432"/>
      <c r="L64" s="1432"/>
      <c r="M64" s="1432"/>
      <c r="N64" s="1432"/>
      <c r="O64" s="1432"/>
      <c r="P64" s="1432"/>
      <c r="Q64" s="1432"/>
      <c r="R64" s="1432"/>
      <c r="S64" s="1432"/>
      <c r="T64" s="1432"/>
      <c r="U64" s="1432"/>
    </row>
    <row r="65" spans="1:21" ht="12.75" customHeight="1" x14ac:dyDescent="0.2">
      <c r="A65" s="15" t="s">
        <v>7257</v>
      </c>
      <c r="B65" s="15" t="s">
        <v>1199</v>
      </c>
      <c r="C65" s="1640" t="s">
        <v>7310</v>
      </c>
      <c r="D65" s="65">
        <v>48</v>
      </c>
      <c r="E65" s="2258"/>
      <c r="F65" s="2258"/>
      <c r="G65" s="2258"/>
      <c r="H65" s="2258"/>
      <c r="I65" s="2258"/>
      <c r="J65" s="2258"/>
      <c r="K65" s="2258"/>
      <c r="L65" s="2258"/>
      <c r="M65" s="2258"/>
      <c r="N65" s="2258"/>
      <c r="O65" s="2258"/>
      <c r="P65" s="2258"/>
      <c r="Q65" s="2258"/>
      <c r="R65" s="2258"/>
      <c r="S65" s="2258"/>
      <c r="T65" s="2258"/>
      <c r="U65" s="2258"/>
    </row>
    <row r="66" spans="1:21" ht="12.75" customHeight="1" x14ac:dyDescent="0.2">
      <c r="A66" s="15" t="s">
        <v>7257</v>
      </c>
      <c r="B66" s="15" t="s">
        <v>1206</v>
      </c>
      <c r="C66" s="55" t="s">
        <v>1207</v>
      </c>
      <c r="D66" s="65">
        <v>49</v>
      </c>
      <c r="E66" s="1604"/>
      <c r="F66" s="1604"/>
      <c r="G66" s="1604"/>
      <c r="H66" s="1604"/>
      <c r="I66" s="1604"/>
      <c r="J66" s="1604"/>
      <c r="K66" s="1604"/>
      <c r="L66" s="1604"/>
      <c r="M66" s="1604"/>
      <c r="N66" s="1604"/>
      <c r="O66" s="1604"/>
      <c r="P66" s="1604"/>
      <c r="Q66" s="1604"/>
      <c r="R66" s="1604"/>
      <c r="S66" s="1604"/>
      <c r="T66" s="1604"/>
      <c r="U66" s="1604"/>
    </row>
    <row r="67" spans="1:21" ht="12.75" customHeight="1" x14ac:dyDescent="0.2">
      <c r="A67" s="15" t="s">
        <v>7257</v>
      </c>
      <c r="B67" s="15" t="s">
        <v>1213</v>
      </c>
      <c r="C67" s="55" t="s">
        <v>1214</v>
      </c>
      <c r="D67" s="65">
        <v>50</v>
      </c>
      <c r="E67" s="1604"/>
      <c r="F67" s="1604"/>
      <c r="G67" s="1604"/>
      <c r="H67" s="1604"/>
      <c r="I67" s="1604"/>
      <c r="J67" s="1604"/>
      <c r="K67" s="1604"/>
      <c r="L67" s="1604"/>
      <c r="M67" s="1604"/>
      <c r="N67" s="1604"/>
      <c r="O67" s="1604"/>
      <c r="P67" s="1604"/>
      <c r="Q67" s="1604"/>
      <c r="R67" s="1604"/>
      <c r="S67" s="1604"/>
      <c r="T67" s="1604"/>
      <c r="U67" s="1604"/>
    </row>
    <row r="68" spans="1:21" ht="12.75" customHeight="1" x14ac:dyDescent="0.2">
      <c r="A68" s="15" t="s">
        <v>7257</v>
      </c>
      <c r="B68" s="15" t="s">
        <v>1220</v>
      </c>
      <c r="C68" s="55" t="s">
        <v>1221</v>
      </c>
      <c r="D68" s="65">
        <v>51</v>
      </c>
      <c r="E68" s="1604"/>
      <c r="F68" s="1604"/>
      <c r="G68" s="1604"/>
      <c r="H68" s="1604"/>
      <c r="I68" s="1604"/>
      <c r="J68" s="1604"/>
      <c r="K68" s="1604"/>
      <c r="L68" s="1604"/>
      <c r="M68" s="1604"/>
      <c r="N68" s="1604"/>
      <c r="O68" s="1604"/>
      <c r="P68" s="1604"/>
      <c r="Q68" s="1604"/>
      <c r="R68" s="1604"/>
      <c r="S68" s="1604"/>
      <c r="T68" s="1604"/>
      <c r="U68" s="1604"/>
    </row>
    <row r="69" spans="1:21" ht="12.75" customHeight="1" x14ac:dyDescent="0.2">
      <c r="A69" s="15" t="s">
        <v>7257</v>
      </c>
      <c r="B69" s="15" t="s">
        <v>1227</v>
      </c>
      <c r="C69" s="55" t="s">
        <v>1228</v>
      </c>
      <c r="D69" s="65">
        <v>52</v>
      </c>
      <c r="E69" s="1604"/>
      <c r="F69" s="1604"/>
      <c r="G69" s="1604"/>
      <c r="H69" s="1604"/>
      <c r="I69" s="1604"/>
      <c r="J69" s="1604"/>
      <c r="K69" s="1604"/>
      <c r="L69" s="1604"/>
      <c r="M69" s="1604"/>
      <c r="N69" s="1604"/>
      <c r="O69" s="1604"/>
      <c r="P69" s="1604"/>
      <c r="Q69" s="1604"/>
      <c r="R69" s="1604"/>
      <c r="S69" s="1604"/>
      <c r="T69" s="1604"/>
      <c r="U69" s="1604"/>
    </row>
    <row r="70" spans="1:21" ht="12.75" customHeight="1" x14ac:dyDescent="0.2">
      <c r="A70" s="15" t="s">
        <v>7257</v>
      </c>
      <c r="B70" s="15" t="s">
        <v>1234</v>
      </c>
      <c r="C70" s="55" t="s">
        <v>1235</v>
      </c>
      <c r="D70" s="65">
        <v>53</v>
      </c>
      <c r="E70" s="1604"/>
      <c r="F70" s="1604"/>
      <c r="G70" s="1604"/>
      <c r="H70" s="1604"/>
      <c r="I70" s="1604"/>
      <c r="J70" s="1604"/>
      <c r="K70" s="1604"/>
      <c r="L70" s="1604"/>
      <c r="M70" s="1604"/>
      <c r="N70" s="1604"/>
      <c r="O70" s="1604"/>
      <c r="P70" s="1604"/>
      <c r="Q70" s="1604"/>
      <c r="R70" s="1604"/>
      <c r="S70" s="1604"/>
      <c r="T70" s="1604"/>
      <c r="U70" s="1604"/>
    </row>
    <row r="71" spans="1:21" ht="12.75" customHeight="1" x14ac:dyDescent="0.2">
      <c r="A71" s="15" t="s">
        <v>7257</v>
      </c>
      <c r="B71" s="15" t="s">
        <v>1241</v>
      </c>
      <c r="C71" s="55" t="s">
        <v>1242</v>
      </c>
      <c r="D71" s="65">
        <v>54</v>
      </c>
      <c r="E71" s="1604"/>
      <c r="F71" s="1604"/>
      <c r="G71" s="1604"/>
      <c r="H71" s="1604"/>
      <c r="I71" s="1604"/>
      <c r="J71" s="1604"/>
      <c r="K71" s="1604"/>
      <c r="L71" s="1604"/>
      <c r="M71" s="1604"/>
      <c r="N71" s="1604"/>
      <c r="O71" s="1604"/>
      <c r="P71" s="1604"/>
      <c r="Q71" s="1604"/>
      <c r="R71" s="1604"/>
      <c r="S71" s="1604"/>
      <c r="T71" s="1604"/>
      <c r="U71" s="1604"/>
    </row>
    <row r="72" spans="1:21" ht="12.75" customHeight="1" x14ac:dyDescent="0.2">
      <c r="A72" s="15" t="s">
        <v>7257</v>
      </c>
      <c r="B72" s="15" t="s">
        <v>1248</v>
      </c>
      <c r="C72" s="55" t="s">
        <v>1249</v>
      </c>
      <c r="D72" s="65">
        <v>55</v>
      </c>
      <c r="E72" s="1604"/>
      <c r="F72" s="1604"/>
      <c r="G72" s="1604"/>
      <c r="H72" s="1604"/>
      <c r="I72" s="1604"/>
      <c r="J72" s="1604"/>
      <c r="K72" s="1604"/>
      <c r="L72" s="1604"/>
      <c r="M72" s="1604"/>
      <c r="N72" s="1604"/>
      <c r="O72" s="1604"/>
      <c r="P72" s="1604"/>
      <c r="Q72" s="1604"/>
      <c r="R72" s="1604"/>
      <c r="S72" s="1604"/>
      <c r="T72" s="1604"/>
      <c r="U72" s="1604"/>
    </row>
    <row r="73" spans="1:21" ht="12.75" customHeight="1" x14ac:dyDescent="0.2">
      <c r="A73" s="15" t="s">
        <v>7257</v>
      </c>
      <c r="B73" s="15" t="s">
        <v>1255</v>
      </c>
      <c r="C73" s="55" t="s">
        <v>1256</v>
      </c>
      <c r="D73" s="65">
        <v>56</v>
      </c>
      <c r="E73" s="1604"/>
      <c r="F73" s="1604"/>
      <c r="G73" s="1604"/>
      <c r="H73" s="1604"/>
      <c r="I73" s="1604"/>
      <c r="J73" s="1604"/>
      <c r="K73" s="1604"/>
      <c r="L73" s="1604"/>
      <c r="M73" s="1604"/>
      <c r="N73" s="1604"/>
      <c r="O73" s="1604"/>
      <c r="P73" s="1604"/>
      <c r="Q73" s="1604"/>
      <c r="R73" s="1604"/>
      <c r="S73" s="1604"/>
      <c r="T73" s="1604"/>
      <c r="U73" s="1604"/>
    </row>
    <row r="74" spans="1:21" ht="12.75" customHeight="1" x14ac:dyDescent="0.2">
      <c r="A74" s="15" t="s">
        <v>7257</v>
      </c>
      <c r="B74" s="15" t="s">
        <v>1262</v>
      </c>
      <c r="C74" s="57" t="s">
        <v>7056</v>
      </c>
      <c r="D74" s="65">
        <v>57</v>
      </c>
      <c r="E74" s="1604"/>
      <c r="F74" s="1604"/>
      <c r="G74" s="1604"/>
      <c r="H74" s="1604"/>
      <c r="I74" s="1604"/>
      <c r="J74" s="1604"/>
      <c r="K74" s="1604"/>
      <c r="L74" s="1604"/>
      <c r="M74" s="1604"/>
      <c r="N74" s="1604"/>
      <c r="O74" s="1604"/>
      <c r="P74" s="1604"/>
      <c r="Q74" s="1604"/>
      <c r="R74" s="1604"/>
      <c r="S74" s="1604"/>
      <c r="T74" s="1604"/>
      <c r="U74" s="1604"/>
    </row>
    <row r="75" spans="1:21" ht="12.75" customHeight="1" x14ac:dyDescent="0.2">
      <c r="A75" s="15" t="s">
        <v>7257</v>
      </c>
      <c r="B75" s="15" t="s">
        <v>1269</v>
      </c>
      <c r="C75" s="55" t="s">
        <v>1270</v>
      </c>
      <c r="D75" s="65">
        <v>58</v>
      </c>
      <c r="E75" s="1604"/>
      <c r="F75" s="1604"/>
      <c r="G75" s="1604"/>
      <c r="H75" s="1604"/>
      <c r="I75" s="1604"/>
      <c r="J75" s="1604"/>
      <c r="K75" s="1604"/>
      <c r="L75" s="1604"/>
      <c r="M75" s="1604"/>
      <c r="N75" s="1604"/>
      <c r="O75" s="1604"/>
      <c r="P75" s="1604"/>
      <c r="Q75" s="1604"/>
      <c r="R75" s="1604"/>
      <c r="S75" s="1604"/>
      <c r="T75" s="1604"/>
      <c r="U75" s="1604"/>
    </row>
    <row r="76" spans="1:21" ht="12.75" customHeight="1" x14ac:dyDescent="0.2">
      <c r="A76" s="15" t="s">
        <v>7257</v>
      </c>
      <c r="B76" s="15" t="s">
        <v>1276</v>
      </c>
      <c r="C76" s="55" t="s">
        <v>1277</v>
      </c>
      <c r="D76" s="65">
        <v>59</v>
      </c>
      <c r="E76" s="1604"/>
      <c r="F76" s="1604"/>
      <c r="G76" s="1604"/>
      <c r="H76" s="1604"/>
      <c r="I76" s="1604"/>
      <c r="J76" s="1604"/>
      <c r="K76" s="1604"/>
      <c r="L76" s="1604"/>
      <c r="M76" s="1604"/>
      <c r="N76" s="1604"/>
      <c r="O76" s="1604"/>
      <c r="P76" s="1604"/>
      <c r="Q76" s="1604"/>
      <c r="R76" s="1604"/>
      <c r="S76" s="1604"/>
      <c r="T76" s="1604"/>
      <c r="U76" s="1604"/>
    </row>
    <row r="77" spans="1:21" ht="12.75" customHeight="1" x14ac:dyDescent="0.2">
      <c r="A77" s="15" t="s">
        <v>7257</v>
      </c>
      <c r="B77" s="15" t="s">
        <v>1283</v>
      </c>
      <c r="C77" s="55" t="s">
        <v>1284</v>
      </c>
      <c r="D77" s="65">
        <v>60</v>
      </c>
      <c r="E77" s="1604"/>
      <c r="F77" s="1604"/>
      <c r="G77" s="1604"/>
      <c r="H77" s="1604"/>
      <c r="I77" s="1604"/>
      <c r="J77" s="1604"/>
      <c r="K77" s="1604"/>
      <c r="L77" s="1604"/>
      <c r="M77" s="1604"/>
      <c r="N77" s="1604"/>
      <c r="O77" s="1604"/>
      <c r="P77" s="1604"/>
      <c r="Q77" s="1604"/>
      <c r="R77" s="1604"/>
      <c r="S77" s="1604"/>
      <c r="T77" s="1604"/>
      <c r="U77" s="1604"/>
    </row>
    <row r="78" spans="1:21" ht="12.75" customHeight="1" x14ac:dyDescent="0.2">
      <c r="A78" s="15" t="s">
        <v>7257</v>
      </c>
      <c r="B78" s="15" t="s">
        <v>1290</v>
      </c>
      <c r="C78" s="55" t="s">
        <v>7311</v>
      </c>
      <c r="D78" s="65">
        <v>61</v>
      </c>
      <c r="E78" s="1604"/>
      <c r="F78" s="1604"/>
      <c r="G78" s="1604"/>
      <c r="H78" s="1604"/>
      <c r="I78" s="1604"/>
      <c r="J78" s="1604"/>
      <c r="K78" s="1604"/>
      <c r="L78" s="1604"/>
      <c r="M78" s="1604"/>
      <c r="N78" s="1604"/>
      <c r="O78" s="1604"/>
      <c r="P78" s="1604"/>
      <c r="Q78" s="1604"/>
      <c r="R78" s="1604"/>
      <c r="S78" s="1604"/>
      <c r="T78" s="1604"/>
      <c r="U78" s="1604"/>
    </row>
    <row r="79" spans="1:21" ht="12.75" customHeight="1" x14ac:dyDescent="0.2">
      <c r="A79" s="15"/>
      <c r="B79" s="15"/>
      <c r="C79" s="67"/>
      <c r="D79" s="68"/>
      <c r="E79" s="1601"/>
      <c r="F79" s="1607"/>
      <c r="G79" s="1607"/>
      <c r="H79" s="1607"/>
      <c r="I79" s="1607"/>
      <c r="J79" s="1607"/>
      <c r="K79" s="1607"/>
      <c r="L79" s="1607"/>
      <c r="M79" s="1607"/>
      <c r="N79" s="1607"/>
      <c r="O79" s="1607"/>
      <c r="P79" s="1607"/>
      <c r="Q79" s="1607"/>
      <c r="R79" s="1607"/>
      <c r="S79" s="1607"/>
      <c r="T79" s="1607"/>
      <c r="U79" s="1607"/>
    </row>
    <row r="80" spans="1:21" ht="12.75" customHeight="1" x14ac:dyDescent="0.2">
      <c r="A80" s="15" t="s">
        <v>7257</v>
      </c>
      <c r="B80" s="15" t="s">
        <v>1297</v>
      </c>
      <c r="C80" s="1640" t="s">
        <v>7312</v>
      </c>
      <c r="D80" s="65">
        <v>62</v>
      </c>
      <c r="E80" s="2258"/>
      <c r="F80" s="2258"/>
      <c r="G80" s="2258"/>
      <c r="H80" s="2258"/>
      <c r="I80" s="2258"/>
      <c r="J80" s="2258"/>
      <c r="K80" s="2258"/>
      <c r="L80" s="2258"/>
      <c r="M80" s="2258"/>
      <c r="N80" s="2258"/>
      <c r="O80" s="2258"/>
      <c r="P80" s="2258"/>
      <c r="Q80" s="2258"/>
      <c r="R80" s="2258"/>
      <c r="S80" s="2258"/>
      <c r="T80" s="2258"/>
      <c r="U80" s="2258"/>
    </row>
    <row r="81" spans="1:21" ht="12.75" customHeight="1" x14ac:dyDescent="0.2">
      <c r="A81" s="15" t="s">
        <v>7257</v>
      </c>
      <c r="B81" s="15" t="s">
        <v>1318</v>
      </c>
      <c r="C81" s="57" t="s">
        <v>1319</v>
      </c>
      <c r="D81" s="65">
        <v>63</v>
      </c>
      <c r="E81" s="1604"/>
      <c r="F81" s="1604"/>
      <c r="G81" s="1604"/>
      <c r="H81" s="1604"/>
      <c r="I81" s="1604"/>
      <c r="J81" s="1604"/>
      <c r="K81" s="1604"/>
      <c r="L81" s="1604"/>
      <c r="M81" s="1604"/>
      <c r="N81" s="1604"/>
      <c r="O81" s="1604"/>
      <c r="P81" s="1604"/>
      <c r="Q81" s="1604"/>
      <c r="R81" s="1604"/>
      <c r="S81" s="1604"/>
      <c r="T81" s="1604"/>
      <c r="U81" s="1604"/>
    </row>
    <row r="82" spans="1:21" ht="12.75" customHeight="1" x14ac:dyDescent="0.2">
      <c r="A82" s="15" t="s">
        <v>7257</v>
      </c>
      <c r="B82" s="15" t="s">
        <v>1332</v>
      </c>
      <c r="C82" s="57" t="s">
        <v>1333</v>
      </c>
      <c r="D82" s="65">
        <v>64</v>
      </c>
      <c r="E82" s="1604"/>
      <c r="F82" s="1604"/>
      <c r="G82" s="1604"/>
      <c r="H82" s="1604"/>
      <c r="I82" s="1604"/>
      <c r="J82" s="1604"/>
      <c r="K82" s="1604"/>
      <c r="L82" s="1604"/>
      <c r="M82" s="1604"/>
      <c r="N82" s="1604"/>
      <c r="O82" s="1604"/>
      <c r="P82" s="1604"/>
      <c r="Q82" s="1604"/>
      <c r="R82" s="1604"/>
      <c r="S82" s="1604"/>
      <c r="T82" s="1604"/>
      <c r="U82" s="1604"/>
    </row>
    <row r="83" spans="1:21" ht="12.75" customHeight="1" x14ac:dyDescent="0.2">
      <c r="A83" s="15" t="s">
        <v>7257</v>
      </c>
      <c r="B83" s="15" t="s">
        <v>1339</v>
      </c>
      <c r="C83" s="55" t="s">
        <v>7313</v>
      </c>
      <c r="D83" s="65">
        <v>65</v>
      </c>
      <c r="E83" s="1604"/>
      <c r="F83" s="1604"/>
      <c r="G83" s="1604"/>
      <c r="H83" s="1604"/>
      <c r="I83" s="1604"/>
      <c r="J83" s="1604"/>
      <c r="K83" s="1604"/>
      <c r="L83" s="1604"/>
      <c r="M83" s="1604"/>
      <c r="N83" s="1604"/>
      <c r="O83" s="1604"/>
      <c r="P83" s="1604"/>
      <c r="Q83" s="1604"/>
      <c r="R83" s="1604"/>
      <c r="S83" s="1604"/>
      <c r="T83" s="1604"/>
      <c r="U83" s="1604"/>
    </row>
    <row r="84" spans="1:21" ht="12.75" customHeight="1" x14ac:dyDescent="0.2">
      <c r="A84" s="15"/>
      <c r="B84" s="15"/>
      <c r="C84" s="69"/>
      <c r="D84" s="68"/>
      <c r="E84" s="1401"/>
      <c r="F84" s="1607"/>
      <c r="G84" s="1607"/>
      <c r="H84" s="1607"/>
      <c r="I84" s="1607"/>
      <c r="J84" s="1607"/>
      <c r="K84" s="1607"/>
      <c r="L84" s="1607"/>
      <c r="M84" s="1607"/>
      <c r="N84" s="1607"/>
      <c r="O84" s="1607"/>
      <c r="P84" s="1607"/>
      <c r="Q84" s="1607"/>
      <c r="R84" s="1607"/>
      <c r="S84" s="1607"/>
      <c r="T84" s="1607"/>
      <c r="U84" s="1607"/>
    </row>
    <row r="85" spans="1:21" ht="12.75" customHeight="1" x14ac:dyDescent="0.2">
      <c r="A85" s="15" t="s">
        <v>7257</v>
      </c>
      <c r="B85" s="15" t="s">
        <v>1346</v>
      </c>
      <c r="C85" s="1640" t="s">
        <v>7314</v>
      </c>
      <c r="D85" s="65">
        <v>66</v>
      </c>
      <c r="E85" s="2258"/>
      <c r="F85" s="2258"/>
      <c r="G85" s="2258"/>
      <c r="H85" s="2258"/>
      <c r="I85" s="2258"/>
      <c r="J85" s="2258"/>
      <c r="K85" s="2258"/>
      <c r="L85" s="2258"/>
      <c r="M85" s="2258"/>
      <c r="N85" s="2258"/>
      <c r="O85" s="2258"/>
      <c r="P85" s="2258"/>
      <c r="Q85" s="2258"/>
      <c r="R85" s="2258"/>
      <c r="S85" s="2258"/>
      <c r="T85" s="2258"/>
      <c r="U85" s="2258"/>
    </row>
    <row r="86" spans="1:21" ht="12.75" customHeight="1" x14ac:dyDescent="0.2">
      <c r="A86" s="15" t="s">
        <v>7257</v>
      </c>
      <c r="B86" s="15" t="s">
        <v>1360</v>
      </c>
      <c r="C86" s="57" t="s">
        <v>1361</v>
      </c>
      <c r="D86" s="65">
        <v>67</v>
      </c>
      <c r="E86" s="1604"/>
      <c r="F86" s="1604"/>
      <c r="G86" s="1604"/>
      <c r="H86" s="1604"/>
      <c r="I86" s="1604"/>
      <c r="J86" s="1604"/>
      <c r="K86" s="1604"/>
      <c r="L86" s="1604"/>
      <c r="M86" s="1604"/>
      <c r="N86" s="1604"/>
      <c r="O86" s="1604"/>
      <c r="P86" s="1604"/>
      <c r="Q86" s="1604"/>
      <c r="R86" s="1604"/>
      <c r="S86" s="1604"/>
      <c r="T86" s="1604"/>
      <c r="U86" s="1604"/>
    </row>
    <row r="87" spans="1:21" ht="12.75" customHeight="1" x14ac:dyDescent="0.2">
      <c r="A87" s="15" t="s">
        <v>7257</v>
      </c>
      <c r="B87" s="15" t="s">
        <v>1353</v>
      </c>
      <c r="C87" s="55" t="s">
        <v>1354</v>
      </c>
      <c r="D87" s="65">
        <v>68</v>
      </c>
      <c r="E87" s="1604"/>
      <c r="F87" s="1604"/>
      <c r="G87" s="1604"/>
      <c r="H87" s="1604"/>
      <c r="I87" s="1604"/>
      <c r="J87" s="1604"/>
      <c r="K87" s="1604"/>
      <c r="L87" s="1604"/>
      <c r="M87" s="1604"/>
      <c r="N87" s="1604"/>
      <c r="O87" s="1604"/>
      <c r="P87" s="1604"/>
      <c r="Q87" s="1604"/>
      <c r="R87" s="1604"/>
      <c r="S87" s="1604"/>
      <c r="T87" s="1604"/>
      <c r="U87" s="1604"/>
    </row>
    <row r="88" spans="1:21" ht="12.75" customHeight="1" x14ac:dyDescent="0.2">
      <c r="A88" s="15" t="s">
        <v>7257</v>
      </c>
      <c r="B88" s="15" t="s">
        <v>1367</v>
      </c>
      <c r="C88" s="55" t="s">
        <v>7315</v>
      </c>
      <c r="D88" s="65">
        <v>69</v>
      </c>
      <c r="E88" s="1604"/>
      <c r="F88" s="1604"/>
      <c r="G88" s="1604"/>
      <c r="H88" s="1604"/>
      <c r="I88" s="1604"/>
      <c r="J88" s="1604"/>
      <c r="K88" s="1604"/>
      <c r="L88" s="1604"/>
      <c r="M88" s="1604"/>
      <c r="N88" s="1604"/>
      <c r="O88" s="1604"/>
      <c r="P88" s="1604"/>
      <c r="Q88" s="1604"/>
      <c r="R88" s="1604"/>
      <c r="S88" s="1604"/>
      <c r="T88" s="1604"/>
      <c r="U88" s="1604"/>
    </row>
    <row r="89" spans="1:21" ht="12.75" customHeight="1" x14ac:dyDescent="0.2">
      <c r="A89" s="15" t="s">
        <v>7257</v>
      </c>
      <c r="B89" s="15" t="s">
        <v>1374</v>
      </c>
      <c r="C89" s="55" t="s">
        <v>1375</v>
      </c>
      <c r="D89" s="65">
        <v>70</v>
      </c>
      <c r="E89" s="1604"/>
      <c r="F89" s="1604"/>
      <c r="G89" s="1604"/>
      <c r="H89" s="1604"/>
      <c r="I89" s="1604"/>
      <c r="J89" s="1604"/>
      <c r="K89" s="1604"/>
      <c r="L89" s="1604"/>
      <c r="M89" s="1604"/>
      <c r="N89" s="1604"/>
      <c r="O89" s="1604"/>
      <c r="P89" s="1604"/>
      <c r="Q89" s="1604"/>
      <c r="R89" s="1604"/>
      <c r="S89" s="1604"/>
      <c r="T89" s="1604"/>
      <c r="U89" s="1604"/>
    </row>
    <row r="90" spans="1:21" ht="12.75" customHeight="1" x14ac:dyDescent="0.2">
      <c r="A90" s="15" t="s">
        <v>7257</v>
      </c>
      <c r="B90" s="15" t="s">
        <v>643</v>
      </c>
      <c r="C90" s="55" t="s">
        <v>7316</v>
      </c>
      <c r="D90" s="65">
        <v>71</v>
      </c>
      <c r="E90" s="1604"/>
      <c r="F90" s="1604"/>
      <c r="G90" s="1604"/>
      <c r="H90" s="1604"/>
      <c r="I90" s="1604"/>
      <c r="J90" s="1604"/>
      <c r="K90" s="1604"/>
      <c r="L90" s="1604"/>
      <c r="M90" s="1604"/>
      <c r="N90" s="1604"/>
      <c r="O90" s="1604"/>
      <c r="P90" s="1604"/>
      <c r="Q90" s="1604"/>
      <c r="R90" s="1604"/>
      <c r="S90" s="1604"/>
      <c r="T90" s="1604"/>
      <c r="U90" s="1604"/>
    </row>
    <row r="91" spans="1:21" ht="12.75" customHeight="1" x14ac:dyDescent="0.2"/>
    <row r="92" spans="1:21" ht="12.75" customHeight="1" x14ac:dyDescent="0.2"/>
    <row r="93" spans="1:21" ht="12.75" customHeight="1" x14ac:dyDescent="0.2"/>
    <row r="94" spans="1:21" ht="12.75" customHeight="1" x14ac:dyDescent="0.2"/>
    <row r="95" spans="1:21" ht="12.75" customHeight="1" x14ac:dyDescent="0.2"/>
    <row r="96" spans="1:21" ht="12.75" customHeight="1" x14ac:dyDescent="0.2"/>
    <row r="97" ht="12.75" customHeight="1" x14ac:dyDescent="0.2"/>
    <row r="98" ht="12.75" customHeight="1" x14ac:dyDescent="0.2"/>
    <row r="99" ht="12.75" customHeight="1" x14ac:dyDescent="0.2"/>
    <row r="100" ht="12.75" customHeight="1" x14ac:dyDescent="0.2"/>
    <row r="101" ht="12.75" customHeight="1" x14ac:dyDescent="0.2"/>
  </sheetData>
  <phoneticPr fontId="36" type="noConversion"/>
  <dataValidations count="1">
    <dataValidation type="decimal" operator="greaterThanOrEqual" allowBlank="1" showInputMessage="1" showErrorMessage="1" sqref="E6:U90" xr:uid="{00000000-0002-0000-1200-000000000000}">
      <formula1>-1000000</formula1>
    </dataValidation>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0">
    <tabColor theme="1"/>
  </sheetPr>
  <dimension ref="A1:AI110"/>
  <sheetViews>
    <sheetView showGridLines="0" zoomScaleNormal="100" workbookViewId="0">
      <selection sqref="A1:I1"/>
    </sheetView>
  </sheetViews>
  <sheetFormatPr defaultRowHeight="12.75" x14ac:dyDescent="0.2"/>
  <cols>
    <col min="1" max="1" width="4.5703125" customWidth="1"/>
    <col min="2" max="2" width="25.28515625" customWidth="1"/>
    <col min="3" max="3" width="22.5703125" hidden="1" customWidth="1"/>
    <col min="4" max="4" width="9.5703125" customWidth="1"/>
    <col min="9" max="9" width="12.85546875" customWidth="1"/>
    <col min="10" max="10" width="4.85546875" customWidth="1"/>
    <col min="27" max="27" width="15.42578125" hidden="1" customWidth="1"/>
    <col min="28" max="28" width="9.140625" hidden="1" customWidth="1"/>
    <col min="29" max="29" width="18.42578125" hidden="1" customWidth="1"/>
    <col min="30" max="30" width="26.5703125" hidden="1" customWidth="1"/>
    <col min="31" max="31" width="34.140625" hidden="1" customWidth="1"/>
    <col min="32" max="32" width="14.7109375" hidden="1" customWidth="1"/>
    <col min="33" max="33" width="9.140625" hidden="1" customWidth="1"/>
    <col min="34" max="34" width="14.140625" hidden="1" customWidth="1"/>
    <col min="35" max="35" width="9.140625" hidden="1" customWidth="1"/>
  </cols>
  <sheetData>
    <row r="1" spans="1:35" ht="54.95" customHeight="1" x14ac:dyDescent="0.2">
      <c r="A1" s="2278" t="str">
        <f>HLOOKUP(LangChoice,$AD$3:$AF$30,AC4,FALSE)&amp;": " &amp; CountryName &amp; ", " &amp; DataYear</f>
        <v>Energy balance report: South Africa, 2019</v>
      </c>
      <c r="B1" s="2278"/>
      <c r="C1" s="2278"/>
      <c r="D1" s="2278"/>
      <c r="E1" s="2278"/>
      <c r="F1" s="2278"/>
      <c r="G1" s="2278"/>
      <c r="H1" s="2278"/>
      <c r="I1" s="2278"/>
      <c r="AA1" s="618" t="s">
        <v>1</v>
      </c>
      <c r="AB1" s="653"/>
      <c r="AC1" s="653"/>
      <c r="AD1" s="653"/>
      <c r="AE1" s="653"/>
      <c r="AF1" s="653"/>
      <c r="AG1" s="653"/>
      <c r="AH1" s="653"/>
      <c r="AI1" s="723" t="s">
        <v>2</v>
      </c>
    </row>
    <row r="2" spans="1:35" ht="35.25" customHeight="1" x14ac:dyDescent="0.2">
      <c r="A2" s="2280" t="str">
        <f ca="1">HLOOKUP(LangChoice,$AD$3:$AF$30,AC8,FALSE) &amp; CHAR(10) &amp; TEXT(NOW(),"DD/MM/YYYY HH:MM") &amp; " ("&amp;HLOOKUP(LangChoice,$AD$3:$AF$30,AC9,FALSE)&amp;": "&amp;'Main Menu'!E2&amp;")."</f>
        <v>Report created with IEA energy balance builder tool based on data provided by the user.
04/05/2026 19:42 (Version: August 2022.1).</v>
      </c>
      <c r="B2" s="2280"/>
      <c r="C2" s="2280"/>
      <c r="D2" s="2280"/>
      <c r="E2" s="2280"/>
      <c r="F2" s="2280"/>
      <c r="G2" s="2280"/>
      <c r="H2" s="2280"/>
      <c r="I2" s="2280"/>
      <c r="AC2" s="20"/>
      <c r="AD2" s="530" t="s">
        <v>5</v>
      </c>
      <c r="AE2" s="531"/>
      <c r="AF2" s="531"/>
    </row>
    <row r="3" spans="1:35" ht="5.0999999999999996" customHeight="1" x14ac:dyDescent="0.2">
      <c r="AC3" s="20">
        <v>1</v>
      </c>
      <c r="AD3" s="530" t="s">
        <v>7</v>
      </c>
      <c r="AE3" s="530" t="s">
        <v>8</v>
      </c>
      <c r="AF3" s="530" t="s">
        <v>9</v>
      </c>
    </row>
    <row r="4" spans="1:35" x14ac:dyDescent="0.2">
      <c r="B4" s="2281" t="str">
        <f t="shared" ref="B4:B9" si="0">HLOOKUP(LangChoice,$AD$3:$AF$30,AC10,FALSE)</f>
        <v>Questionnaires loaded:</v>
      </c>
      <c r="C4" s="2281"/>
      <c r="D4" s="2281"/>
      <c r="AC4" s="20">
        <v>2</v>
      </c>
      <c r="AD4" s="20" t="s">
        <v>146</v>
      </c>
      <c r="AE4" s="20" t="s">
        <v>147</v>
      </c>
      <c r="AF4" s="20" t="s">
        <v>148</v>
      </c>
    </row>
    <row r="5" spans="1:35" x14ac:dyDescent="0.2">
      <c r="B5" s="797" t="str">
        <f t="shared" si="0"/>
        <v>Coal</v>
      </c>
      <c r="C5" s="798"/>
      <c r="D5" s="809" t="str">
        <f>'Main Menu'!L19</f>
        <v>NA</v>
      </c>
      <c r="AB5" s="561" t="s">
        <v>149</v>
      </c>
      <c r="AC5" s="20">
        <v>3</v>
      </c>
      <c r="AD5" s="20" t="s">
        <v>150</v>
      </c>
      <c r="AE5" s="20" t="s">
        <v>151</v>
      </c>
      <c r="AF5" s="20" t="s">
        <v>148</v>
      </c>
    </row>
    <row r="6" spans="1:35" x14ac:dyDescent="0.2">
      <c r="B6" s="799" t="str">
        <f t="shared" si="0"/>
        <v>Oil</v>
      </c>
      <c r="D6" s="810" t="str">
        <f>'Main Menu'!L20</f>
        <v>NA</v>
      </c>
      <c r="AA6" s="555" t="s">
        <v>152</v>
      </c>
      <c r="AB6" s="20">
        <f ca="1">COUNTIF(Electricity_Heat_II!$O$13:$Q$60,Electricity_Heat_II!$AB$27)</f>
        <v>3</v>
      </c>
      <c r="AC6" s="20">
        <v>4</v>
      </c>
      <c r="AD6" s="20" t="s">
        <v>153</v>
      </c>
      <c r="AE6" s="20" t="s">
        <v>154</v>
      </c>
      <c r="AF6" s="20" t="s">
        <v>148</v>
      </c>
    </row>
    <row r="7" spans="1:35" x14ac:dyDescent="0.2">
      <c r="B7" s="799" t="str">
        <f t="shared" si="0"/>
        <v>Gas</v>
      </c>
      <c r="D7" s="810" t="str">
        <f>'Main Menu'!L21</f>
        <v>NA</v>
      </c>
      <c r="AA7" s="555" t="s">
        <v>155</v>
      </c>
      <c r="AB7" s="20">
        <f ca="1">COUNTIF(Electricity_Heat_II!$O$13:$Q$60,Electricity_Heat_II!$AB$28)</f>
        <v>0</v>
      </c>
      <c r="AC7" s="20">
        <v>5</v>
      </c>
      <c r="AD7" s="20" t="s">
        <v>156</v>
      </c>
      <c r="AE7" s="20" t="s">
        <v>157</v>
      </c>
      <c r="AF7" s="20" t="s">
        <v>148</v>
      </c>
    </row>
    <row r="8" spans="1:35" x14ac:dyDescent="0.2">
      <c r="B8" s="799" t="str">
        <f t="shared" si="0"/>
        <v>Renewables</v>
      </c>
      <c r="D8" s="810" t="str">
        <f>'Main Menu'!L22</f>
        <v>NA</v>
      </c>
      <c r="E8" s="15"/>
      <c r="AA8" s="555" t="s">
        <v>158</v>
      </c>
      <c r="AB8" s="20">
        <f ca="1">Electricity_Heat_II!AX32</f>
        <v>0</v>
      </c>
      <c r="AC8" s="20">
        <v>6</v>
      </c>
      <c r="AD8" s="20" t="s">
        <v>159</v>
      </c>
      <c r="AE8" s="20" t="s">
        <v>160</v>
      </c>
      <c r="AF8" s="20" t="s">
        <v>148</v>
      </c>
    </row>
    <row r="9" spans="1:35" x14ac:dyDescent="0.2">
      <c r="B9" s="800" t="str">
        <f t="shared" si="0"/>
        <v>Electricity and heat</v>
      </c>
      <c r="C9" s="796"/>
      <c r="D9" s="811" t="str">
        <f>'Main Menu'!L23</f>
        <v>NA</v>
      </c>
      <c r="AC9" s="20">
        <v>7</v>
      </c>
      <c r="AD9" s="20" t="s">
        <v>161</v>
      </c>
      <c r="AE9" s="20" t="s">
        <v>162</v>
      </c>
      <c r="AF9" s="20" t="s">
        <v>148</v>
      </c>
    </row>
    <row r="10" spans="1:35" ht="5.0999999999999996" customHeight="1" x14ac:dyDescent="0.2">
      <c r="AC10" s="20">
        <v>8</v>
      </c>
      <c r="AD10" s="20" t="s">
        <v>163</v>
      </c>
      <c r="AE10" s="20" t="s">
        <v>164</v>
      </c>
    </row>
    <row r="11" spans="1:35" x14ac:dyDescent="0.2">
      <c r="B11" s="2281" t="str">
        <f>HLOOKUP(LangChoice,$AD$3:$AF$30,AC16,FALSE)</f>
        <v>OR (if questionnaires are not used)</v>
      </c>
      <c r="C11" s="2281" t="e">
        <f>HLOOKUP(LangChoice,$AD$3:$AF$30,AD17,FALSE)</f>
        <v>#REF!</v>
      </c>
      <c r="D11" s="2281" t="e">
        <f>HLOOKUP(LangChoice,$AD$3:$AF$30,AE17,FALSE)</f>
        <v>#REF!</v>
      </c>
      <c r="AC11" s="20">
        <v>9</v>
      </c>
      <c r="AD11" s="20" t="s">
        <v>165</v>
      </c>
      <c r="AE11" s="20" t="s">
        <v>166</v>
      </c>
      <c r="AF11" s="20" t="s">
        <v>148</v>
      </c>
    </row>
    <row r="12" spans="1:35" x14ac:dyDescent="0.2">
      <c r="B12" s="1053" t="str">
        <f>HLOOKUP(LangChoice,$AD$3:$AF$30,AC17,FALSE)</f>
        <v>Data input manually</v>
      </c>
      <c r="C12" s="1054"/>
      <c r="D12" s="1055" t="str">
        <f ca="1">IF(COUNTIF(D5:D9,"NA")=5,TEXT(NOW(),"dd/mm/yyyy"),"NA")</f>
        <v>04/05/2026</v>
      </c>
      <c r="AC12" s="20">
        <v>10</v>
      </c>
      <c r="AD12" s="20" t="s">
        <v>167</v>
      </c>
      <c r="AE12" s="20" t="s">
        <v>168</v>
      </c>
      <c r="AF12" s="20" t="s">
        <v>148</v>
      </c>
    </row>
    <row r="13" spans="1:35" ht="6.95" customHeight="1" x14ac:dyDescent="0.2">
      <c r="AC13" s="20">
        <v>11</v>
      </c>
      <c r="AD13" s="20" t="s">
        <v>169</v>
      </c>
      <c r="AE13" s="20" t="s">
        <v>170</v>
      </c>
      <c r="AF13" s="20" t="s">
        <v>148</v>
      </c>
    </row>
    <row r="14" spans="1:35" ht="6.95" customHeight="1" x14ac:dyDescent="0.2">
      <c r="AC14" s="20">
        <v>12</v>
      </c>
      <c r="AD14" s="20" t="s">
        <v>171</v>
      </c>
      <c r="AE14" s="20" t="s">
        <v>172</v>
      </c>
      <c r="AF14" s="20" t="s">
        <v>148</v>
      </c>
    </row>
    <row r="15" spans="1:35" ht="6.95" customHeight="1" x14ac:dyDescent="0.2">
      <c r="AC15" s="20">
        <v>13</v>
      </c>
      <c r="AD15" s="20" t="s">
        <v>173</v>
      </c>
      <c r="AE15" s="20" t="s">
        <v>174</v>
      </c>
      <c r="AF15" s="20" t="s">
        <v>148</v>
      </c>
    </row>
    <row r="16" spans="1:35" ht="6.95" customHeight="1" x14ac:dyDescent="0.2">
      <c r="AC16" s="20">
        <v>14</v>
      </c>
      <c r="AD16" s="20" t="s">
        <v>175</v>
      </c>
      <c r="AE16" s="20" t="s">
        <v>176</v>
      </c>
      <c r="AF16" s="20" t="s">
        <v>148</v>
      </c>
    </row>
    <row r="17" spans="1:32" ht="6.95" customHeight="1" x14ac:dyDescent="0.2">
      <c r="AA17" s="20"/>
      <c r="AC17" s="20">
        <v>15</v>
      </c>
      <c r="AD17" s="20" t="s">
        <v>177</v>
      </c>
      <c r="AE17" s="20" t="s">
        <v>64</v>
      </c>
      <c r="AF17" s="20" t="s">
        <v>148</v>
      </c>
    </row>
    <row r="18" spans="1:32" ht="6.95" customHeight="1" x14ac:dyDescent="0.2">
      <c r="AA18" s="20"/>
      <c r="AC18" s="20">
        <v>16</v>
      </c>
      <c r="AD18" s="20" t="s">
        <v>178</v>
      </c>
      <c r="AE18" s="20" t="s">
        <v>179</v>
      </c>
      <c r="AF18" s="20" t="s">
        <v>148</v>
      </c>
    </row>
    <row r="19" spans="1:32" x14ac:dyDescent="0.2">
      <c r="B19" s="13" t="str">
        <f t="shared" ref="B19:B24" si="1">HLOOKUP(LangChoice,$AD$3:$AF$30,AC18,FALSE)</f>
        <v>Summary of the checks:</v>
      </c>
      <c r="C19" s="259"/>
      <c r="D19" s="259"/>
      <c r="AA19" s="20"/>
      <c r="AC19" s="20">
        <v>17</v>
      </c>
      <c r="AD19" s="20" t="s">
        <v>180</v>
      </c>
      <c r="AE19" s="20" t="s">
        <v>181</v>
      </c>
      <c r="AF19" s="20" t="s">
        <v>148</v>
      </c>
    </row>
    <row r="20" spans="1:32" x14ac:dyDescent="0.2">
      <c r="B20" s="240" t="str">
        <f t="shared" si="1"/>
        <v>Transformation sector:</v>
      </c>
      <c r="C20" s="564"/>
      <c r="D20" s="564"/>
      <c r="AA20" s="20"/>
      <c r="AC20" s="20">
        <v>18</v>
      </c>
      <c r="AD20" s="20" t="s">
        <v>182</v>
      </c>
      <c r="AE20" s="20" t="s">
        <v>183</v>
      </c>
      <c r="AF20" s="20" t="s">
        <v>148</v>
      </c>
    </row>
    <row r="21" spans="1:32" ht="36" customHeight="1" x14ac:dyDescent="0.2">
      <c r="B21" s="791" t="str">
        <f t="shared" si="1"/>
        <v>Coke oven</v>
      </c>
      <c r="C21" s="1258" t="s">
        <v>184</v>
      </c>
      <c r="D21" s="2282" t="str">
        <f ca="1">IronSteel_CokeOven!$K$25</f>
        <v>Process efficiency exceeds 100%! Please verify the energy content of the input and output values.</v>
      </c>
      <c r="E21" s="2282"/>
      <c r="F21" s="2282"/>
      <c r="G21" s="2282"/>
      <c r="H21" s="2282"/>
      <c r="I21" s="2282"/>
      <c r="AA21" s="20"/>
      <c r="AC21" s="20">
        <v>19</v>
      </c>
      <c r="AD21" s="20" t="s">
        <v>185</v>
      </c>
      <c r="AE21" s="20" t="s">
        <v>186</v>
      </c>
      <c r="AF21" s="20" t="s">
        <v>148</v>
      </c>
    </row>
    <row r="22" spans="1:32" ht="36" customHeight="1" x14ac:dyDescent="0.2">
      <c r="B22" s="790" t="str">
        <f t="shared" si="1"/>
        <v>Blast furnace</v>
      </c>
      <c r="C22" s="1259" t="s">
        <v>184</v>
      </c>
      <c r="D22" s="2283" t="str">
        <f ca="1">IronSteel_BlastFurnace!$K$25</f>
        <v>Blast furnace ratio is rather low. Please verify the input and output values.</v>
      </c>
      <c r="E22" s="2283"/>
      <c r="F22" s="2283"/>
      <c r="G22" s="2283"/>
      <c r="H22" s="2283"/>
      <c r="I22" s="2283"/>
      <c r="AA22" s="20"/>
      <c r="AC22" s="20">
        <v>20</v>
      </c>
      <c r="AD22" s="20" t="s">
        <v>187</v>
      </c>
      <c r="AE22" s="20" t="s">
        <v>188</v>
      </c>
      <c r="AF22" s="20" t="s">
        <v>148</v>
      </c>
    </row>
    <row r="23" spans="1:32" ht="36" customHeight="1" x14ac:dyDescent="0.2">
      <c r="B23" s="790" t="str">
        <f t="shared" si="1"/>
        <v>Oil refinery</v>
      </c>
      <c r="C23" s="1259" t="s">
        <v>184</v>
      </c>
      <c r="D23" s="2283" t="str">
        <f>Refinery!$J$23</f>
        <v>Oil refinery losses are notably high. Please verify the input and output values.</v>
      </c>
      <c r="E23" s="2283"/>
      <c r="F23" s="2283"/>
      <c r="G23" s="2283"/>
      <c r="H23" s="2283"/>
      <c r="I23" s="2283"/>
      <c r="AA23" s="20"/>
      <c r="AC23" s="20">
        <v>21</v>
      </c>
      <c r="AD23" s="20" t="s">
        <v>149</v>
      </c>
      <c r="AE23" s="20" t="s">
        <v>189</v>
      </c>
      <c r="AF23" s="20" t="s">
        <v>148</v>
      </c>
    </row>
    <row r="24" spans="1:32" ht="36" customHeight="1" x14ac:dyDescent="0.2">
      <c r="B24" s="791" t="str">
        <f t="shared" si="1"/>
        <v>Electricity and heat generation</v>
      </c>
      <c r="C24" s="1258" t="s">
        <v>184</v>
      </c>
      <c r="D24" s="2282" t="str">
        <f ca="1">IF($AB$6&gt;0,HLOOKUP(LangChoice,$AD$3:$AF$8,AC5,FALSE),"")</f>
        <v>Low efficiencies for some fuels. Please verify the input and output values in the ELE/fuel questionnaire.</v>
      </c>
      <c r="E24" s="2282"/>
      <c r="F24" s="2282"/>
      <c r="G24" s="2282"/>
      <c r="H24" s="2282"/>
      <c r="I24" s="2282"/>
      <c r="AA24" s="20"/>
      <c r="AC24" s="20">
        <v>22</v>
      </c>
      <c r="AD24" s="20" t="s">
        <v>190</v>
      </c>
      <c r="AE24" s="20" t="s">
        <v>191</v>
      </c>
      <c r="AF24" s="20" t="s">
        <v>148</v>
      </c>
    </row>
    <row r="25" spans="1:32" ht="36" customHeight="1" x14ac:dyDescent="0.2">
      <c r="B25" s="792"/>
      <c r="C25" s="788"/>
      <c r="D25" s="2283" t="str">
        <f ca="1">IF($AB$7&gt;0,HLOOKUP(LangChoice,$AD$3:$AF$8,AC6,FALSE),"")</f>
        <v/>
      </c>
      <c r="E25" s="2283"/>
      <c r="F25" s="2283"/>
      <c r="G25" s="2283"/>
      <c r="H25" s="2283"/>
      <c r="I25" s="2283"/>
      <c r="AA25" s="20"/>
      <c r="AC25" s="20">
        <v>23</v>
      </c>
      <c r="AD25" s="20" t="s">
        <v>192</v>
      </c>
      <c r="AE25" s="1042" t="s">
        <v>193</v>
      </c>
      <c r="AF25" s="20" t="s">
        <v>148</v>
      </c>
    </row>
    <row r="26" spans="1:32" ht="32.25" customHeight="1" x14ac:dyDescent="0.2">
      <c r="B26" s="793"/>
      <c r="C26" s="794"/>
      <c r="D26" s="2284" t="str">
        <f ca="1">IF($AB$8&gt;0,HLOOKUP(LangChoice,$AD$3:$AF$8,AC7,FALSE),"")</f>
        <v/>
      </c>
      <c r="E26" s="2284"/>
      <c r="F26" s="2284"/>
      <c r="G26" s="2284"/>
      <c r="H26" s="2284"/>
      <c r="I26" s="2284"/>
      <c r="AA26" s="20"/>
      <c r="AC26" s="20">
        <v>24</v>
      </c>
      <c r="AD26" s="20"/>
      <c r="AF26" s="20" t="s">
        <v>148</v>
      </c>
    </row>
    <row r="27" spans="1:32" ht="5.0999999999999996" customHeight="1" x14ac:dyDescent="0.2">
      <c r="D27" s="20"/>
      <c r="E27" s="20"/>
      <c r="AA27" s="20"/>
      <c r="AC27" s="20">
        <v>25</v>
      </c>
      <c r="AD27" s="20"/>
      <c r="AF27" s="20" t="s">
        <v>148</v>
      </c>
    </row>
    <row r="28" spans="1:32" ht="32.25" customHeight="1" x14ac:dyDescent="0.2">
      <c r="B28" s="1260" t="str">
        <f>HLOOKUP(LangChoice,$AD$3:$AF$30,AC24,FALSE)</f>
        <v>Statistical differences for following products:</v>
      </c>
      <c r="C28" s="795"/>
      <c r="D28" s="2279" t="str">
        <f>HLOOKUP(LangChoice,$AD$3:$AF$30,AC25,FALSE)</f>
        <v>Statistical difference / Total supply of the fuel</v>
      </c>
      <c r="E28" s="2279"/>
      <c r="F28" s="2279"/>
      <c r="G28" s="2279"/>
      <c r="AA28" s="20"/>
      <c r="AD28" s="20"/>
    </row>
    <row r="29" spans="1:32" s="20" customFormat="1" ht="12.75" customHeight="1" x14ac:dyDescent="0.2">
      <c r="A29" s="787">
        <f t="shared" ref="A29:A45" si="2">IF(AB46&lt;$AG$45+1,AB46,"")</f>
        <v>1</v>
      </c>
      <c r="B29" s="555" t="str">
        <f ca="1">IFERROR(INDIRECT(C29),"")</f>
        <v>Gasoline type jet fuel</v>
      </c>
      <c r="C29" s="20" t="str">
        <f t="shared" ref="C29:C45" si="3">IFERROR(INDEX($AC$46:$AC$108,MATCH(A29,$AI$46:$AI$108,0),1),"")</f>
        <v>JETGAS</v>
      </c>
      <c r="D29" s="1156">
        <f t="shared" ref="D29:D45" si="4">IFERROR(INDEX($AF$46:$AF$108,MATCH($A29,$AI$46:$AI$108,0),1),"")</f>
        <v>1.4312556675273815</v>
      </c>
    </row>
    <row r="30" spans="1:32" s="20" customFormat="1" ht="11.25" x14ac:dyDescent="0.2">
      <c r="A30" s="787">
        <f t="shared" si="2"/>
        <v>2</v>
      </c>
      <c r="B30" s="555" t="str">
        <f ca="1">IFERROR(INDIRECT(C30),"")</f>
        <v>Kerosene type jet fuel excl. biofuels</v>
      </c>
      <c r="C30" s="20" t="str">
        <f t="shared" si="3"/>
        <v>NONBIOJETK</v>
      </c>
      <c r="D30" s="1156">
        <f t="shared" si="4"/>
        <v>1</v>
      </c>
      <c r="L30" s="555"/>
      <c r="M30" s="555"/>
      <c r="N30" s="555"/>
      <c r="O30" s="555"/>
      <c r="P30" s="555"/>
      <c r="Q30" s="555"/>
      <c r="R30" s="555"/>
      <c r="S30" s="555"/>
      <c r="T30" s="555"/>
      <c r="U30" s="555"/>
    </row>
    <row r="31" spans="1:32" s="20" customFormat="1" ht="11.25" x14ac:dyDescent="0.2">
      <c r="A31" s="787">
        <f t="shared" si="2"/>
        <v>3</v>
      </c>
      <c r="B31" s="555" t="str">
        <f t="shared" ref="B31:B42" ca="1" si="5">IFERROR(INDIRECT(C31),"")</f>
        <v>Petroleum coke</v>
      </c>
      <c r="C31" s="20" t="str">
        <f t="shared" si="3"/>
        <v>PETCOKE</v>
      </c>
      <c r="D31" s="1156">
        <f t="shared" si="4"/>
        <v>1</v>
      </c>
      <c r="L31" s="555"/>
      <c r="M31" s="555"/>
      <c r="N31" s="555"/>
      <c r="O31" s="555"/>
      <c r="P31" s="555"/>
      <c r="Q31" s="555"/>
      <c r="R31" s="555"/>
      <c r="S31" s="555"/>
      <c r="T31" s="555"/>
      <c r="U31" s="555"/>
    </row>
    <row r="32" spans="1:32" s="20" customFormat="1" ht="11.25" x14ac:dyDescent="0.2">
      <c r="A32" s="787">
        <f t="shared" si="2"/>
        <v>4</v>
      </c>
      <c r="B32" s="555" t="str">
        <f t="shared" ca="1" si="5"/>
        <v>Biogases</v>
      </c>
      <c r="C32" s="20" t="str">
        <f t="shared" si="3"/>
        <v>BIOGASES</v>
      </c>
      <c r="D32" s="1156">
        <f t="shared" si="4"/>
        <v>1</v>
      </c>
      <c r="L32" s="555"/>
      <c r="M32" s="555"/>
      <c r="N32" s="555"/>
      <c r="O32" s="555"/>
      <c r="P32" s="555"/>
      <c r="Q32" s="555"/>
      <c r="R32" s="555"/>
      <c r="S32" s="555"/>
      <c r="T32" s="555"/>
      <c r="U32" s="555"/>
    </row>
    <row r="33" spans="1:35" s="20" customFormat="1" ht="11.25" x14ac:dyDescent="0.2">
      <c r="A33" s="787">
        <f t="shared" si="2"/>
        <v>5</v>
      </c>
      <c r="B33" s="555" t="str">
        <f t="shared" ca="1" si="5"/>
        <v>Hydro</v>
      </c>
      <c r="C33" s="20" t="str">
        <f t="shared" si="3"/>
        <v>HYDRO</v>
      </c>
      <c r="D33" s="1156">
        <f t="shared" si="4"/>
        <v>1</v>
      </c>
      <c r="L33" s="555"/>
      <c r="M33" s="555"/>
      <c r="N33" s="555"/>
      <c r="O33" s="555"/>
      <c r="P33" s="555"/>
      <c r="Q33" s="555"/>
      <c r="R33" s="555"/>
      <c r="S33" s="555"/>
      <c r="T33" s="555"/>
      <c r="U33" s="555"/>
    </row>
    <row r="34" spans="1:35" s="20" customFormat="1" ht="11.25" x14ac:dyDescent="0.2">
      <c r="A34" s="787">
        <f t="shared" si="2"/>
        <v>6</v>
      </c>
      <c r="B34" s="555" t="str">
        <f t="shared" ca="1" si="5"/>
        <v>Solar photovoltaic</v>
      </c>
      <c r="C34" s="20" t="str">
        <f t="shared" si="3"/>
        <v>SOLARPV</v>
      </c>
      <c r="D34" s="1156">
        <f t="shared" si="4"/>
        <v>1</v>
      </c>
      <c r="L34" s="555"/>
      <c r="M34" s="555"/>
      <c r="N34" s="555"/>
      <c r="O34" s="555"/>
      <c r="P34" s="555"/>
      <c r="Q34" s="555"/>
      <c r="R34" s="555"/>
      <c r="S34" s="555"/>
      <c r="T34" s="555"/>
      <c r="U34" s="555"/>
    </row>
    <row r="35" spans="1:35" s="20" customFormat="1" ht="11.25" x14ac:dyDescent="0.2">
      <c r="A35" s="787">
        <f t="shared" si="2"/>
        <v>7</v>
      </c>
      <c r="B35" s="555" t="str">
        <f t="shared" ca="1" si="5"/>
        <v>Wind</v>
      </c>
      <c r="C35" s="20" t="str">
        <f t="shared" si="3"/>
        <v>WIND</v>
      </c>
      <c r="D35" s="1156">
        <f t="shared" si="4"/>
        <v>1</v>
      </c>
      <c r="L35" s="555"/>
      <c r="M35" s="555"/>
      <c r="N35" s="555"/>
      <c r="O35" s="555"/>
      <c r="P35" s="555"/>
      <c r="Q35" s="555"/>
      <c r="R35" s="555"/>
      <c r="S35" s="555"/>
      <c r="T35" s="555"/>
      <c r="U35" s="555"/>
    </row>
    <row r="36" spans="1:35" s="20" customFormat="1" ht="11.25" x14ac:dyDescent="0.2">
      <c r="A36" s="787">
        <f t="shared" si="2"/>
        <v>8</v>
      </c>
      <c r="B36" s="555" t="str">
        <f t="shared" ca="1" si="5"/>
        <v>White spirit &amp; SBP</v>
      </c>
      <c r="C36" s="20" t="str">
        <f t="shared" si="3"/>
        <v>WHITESP</v>
      </c>
      <c r="D36" s="1156">
        <f t="shared" si="4"/>
        <v>0.99844978992051214</v>
      </c>
    </row>
    <row r="37" spans="1:35" s="20" customFormat="1" ht="11.25" x14ac:dyDescent="0.2">
      <c r="A37" s="787">
        <f t="shared" si="2"/>
        <v>9</v>
      </c>
      <c r="B37" s="555" t="str">
        <f t="shared" ca="1" si="5"/>
        <v>Non-specified oil products</v>
      </c>
      <c r="C37" s="20" t="str">
        <f t="shared" si="3"/>
        <v>ONONSPEC</v>
      </c>
      <c r="D37" s="1156">
        <f t="shared" si="4"/>
        <v>0.96926712102793622</v>
      </c>
    </row>
    <row r="38" spans="1:35" s="20" customFormat="1" ht="11.25" x14ac:dyDescent="0.2">
      <c r="A38" s="787">
        <f t="shared" si="2"/>
        <v>10</v>
      </c>
      <c r="B38" s="555" t="str">
        <f t="shared" ca="1" si="5"/>
        <v>Fuel oil</v>
      </c>
      <c r="C38" s="20" t="str">
        <f t="shared" si="3"/>
        <v>RESFUEL</v>
      </c>
      <c r="D38" s="1156">
        <f t="shared" si="4"/>
        <v>0.77645656989154133</v>
      </c>
    </row>
    <row r="39" spans="1:35" s="20" customFormat="1" ht="11.25" x14ac:dyDescent="0.2">
      <c r="A39" s="787">
        <f t="shared" si="2"/>
        <v>11</v>
      </c>
      <c r="B39" s="555" t="str">
        <f t="shared" ca="1" si="5"/>
        <v>Bitumen</v>
      </c>
      <c r="C39" s="20" t="str">
        <f t="shared" si="3"/>
        <v>BITUMEN</v>
      </c>
      <c r="D39" s="1156">
        <f t="shared" si="4"/>
        <v>0.76371000991569737</v>
      </c>
    </row>
    <row r="40" spans="1:35" s="20" customFormat="1" ht="11.25" x14ac:dyDescent="0.2">
      <c r="A40" s="787">
        <f t="shared" si="2"/>
        <v>12</v>
      </c>
      <c r="B40" s="555" t="str">
        <f t="shared" ca="1" si="5"/>
        <v>Other kerosene</v>
      </c>
      <c r="C40" s="20" t="str">
        <f t="shared" si="3"/>
        <v>OTHKERO</v>
      </c>
      <c r="D40" s="1156">
        <f t="shared" si="4"/>
        <v>0.55499235712161155</v>
      </c>
    </row>
    <row r="41" spans="1:35" s="20" customFormat="1" ht="11.25" x14ac:dyDescent="0.2">
      <c r="A41" s="787">
        <f t="shared" si="2"/>
        <v>13</v>
      </c>
      <c r="B41" s="555" t="str">
        <f t="shared" ca="1" si="5"/>
        <v>Liquefied petroleum gases (LPG)</v>
      </c>
      <c r="C41" s="20" t="str">
        <f t="shared" si="3"/>
        <v>LPG</v>
      </c>
      <c r="D41" s="1156">
        <f t="shared" si="4"/>
        <v>0.51333754670333054</v>
      </c>
      <c r="AB41" s="719" t="s">
        <v>194</v>
      </c>
      <c r="AC41" s="554"/>
      <c r="AD41" s="554"/>
      <c r="AE41" s="554"/>
      <c r="AF41" s="554"/>
      <c r="AG41" s="554"/>
      <c r="AH41" s="554"/>
      <c r="AI41" s="1194"/>
    </row>
    <row r="42" spans="1:35" s="20" customFormat="1" ht="11.25" x14ac:dyDescent="0.2">
      <c r="A42" s="787">
        <f t="shared" si="2"/>
        <v>14</v>
      </c>
      <c r="B42" s="555" t="str">
        <f t="shared" ca="1" si="5"/>
        <v>Lubricants</v>
      </c>
      <c r="C42" s="20" t="str">
        <f t="shared" si="3"/>
        <v>LUBRIC</v>
      </c>
      <c r="D42" s="1156">
        <f t="shared" si="4"/>
        <v>0.34063138933423254</v>
      </c>
      <c r="AB42" s="589"/>
      <c r="AG42" s="20" t="s">
        <v>195</v>
      </c>
      <c r="AI42" s="590"/>
    </row>
    <row r="43" spans="1:35" s="20" customFormat="1" ht="11.25" x14ac:dyDescent="0.2">
      <c r="A43" s="787">
        <f t="shared" si="2"/>
        <v>15</v>
      </c>
      <c r="B43" s="555" t="str">
        <f t="shared" ref="B43:B44" ca="1" si="6">IFERROR(INDIRECT(C43),"")</f>
        <v>Crude oil</v>
      </c>
      <c r="C43" s="20" t="str">
        <f t="shared" si="3"/>
        <v>CRUDEOIL</v>
      </c>
      <c r="D43" s="1156">
        <f t="shared" si="4"/>
        <v>0.20055627904791498</v>
      </c>
      <c r="AB43" s="589"/>
      <c r="AG43" s="1158">
        <v>4.99E-2</v>
      </c>
      <c r="AI43" s="590"/>
    </row>
    <row r="44" spans="1:35" s="20" customFormat="1" ht="11.25" x14ac:dyDescent="0.2">
      <c r="A44" s="787">
        <f t="shared" si="2"/>
        <v>16</v>
      </c>
      <c r="B44" s="555" t="str">
        <f t="shared" ca="1" si="6"/>
        <v>Gas/diesel oil excluding biofuels</v>
      </c>
      <c r="C44" s="20" t="str">
        <f t="shared" si="3"/>
        <v>NONBIODIES</v>
      </c>
      <c r="D44" s="1156">
        <f t="shared" si="4"/>
        <v>0.14762227844638079</v>
      </c>
      <c r="AB44" s="1170" t="s">
        <v>196</v>
      </c>
      <c r="AC44" s="592" t="s">
        <v>197</v>
      </c>
      <c r="AD44" s="592" t="s">
        <v>198</v>
      </c>
      <c r="AE44" s="592" t="s">
        <v>199</v>
      </c>
      <c r="AF44" s="592" t="s">
        <v>200</v>
      </c>
      <c r="AG44" s="592" t="s">
        <v>201</v>
      </c>
      <c r="AH44" s="592" t="s">
        <v>202</v>
      </c>
      <c r="AI44" s="776" t="s">
        <v>203</v>
      </c>
    </row>
    <row r="45" spans="1:35" s="20" customFormat="1" ht="11.25" x14ac:dyDescent="0.2">
      <c r="A45" s="787">
        <f t="shared" si="2"/>
        <v>17</v>
      </c>
      <c r="B45" s="1159" t="str">
        <f t="shared" ref="B45" ca="1" si="7">IFERROR(INDIRECT(C45),"")</f>
        <v>Paraffin waxes</v>
      </c>
      <c r="C45" s="794" t="str">
        <f t="shared" si="3"/>
        <v>PARWAX</v>
      </c>
      <c r="D45" s="1331">
        <f t="shared" si="4"/>
        <v>0.14195667327187581</v>
      </c>
      <c r="E45" s="794"/>
      <c r="F45" s="794"/>
      <c r="G45" s="794"/>
      <c r="AB45" s="589"/>
      <c r="AE45" s="262">
        <f>SUM(AE46:AE108)</f>
        <v>31723696.934382133</v>
      </c>
      <c r="AG45" s="1157">
        <f>COUNTIF(AG46:AG110,TRUE)</f>
        <v>19</v>
      </c>
      <c r="AI45" s="590"/>
    </row>
    <row r="46" spans="1:35" x14ac:dyDescent="0.2">
      <c r="AA46" s="20"/>
      <c r="AB46" s="589">
        <v>1</v>
      </c>
      <c r="AC46" s="555" t="str">
        <f t="array" ref="AC46:AC110">TRANSPOSE('For printing'!C4:BO4)</f>
        <v>ANTCOAL</v>
      </c>
      <c r="AD46" s="262">
        <f t="array" ref="AD46:AD110">TRANSPOSE('For printing'!C18:BO18)</f>
        <v>148.61899999999969</v>
      </c>
      <c r="AE46" s="262">
        <f t="array" ref="AE46:AE110">TRANSPOSE('For printing'!C16:BO16)</f>
        <v>2247.2240000000002</v>
      </c>
      <c r="AF46" s="670">
        <f t="shared" ref="AF46:AF77" si="8">IFERROR(ABS(AD46/AE46),"..")</f>
        <v>6.6134484145772596E-2</v>
      </c>
      <c r="AG46" s="20" t="b">
        <f t="shared" ref="AG46:AG77" si="9">IF(AND(ISTEXT($AF46)=FALSE,$AF46&gt;$AG$43),TRUE,FALSE)</f>
        <v>1</v>
      </c>
      <c r="AH46" s="555">
        <f t="shared" ref="AH46:AH77" si="10">IFERROR(RANK(AF46,$AF$46:$AF$108,0),"..")</f>
        <v>19</v>
      </c>
      <c r="AI46" s="1171">
        <f>IF(AND(COUNTIF($AH$46:AH46,$AH46)&gt;1,$AH46&lt;$AB$65),$AH46+COUNTIF($AH$46:AH46,$AH46)-1,$AH46)</f>
        <v>19</v>
      </c>
    </row>
    <row r="47" spans="1:35" x14ac:dyDescent="0.2">
      <c r="AA47" s="20"/>
      <c r="AB47" s="589">
        <v>2</v>
      </c>
      <c r="AC47" s="555" t="str">
        <v>COKCOAL</v>
      </c>
      <c r="AD47" s="262">
        <v>0</v>
      </c>
      <c r="AE47" s="262">
        <v>1030.819</v>
      </c>
      <c r="AF47" s="670">
        <f t="shared" si="8"/>
        <v>0</v>
      </c>
      <c r="AG47" s="20" t="b">
        <f t="shared" si="9"/>
        <v>0</v>
      </c>
      <c r="AH47" s="555">
        <f t="shared" si="10"/>
        <v>27</v>
      </c>
      <c r="AI47" s="1171">
        <f>IF(AND(COUNTIF($AH$46:AH47,$AH47)&gt;1,$AH47&lt;$AB$65),$AH47+COUNTIF($AH$46:AH47,$AH47)-1,$AH47)</f>
        <v>27</v>
      </c>
    </row>
    <row r="48" spans="1:35" x14ac:dyDescent="0.2">
      <c r="AA48" s="20"/>
      <c r="AB48" s="589">
        <v>3</v>
      </c>
      <c r="AC48" s="555" t="str">
        <v>BITCOAL</v>
      </c>
      <c r="AD48" s="262">
        <v>-24993.691999999981</v>
      </c>
      <c r="AE48" s="262">
        <v>182088.04199999999</v>
      </c>
      <c r="AF48" s="670">
        <f t="shared" si="8"/>
        <v>0.13726157811065914</v>
      </c>
      <c r="AG48" s="20" t="b">
        <f t="shared" si="9"/>
        <v>1</v>
      </c>
      <c r="AH48" s="555">
        <f t="shared" si="10"/>
        <v>18</v>
      </c>
      <c r="AI48" s="1171">
        <f>IF(AND(COUNTIF($AH$46:AH48,$AH48)&gt;1,$AH48&lt;$AB$65),$AH48+COUNTIF($AH$46:AH48,$AH48)-1,$AH48)</f>
        <v>18</v>
      </c>
    </row>
    <row r="49" spans="27:35" x14ac:dyDescent="0.2">
      <c r="AA49" s="20"/>
      <c r="AB49" s="589">
        <v>4</v>
      </c>
      <c r="AC49" s="555" t="str">
        <v>SUBCOAL</v>
      </c>
      <c r="AD49" s="262">
        <v>0</v>
      </c>
      <c r="AE49" s="262">
        <v>0</v>
      </c>
      <c r="AF49" s="670" t="str">
        <f t="shared" si="8"/>
        <v>..</v>
      </c>
      <c r="AG49" s="20" t="b">
        <f t="shared" si="9"/>
        <v>0</v>
      </c>
      <c r="AH49" s="555" t="str">
        <f t="shared" si="10"/>
        <v>..</v>
      </c>
      <c r="AI49" s="1171" t="str">
        <f>IF(AND(COUNTIF($AH$46:AH49,$AH49)&gt;1,$AH49&lt;$AB$65),$AH49+COUNTIF($AH$46:AH49,$AH49)-1,$AH49)</f>
        <v>..</v>
      </c>
    </row>
    <row r="50" spans="27:35" x14ac:dyDescent="0.2">
      <c r="AA50" s="20"/>
      <c r="AB50" s="589">
        <v>5</v>
      </c>
      <c r="AC50" s="555" t="str">
        <v>LIGNITE</v>
      </c>
      <c r="AD50" s="262">
        <v>0</v>
      </c>
      <c r="AE50" s="262">
        <v>0</v>
      </c>
      <c r="AF50" s="670" t="str">
        <f t="shared" si="8"/>
        <v>..</v>
      </c>
      <c r="AG50" s="20" t="b">
        <f t="shared" si="9"/>
        <v>0</v>
      </c>
      <c r="AH50" s="555" t="str">
        <f t="shared" si="10"/>
        <v>..</v>
      </c>
      <c r="AI50" s="1171" t="str">
        <f>IF(AND(COUNTIF($AH$46:AH50,$AH50)&gt;1,$AH50&lt;$AB$65),$AH50+COUNTIF($AH$46:AH50,$AH50)-1,$AH50)</f>
        <v>..</v>
      </c>
    </row>
    <row r="51" spans="27:35" x14ac:dyDescent="0.2">
      <c r="AA51" s="20"/>
      <c r="AB51" s="589">
        <v>6</v>
      </c>
      <c r="AC51" s="555" t="str">
        <v>PATFUEL</v>
      </c>
      <c r="AD51" s="262">
        <v>0</v>
      </c>
      <c r="AE51" s="262">
        <v>0</v>
      </c>
      <c r="AF51" s="670" t="str">
        <f t="shared" si="8"/>
        <v>..</v>
      </c>
      <c r="AG51" s="20" t="b">
        <f t="shared" si="9"/>
        <v>0</v>
      </c>
      <c r="AH51" s="555" t="str">
        <f t="shared" si="10"/>
        <v>..</v>
      </c>
      <c r="AI51" s="1171" t="str">
        <f>IF(AND(COUNTIF($AH$46:AH51,$AH51)&gt;1,$AH51&lt;$AB$65),$AH51+COUNTIF($AH$46:AH51,$AH51)-1,$AH51)</f>
        <v>..</v>
      </c>
    </row>
    <row r="52" spans="27:35" x14ac:dyDescent="0.2">
      <c r="AA52" s="20"/>
      <c r="AB52" s="589">
        <v>7</v>
      </c>
      <c r="AC52" s="555" t="str">
        <v>OVENCOKE</v>
      </c>
      <c r="AD52" s="262">
        <v>-24.993999999999915</v>
      </c>
      <c r="AE52" s="262">
        <v>1249.693</v>
      </c>
      <c r="AF52" s="670">
        <f t="shared" si="8"/>
        <v>2.0000112027513891E-2</v>
      </c>
      <c r="AG52" s="20" t="b">
        <f t="shared" si="9"/>
        <v>0</v>
      </c>
      <c r="AH52" s="555">
        <f t="shared" si="10"/>
        <v>20</v>
      </c>
      <c r="AI52" s="1171">
        <f>IF(AND(COUNTIF($AH$46:AH52,$AH52)&gt;1,$AH52&lt;$AB$65),$AH52+COUNTIF($AH$46:AH52,$AH52)-1,$AH52)</f>
        <v>20</v>
      </c>
    </row>
    <row r="53" spans="27:35" x14ac:dyDescent="0.2">
      <c r="AA53" s="20"/>
      <c r="AB53" s="589">
        <v>8</v>
      </c>
      <c r="AC53" s="555" t="str">
        <v>GASCOKE</v>
      </c>
      <c r="AD53" s="262">
        <v>0</v>
      </c>
      <c r="AE53" s="262">
        <v>0</v>
      </c>
      <c r="AF53" s="670" t="str">
        <f t="shared" si="8"/>
        <v>..</v>
      </c>
      <c r="AG53" s="20" t="b">
        <f t="shared" si="9"/>
        <v>0</v>
      </c>
      <c r="AH53" s="555" t="str">
        <f t="shared" si="10"/>
        <v>..</v>
      </c>
      <c r="AI53" s="1171" t="str">
        <f>IF(AND(COUNTIF($AH$46:AH53,$AH53)&gt;1,$AH53&lt;$AB$65),$AH53+COUNTIF($AH$46:AH53,$AH53)-1,$AH53)</f>
        <v>..</v>
      </c>
    </row>
    <row r="54" spans="27:35" x14ac:dyDescent="0.2">
      <c r="AA54" s="20"/>
      <c r="AB54" s="589">
        <v>9</v>
      </c>
      <c r="AC54" s="555" t="str">
        <v>COALTAR</v>
      </c>
      <c r="AD54" s="262">
        <v>0</v>
      </c>
      <c r="AE54" s="262">
        <v>0</v>
      </c>
      <c r="AF54" s="670" t="str">
        <f t="shared" si="8"/>
        <v>..</v>
      </c>
      <c r="AG54" s="20" t="b">
        <f t="shared" si="9"/>
        <v>0</v>
      </c>
      <c r="AH54" s="555" t="str">
        <f t="shared" si="10"/>
        <v>..</v>
      </c>
      <c r="AI54" s="1171" t="str">
        <f>IF(AND(COUNTIF($AH$46:AH54,$AH54)&gt;1,$AH54&lt;$AB$65),$AH54+COUNTIF($AH$46:AH54,$AH54)-1,$AH54)</f>
        <v>..</v>
      </c>
    </row>
    <row r="55" spans="27:35" x14ac:dyDescent="0.2">
      <c r="AA55" s="20"/>
      <c r="AB55" s="589">
        <v>10</v>
      </c>
      <c r="AC55" s="555" t="str">
        <v>BKB</v>
      </c>
      <c r="AD55" s="262">
        <v>0</v>
      </c>
      <c r="AE55" s="262">
        <v>0</v>
      </c>
      <c r="AF55" s="670" t="str">
        <f t="shared" si="8"/>
        <v>..</v>
      </c>
      <c r="AG55" s="20" t="b">
        <f t="shared" si="9"/>
        <v>0</v>
      </c>
      <c r="AH55" s="555" t="str">
        <f t="shared" si="10"/>
        <v>..</v>
      </c>
      <c r="AI55" s="1171" t="str">
        <f>IF(AND(COUNTIF($AH$46:AH55,$AH55)&gt;1,$AH55&lt;$AB$65),$AH55+COUNTIF($AH$46:AH55,$AH55)-1,$AH55)</f>
        <v>..</v>
      </c>
    </row>
    <row r="56" spans="27:35" x14ac:dyDescent="0.2">
      <c r="AA56" s="20"/>
      <c r="AB56" s="589">
        <v>11</v>
      </c>
      <c r="AC56" s="555" t="str">
        <v>GASWKSGS</v>
      </c>
      <c r="AD56" s="262">
        <v>0.47000000000116415</v>
      </c>
      <c r="AE56" s="262">
        <v>21791</v>
      </c>
      <c r="AF56" s="670">
        <f t="shared" si="8"/>
        <v>2.1568537469650963E-5</v>
      </c>
      <c r="AG56" s="20" t="b">
        <f t="shared" si="9"/>
        <v>0</v>
      </c>
      <c r="AH56" s="555">
        <f t="shared" si="10"/>
        <v>26</v>
      </c>
      <c r="AI56" s="1171">
        <f>IF(AND(COUNTIF($AH$46:AH56,$AH56)&gt;1,$AH56&lt;$AB$65),$AH56+COUNTIF($AH$46:AH56,$AH56)-1,$AH56)</f>
        <v>26</v>
      </c>
    </row>
    <row r="57" spans="27:35" x14ac:dyDescent="0.2">
      <c r="AA57" s="20"/>
      <c r="AB57" s="589">
        <v>12</v>
      </c>
      <c r="AC57" s="555" t="str">
        <v>COKEOVGS</v>
      </c>
      <c r="AD57" s="262">
        <v>0</v>
      </c>
      <c r="AE57" s="262">
        <v>5439</v>
      </c>
      <c r="AF57" s="670">
        <f t="shared" si="8"/>
        <v>0</v>
      </c>
      <c r="AG57" s="20" t="b">
        <f t="shared" si="9"/>
        <v>0</v>
      </c>
      <c r="AH57" s="555">
        <f t="shared" si="10"/>
        <v>27</v>
      </c>
      <c r="AI57" s="1171">
        <f>IF(AND(COUNTIF($AH$46:AH57,$AH57)&gt;1,$AH57&lt;$AB$65),$AH57+COUNTIF($AH$46:AH57,$AH57)-1,$AH57)</f>
        <v>27</v>
      </c>
    </row>
    <row r="58" spans="27:35" x14ac:dyDescent="0.2">
      <c r="AA58" s="20"/>
      <c r="AB58" s="589">
        <v>13</v>
      </c>
      <c r="AC58" s="555" t="str">
        <v>BLFURGS</v>
      </c>
      <c r="AD58" s="262">
        <v>0</v>
      </c>
      <c r="AE58" s="262">
        <v>11129</v>
      </c>
      <c r="AF58" s="670">
        <f t="shared" si="8"/>
        <v>0</v>
      </c>
      <c r="AG58" s="20" t="b">
        <f t="shared" si="9"/>
        <v>0</v>
      </c>
      <c r="AH58" s="555">
        <f t="shared" si="10"/>
        <v>27</v>
      </c>
      <c r="AI58" s="1171">
        <f>IF(AND(COUNTIF($AH$46:AH58,$AH58)&gt;1,$AH58&lt;$AB$65),$AH58+COUNTIF($AH$46:AH58,$AH58)-1,$AH58)</f>
        <v>27</v>
      </c>
    </row>
    <row r="59" spans="27:35" x14ac:dyDescent="0.2">
      <c r="AA59" s="20"/>
      <c r="AB59" s="589">
        <v>14</v>
      </c>
      <c r="AC59" s="555" t="str">
        <v>OGASES</v>
      </c>
      <c r="AD59" s="262">
        <v>0</v>
      </c>
      <c r="AE59" s="262">
        <v>0</v>
      </c>
      <c r="AF59" s="670" t="str">
        <f t="shared" si="8"/>
        <v>..</v>
      </c>
      <c r="AG59" s="20" t="b">
        <f t="shared" si="9"/>
        <v>0</v>
      </c>
      <c r="AH59" s="555" t="str">
        <f t="shared" si="10"/>
        <v>..</v>
      </c>
      <c r="AI59" s="1171" t="str">
        <f>IF(AND(COUNTIF($AH$46:AH59,$AH59)&gt;1,$AH59&lt;$AB$65),$AH59+COUNTIF($AH$46:AH59,$AH59)-1,$AH59)</f>
        <v>..</v>
      </c>
    </row>
    <row r="60" spans="27:35" x14ac:dyDescent="0.2">
      <c r="AA60" s="20"/>
      <c r="AB60" s="589">
        <v>15</v>
      </c>
      <c r="AC60" s="555" t="str">
        <v>MANGAS</v>
      </c>
      <c r="AD60" s="262">
        <v>0</v>
      </c>
      <c r="AE60" s="262">
        <v>0</v>
      </c>
      <c r="AF60" s="670" t="str">
        <f t="shared" si="8"/>
        <v>..</v>
      </c>
      <c r="AG60" s="20" t="b">
        <f t="shared" si="9"/>
        <v>0</v>
      </c>
      <c r="AH60" s="555" t="str">
        <f t="shared" si="10"/>
        <v>..</v>
      </c>
      <c r="AI60" s="1171" t="str">
        <f>IF(AND(COUNTIF($AH$46:AH60,$AH60)&gt;1,$AH60&lt;$AB$65),$AH60+COUNTIF($AH$46:AH60,$AH60)-1,$AH60)</f>
        <v>..</v>
      </c>
    </row>
    <row r="61" spans="27:35" x14ac:dyDescent="0.2">
      <c r="AA61" s="20"/>
      <c r="AB61" s="589">
        <v>16</v>
      </c>
      <c r="AC61" s="555" t="str">
        <v>PEAT</v>
      </c>
      <c r="AD61" s="262">
        <v>0</v>
      </c>
      <c r="AE61" s="262">
        <v>0</v>
      </c>
      <c r="AF61" s="670" t="str">
        <f t="shared" si="8"/>
        <v>..</v>
      </c>
      <c r="AG61" s="20" t="b">
        <f t="shared" si="9"/>
        <v>0</v>
      </c>
      <c r="AH61" s="555" t="str">
        <f t="shared" si="10"/>
        <v>..</v>
      </c>
      <c r="AI61" s="1171" t="str">
        <f>IF(AND(COUNTIF($AH$46:AH61,$AH61)&gt;1,$AH61&lt;$AB$65),$AH61+COUNTIF($AH$46:AH61,$AH61)-1,$AH61)</f>
        <v>..</v>
      </c>
    </row>
    <row r="62" spans="27:35" x14ac:dyDescent="0.2">
      <c r="AA62" s="20"/>
      <c r="AB62" s="589">
        <v>17</v>
      </c>
      <c r="AC62" s="555" t="str">
        <v>PEATPROD</v>
      </c>
      <c r="AD62" s="262">
        <v>0</v>
      </c>
      <c r="AE62" s="262">
        <v>0</v>
      </c>
      <c r="AF62" s="670" t="str">
        <f t="shared" si="8"/>
        <v>..</v>
      </c>
      <c r="AG62" s="20" t="b">
        <f t="shared" si="9"/>
        <v>0</v>
      </c>
      <c r="AH62" s="555" t="str">
        <f t="shared" si="10"/>
        <v>..</v>
      </c>
      <c r="AI62" s="1171" t="str">
        <f>IF(AND(COUNTIF($AH$46:AH62,$AH62)&gt;1,$AH62&lt;$AB$65),$AH62+COUNTIF($AH$46:AH62,$AH62)-1,$AH62)</f>
        <v>..</v>
      </c>
    </row>
    <row r="63" spans="27:35" x14ac:dyDescent="0.2">
      <c r="AA63" s="20"/>
      <c r="AB63" s="589">
        <v>18</v>
      </c>
      <c r="AC63" s="555" t="str">
        <v>OILSHALE</v>
      </c>
      <c r="AD63" s="262">
        <v>0</v>
      </c>
      <c r="AE63" s="262">
        <v>0</v>
      </c>
      <c r="AF63" s="670" t="str">
        <f t="shared" si="8"/>
        <v>..</v>
      </c>
      <c r="AG63" s="20" t="b">
        <f t="shared" si="9"/>
        <v>0</v>
      </c>
      <c r="AH63" s="555" t="str">
        <f t="shared" si="10"/>
        <v>..</v>
      </c>
      <c r="AI63" s="1171" t="str">
        <f>IF(AND(COUNTIF($AH$46:AH63,$AH63)&gt;1,$AH63&lt;$AB$65),$AH63+COUNTIF($AH$46:AH63,$AH63)-1,$AH63)</f>
        <v>..</v>
      </c>
    </row>
    <row r="64" spans="27:35" x14ac:dyDescent="0.2">
      <c r="AA64" s="20"/>
      <c r="AB64" s="589">
        <v>19</v>
      </c>
      <c r="AC64" s="555" t="str">
        <v>CRUDEOIL</v>
      </c>
      <c r="AD64" s="262">
        <v>-4786.4199999992561</v>
      </c>
      <c r="AE64" s="262">
        <v>23865.719999999255</v>
      </c>
      <c r="AF64" s="670">
        <f t="shared" si="8"/>
        <v>0.20055627904791498</v>
      </c>
      <c r="AG64" s="20" t="b">
        <f t="shared" si="9"/>
        <v>1</v>
      </c>
      <c r="AH64" s="555">
        <f t="shared" si="10"/>
        <v>15</v>
      </c>
      <c r="AI64" s="1171">
        <f>IF(AND(COUNTIF($AH$46:AH64,$AH64)&gt;1,$AH64&lt;$AB$65),$AH64+COUNTIF($AH$46:AH64,$AH64)-1,$AH64)</f>
        <v>15</v>
      </c>
    </row>
    <row r="65" spans="27:35" x14ac:dyDescent="0.2">
      <c r="AA65" s="20"/>
      <c r="AB65" s="589">
        <v>20</v>
      </c>
      <c r="AC65" s="555" t="str">
        <v>NGL</v>
      </c>
      <c r="AD65" s="262">
        <v>0</v>
      </c>
      <c r="AE65" s="262">
        <v>393.02</v>
      </c>
      <c r="AF65" s="670">
        <f t="shared" si="8"/>
        <v>0</v>
      </c>
      <c r="AG65" s="20" t="b">
        <f t="shared" si="9"/>
        <v>0</v>
      </c>
      <c r="AH65" s="555">
        <f t="shared" si="10"/>
        <v>27</v>
      </c>
      <c r="AI65" s="1171">
        <f>IF(AND(COUNTIF($AH$46:AH65,$AH65)&gt;1,$AH65&lt;$AB$65),$AH65+COUNTIF($AH$46:AH65,$AH65)-1,$AH65)</f>
        <v>27</v>
      </c>
    </row>
    <row r="66" spans="27:35" x14ac:dyDescent="0.2">
      <c r="AA66" s="20"/>
      <c r="AB66" s="589">
        <v>21</v>
      </c>
      <c r="AC66" s="555" t="str">
        <v>REFFEEDS</v>
      </c>
      <c r="AD66" s="262">
        <v>152</v>
      </c>
      <c r="AE66" s="262">
        <v>0</v>
      </c>
      <c r="AF66" s="670" t="str">
        <f t="shared" si="8"/>
        <v>..</v>
      </c>
      <c r="AG66" s="20" t="b">
        <f t="shared" si="9"/>
        <v>0</v>
      </c>
      <c r="AH66" s="555" t="str">
        <f t="shared" si="10"/>
        <v>..</v>
      </c>
      <c r="AI66" s="1171" t="str">
        <f>IF(AND(COUNTIF($AH$46:AH66,$AH66)&gt;1,$AH66&lt;$AB$65),$AH66+COUNTIF($AH$46:AH66,$AH66)-1,$AH66)</f>
        <v>..</v>
      </c>
    </row>
    <row r="67" spans="27:35" x14ac:dyDescent="0.2">
      <c r="AA67" s="20"/>
      <c r="AB67" s="589">
        <v>22</v>
      </c>
      <c r="AC67" s="555" t="str">
        <v>ADDITIVE</v>
      </c>
      <c r="AD67" s="262">
        <v>0</v>
      </c>
      <c r="AE67" s="262">
        <v>0</v>
      </c>
      <c r="AF67" s="670" t="str">
        <f t="shared" si="8"/>
        <v>..</v>
      </c>
      <c r="AG67" s="20" t="b">
        <f t="shared" si="9"/>
        <v>0</v>
      </c>
      <c r="AH67" s="555" t="str">
        <f t="shared" si="10"/>
        <v>..</v>
      </c>
      <c r="AI67" s="1171" t="str">
        <f>IF(AND(COUNTIF($AH$46:AH67,$AH67)&gt;1,$AH67&lt;$AB$65),$AH67+COUNTIF($AH$46:AH67,$AH67)-1,$AH67)</f>
        <v>..</v>
      </c>
    </row>
    <row r="68" spans="27:35" x14ac:dyDescent="0.2">
      <c r="AA68" s="20"/>
      <c r="AB68" s="589">
        <v>23</v>
      </c>
      <c r="AC68" s="555" t="str">
        <v>NONCRUDE</v>
      </c>
      <c r="AD68" s="262">
        <v>0</v>
      </c>
      <c r="AE68" s="262">
        <v>5024.87</v>
      </c>
      <c r="AF68" s="670">
        <f t="shared" si="8"/>
        <v>0</v>
      </c>
      <c r="AG68" s="20" t="b">
        <f t="shared" si="9"/>
        <v>0</v>
      </c>
      <c r="AH68" s="555">
        <f t="shared" si="10"/>
        <v>27</v>
      </c>
      <c r="AI68" s="1171">
        <f>IF(AND(COUNTIF($AH$46:AH68,$AH68)&gt;1,$AH68&lt;$AB$65),$AH68+COUNTIF($AH$46:AH68,$AH68)-1,$AH68)</f>
        <v>27</v>
      </c>
    </row>
    <row r="69" spans="27:35" x14ac:dyDescent="0.2">
      <c r="AA69" s="20"/>
      <c r="AB69" s="589">
        <v>24</v>
      </c>
      <c r="AC69" s="555" t="str">
        <v>REFINGAS</v>
      </c>
      <c r="AD69" s="262">
        <v>0</v>
      </c>
      <c r="AE69" s="262">
        <v>270.18732421875001</v>
      </c>
      <c r="AF69" s="670">
        <f t="shared" si="8"/>
        <v>0</v>
      </c>
      <c r="AG69" s="20" t="b">
        <f t="shared" si="9"/>
        <v>0</v>
      </c>
      <c r="AH69" s="555">
        <f t="shared" si="10"/>
        <v>27</v>
      </c>
      <c r="AI69" s="1171">
        <f>IF(AND(COUNTIF($AH$46:AH69,$AH69)&gt;1,$AH69&lt;$AB$65),$AH69+COUNTIF($AH$46:AH69,$AH69)-1,$AH69)</f>
        <v>27</v>
      </c>
    </row>
    <row r="70" spans="27:35" x14ac:dyDescent="0.2">
      <c r="AA70" s="20"/>
      <c r="AB70" s="589">
        <v>25</v>
      </c>
      <c r="AC70" s="555" t="str">
        <v>ETHANE</v>
      </c>
      <c r="AD70" s="262">
        <v>0</v>
      </c>
      <c r="AE70" s="262">
        <v>0</v>
      </c>
      <c r="AF70" s="670" t="str">
        <f t="shared" si="8"/>
        <v>..</v>
      </c>
      <c r="AG70" s="20" t="b">
        <f t="shared" si="9"/>
        <v>0</v>
      </c>
      <c r="AH70" s="555" t="str">
        <f t="shared" si="10"/>
        <v>..</v>
      </c>
      <c r="AI70" s="1171" t="str">
        <f>IF(AND(COUNTIF($AH$46:AH70,$AH70)&gt;1,$AH70&lt;$AB$65),$AH70+COUNTIF($AH$46:AH70,$AH70)-1,$AH70)</f>
        <v>..</v>
      </c>
    </row>
    <row r="71" spans="27:35" x14ac:dyDescent="0.2">
      <c r="AA71" s="20"/>
      <c r="AB71" s="589">
        <v>26</v>
      </c>
      <c r="AC71" s="555" t="str">
        <v>LPG</v>
      </c>
      <c r="AD71" s="262">
        <v>-364425.98943260737</v>
      </c>
      <c r="AE71" s="262">
        <v>709914.93174999999</v>
      </c>
      <c r="AF71" s="670">
        <f t="shared" si="8"/>
        <v>0.51333754670333054</v>
      </c>
      <c r="AG71" s="20" t="b">
        <f t="shared" si="9"/>
        <v>1</v>
      </c>
      <c r="AH71" s="555">
        <f t="shared" si="10"/>
        <v>13</v>
      </c>
      <c r="AI71" s="1171">
        <f>IF(AND(COUNTIF($AH$46:AH71,$AH71)&gt;1,$AH71&lt;$AB$65),$AH71+COUNTIF($AH$46:AH71,$AH71)-1,$AH71)</f>
        <v>13</v>
      </c>
    </row>
    <row r="72" spans="27:35" x14ac:dyDescent="0.2">
      <c r="AA72" s="20"/>
      <c r="AB72" s="589">
        <v>27</v>
      </c>
      <c r="AC72" s="555" t="str">
        <v>NONBIOGASO</v>
      </c>
      <c r="AD72" s="262">
        <v>123591.48688755743</v>
      </c>
      <c r="AE72" s="262">
        <v>11281064.70834</v>
      </c>
      <c r="AF72" s="670">
        <f t="shared" si="8"/>
        <v>1.0955658005949317E-2</v>
      </c>
      <c r="AG72" s="20" t="b">
        <f t="shared" si="9"/>
        <v>0</v>
      </c>
      <c r="AH72" s="555">
        <f t="shared" si="10"/>
        <v>22</v>
      </c>
      <c r="AI72" s="1171">
        <f>IF(AND(COUNTIF($AH$46:AH72,$AH72)&gt;1,$AH72&lt;$AB$65),$AH72+COUNTIF($AH$46:AH72,$AH72)-1,$AH72)</f>
        <v>22</v>
      </c>
    </row>
    <row r="73" spans="27:35" x14ac:dyDescent="0.2">
      <c r="AA73" s="20"/>
      <c r="AB73" s="589">
        <v>28</v>
      </c>
      <c r="AC73" s="555" t="str">
        <v>AVGAS</v>
      </c>
      <c r="AD73" s="262">
        <v>-8496.9748906249879</v>
      </c>
      <c r="AE73" s="262">
        <v>659270.72489062499</v>
      </c>
      <c r="AF73" s="670">
        <f t="shared" si="8"/>
        <v>1.288844562608883E-2</v>
      </c>
      <c r="AG73" s="20" t="b">
        <f t="shared" si="9"/>
        <v>0</v>
      </c>
      <c r="AH73" s="555">
        <f t="shared" si="10"/>
        <v>21</v>
      </c>
      <c r="AI73" s="1171">
        <f>IF(AND(COUNTIF($AH$46:AH73,$AH73)&gt;1,$AH73&lt;$AB$65),$AH73+COUNTIF($AH$46:AH73,$AH73)-1,$AH73)</f>
        <v>21</v>
      </c>
    </row>
    <row r="74" spans="27:35" x14ac:dyDescent="0.2">
      <c r="AA74" s="20"/>
      <c r="AB74" s="589">
        <v>29</v>
      </c>
      <c r="AC74" s="555" t="str">
        <v>JETGAS</v>
      </c>
      <c r="AD74" s="262">
        <v>1218515.9893078064</v>
      </c>
      <c r="AE74" s="262">
        <v>851361.51209999993</v>
      </c>
      <c r="AF74" s="670">
        <f t="shared" si="8"/>
        <v>1.4312556675273815</v>
      </c>
      <c r="AG74" s="20" t="b">
        <f t="shared" si="9"/>
        <v>1</v>
      </c>
      <c r="AH74" s="555">
        <f t="shared" si="10"/>
        <v>1</v>
      </c>
      <c r="AI74" s="1171">
        <f>IF(AND(COUNTIF($AH$46:AH74,$AH74)&gt;1,$AH74&lt;$AB$65),$AH74+COUNTIF($AH$46:AH74,$AH74)-1,$AH74)</f>
        <v>1</v>
      </c>
    </row>
    <row r="75" spans="27:35" x14ac:dyDescent="0.2">
      <c r="AA75" s="20"/>
      <c r="AB75" s="589">
        <v>30</v>
      </c>
      <c r="AC75" s="555" t="str">
        <v>NONBIOJETK</v>
      </c>
      <c r="AD75" s="262">
        <v>-1242861.3962599998</v>
      </c>
      <c r="AE75" s="262">
        <v>1242861.3962599998</v>
      </c>
      <c r="AF75" s="670">
        <f t="shared" si="8"/>
        <v>1</v>
      </c>
      <c r="AG75" s="20" t="b">
        <f t="shared" si="9"/>
        <v>1</v>
      </c>
      <c r="AH75" s="555">
        <f t="shared" si="10"/>
        <v>2</v>
      </c>
      <c r="AI75" s="1171">
        <f>IF(AND(COUNTIF($AH$46:AH75,$AH75)&gt;1,$AH75&lt;$AB$65),$AH75+COUNTIF($AH$46:AH75,$AH75)-1,$AH75)</f>
        <v>2</v>
      </c>
    </row>
    <row r="76" spans="27:35" x14ac:dyDescent="0.2">
      <c r="AA76" s="20"/>
      <c r="AB76" s="589">
        <v>31</v>
      </c>
      <c r="AC76" s="555" t="str">
        <v>OTHKERO</v>
      </c>
      <c r="AD76" s="262">
        <v>232438.66847312124</v>
      </c>
      <c r="AE76" s="262">
        <v>418814.17913326074</v>
      </c>
      <c r="AF76" s="670">
        <f t="shared" si="8"/>
        <v>0.55499235712161155</v>
      </c>
      <c r="AG76" s="20" t="b">
        <f t="shared" si="9"/>
        <v>1</v>
      </c>
      <c r="AH76" s="555">
        <f t="shared" si="10"/>
        <v>12</v>
      </c>
      <c r="AI76" s="1171">
        <f>IF(AND(COUNTIF($AH$46:AH76,$AH76)&gt;1,$AH76&lt;$AB$65),$AH76+COUNTIF($AH$46:AH76,$AH76)-1,$AH76)</f>
        <v>12</v>
      </c>
    </row>
    <row r="77" spans="27:35" x14ac:dyDescent="0.2">
      <c r="AA77" s="20"/>
      <c r="AB77" s="589">
        <v>32</v>
      </c>
      <c r="AC77" s="555" t="str">
        <v>NONBIODIES</v>
      </c>
      <c r="AD77" s="262">
        <v>1812412.3951653894</v>
      </c>
      <c r="AE77" s="262">
        <v>12277363.6489</v>
      </c>
      <c r="AF77" s="670">
        <f t="shared" si="8"/>
        <v>0.14762227844638079</v>
      </c>
      <c r="AG77" s="20" t="b">
        <f t="shared" si="9"/>
        <v>1</v>
      </c>
      <c r="AH77" s="555">
        <f t="shared" si="10"/>
        <v>16</v>
      </c>
      <c r="AI77" s="1171">
        <f>IF(AND(COUNTIF($AH$46:AH77,$AH77)&gt;1,$AH77&lt;$AB$65),$AH77+COUNTIF($AH$46:AH77,$AH77)-1,$AH77)</f>
        <v>16</v>
      </c>
    </row>
    <row r="78" spans="27:35" x14ac:dyDescent="0.2">
      <c r="AA78" s="20"/>
      <c r="AB78" s="589">
        <v>33</v>
      </c>
      <c r="AC78" s="555" t="str">
        <v>RESFUEL</v>
      </c>
      <c r="AD78" s="262">
        <v>-2183199.1675662645</v>
      </c>
      <c r="AE78" s="262">
        <v>2811746.6606937498</v>
      </c>
      <c r="AF78" s="670">
        <f t="shared" ref="AF78:AF108" si="11">IFERROR(ABS(AD78/AE78),"..")</f>
        <v>0.77645656989154133</v>
      </c>
      <c r="AG78" s="20" t="b">
        <f t="shared" ref="AG78:AG110" si="12">IF(AND(ISTEXT($AF78)=FALSE,$AF78&gt;$AG$43),TRUE,FALSE)</f>
        <v>1</v>
      </c>
      <c r="AH78" s="555">
        <f t="shared" ref="AH78:AH110" si="13">IFERROR(RANK(AF78,$AF$46:$AF$108,0),"..")</f>
        <v>10</v>
      </c>
      <c r="AI78" s="1171">
        <f>IF(AND(COUNTIF($AH$46:AH78,$AH78)&gt;1,$AH78&lt;$AB$65),$AH78+COUNTIF($AH$46:AH78,$AH78)-1,$AH78)</f>
        <v>10</v>
      </c>
    </row>
    <row r="79" spans="27:35" x14ac:dyDescent="0.2">
      <c r="AA79" s="20"/>
      <c r="AB79" s="589">
        <v>34</v>
      </c>
      <c r="AC79" s="555" t="str">
        <v>NAPHTHA</v>
      </c>
      <c r="AD79" s="262">
        <v>-2642.5890019999933</v>
      </c>
      <c r="AE79" s="262">
        <v>300958.661502</v>
      </c>
      <c r="AF79" s="670">
        <f t="shared" si="11"/>
        <v>8.78057135425701E-3</v>
      </c>
      <c r="AG79" s="20" t="b">
        <f t="shared" si="12"/>
        <v>0</v>
      </c>
      <c r="AH79" s="555">
        <f t="shared" si="13"/>
        <v>23</v>
      </c>
      <c r="AI79" s="1171">
        <f>IF(AND(COUNTIF($AH$46:AH79,$AH79)&gt;1,$AH79&lt;$AB$65),$AH79+COUNTIF($AH$46:AH79,$AH79)-1,$AH79)</f>
        <v>23</v>
      </c>
    </row>
    <row r="80" spans="27:35" x14ac:dyDescent="0.2">
      <c r="AA80" s="20"/>
      <c r="AB80" s="589">
        <v>35</v>
      </c>
      <c r="AC80" s="555" t="str">
        <v>WHITESP</v>
      </c>
      <c r="AD80" s="262">
        <v>-55190.223631220702</v>
      </c>
      <c r="AE80" s="262">
        <v>55275.912908564453</v>
      </c>
      <c r="AF80" s="670">
        <f t="shared" si="11"/>
        <v>0.99844978992051214</v>
      </c>
      <c r="AG80" s="20" t="b">
        <f t="shared" si="12"/>
        <v>1</v>
      </c>
      <c r="AH80" s="555">
        <f t="shared" si="13"/>
        <v>8</v>
      </c>
      <c r="AI80" s="1171">
        <f>IF(AND(COUNTIF($AH$46:AH80,$AH80)&gt;1,$AH80&lt;$AB$65),$AH80+COUNTIF($AH$46:AH80,$AH80)-1,$AH80)</f>
        <v>8</v>
      </c>
    </row>
    <row r="81" spans="27:35" x14ac:dyDescent="0.2">
      <c r="AA81" s="20"/>
      <c r="AB81" s="589">
        <v>36</v>
      </c>
      <c r="AC81" s="555" t="str">
        <v>LUBRIC</v>
      </c>
      <c r="AD81" s="262">
        <v>-164.89888234329226</v>
      </c>
      <c r="AE81" s="262">
        <v>484.09772999954225</v>
      </c>
      <c r="AF81" s="670">
        <f t="shared" si="11"/>
        <v>0.34063138933423254</v>
      </c>
      <c r="AG81" s="20" t="b">
        <f t="shared" si="12"/>
        <v>1</v>
      </c>
      <c r="AH81" s="555">
        <f t="shared" si="13"/>
        <v>14</v>
      </c>
      <c r="AI81" s="1171">
        <f>IF(AND(COUNTIF($AH$46:AH81,$AH81)&gt;1,$AH81&lt;$AB$65),$AH81+COUNTIF($AH$46:AH81,$AH81)-1,$AH81)</f>
        <v>14</v>
      </c>
    </row>
    <row r="82" spans="27:35" x14ac:dyDescent="0.2">
      <c r="AA82" s="20"/>
      <c r="AB82" s="589">
        <v>37</v>
      </c>
      <c r="AC82" s="555" t="str">
        <v>BITUMEN</v>
      </c>
      <c r="AD82" s="262">
        <v>269.69084035110478</v>
      </c>
      <c r="AE82" s="262">
        <v>353.13252000045776</v>
      </c>
      <c r="AF82" s="670">
        <f t="shared" si="11"/>
        <v>0.76371000991569737</v>
      </c>
      <c r="AG82" s="20" t="b">
        <f t="shared" si="12"/>
        <v>1</v>
      </c>
      <c r="AH82" s="555">
        <f t="shared" si="13"/>
        <v>11</v>
      </c>
      <c r="AI82" s="1171">
        <f>IF(AND(COUNTIF($AH$46:AH82,$AH82)&gt;1,$AH82&lt;$AB$65),$AH82+COUNTIF($AH$46:AH82,$AH82)-1,$AH82)</f>
        <v>11</v>
      </c>
    </row>
    <row r="83" spans="27:35" x14ac:dyDescent="0.2">
      <c r="AB83" s="589">
        <v>38</v>
      </c>
      <c r="AC83" s="555" t="str">
        <v>PARWAX</v>
      </c>
      <c r="AD83" s="262">
        <v>41.89902528953553</v>
      </c>
      <c r="AE83" s="262">
        <v>295.15361499977109</v>
      </c>
      <c r="AF83" s="670">
        <f t="shared" si="11"/>
        <v>0.14195667327187581</v>
      </c>
      <c r="AG83" s="20" t="b">
        <f t="shared" si="12"/>
        <v>1</v>
      </c>
      <c r="AH83" s="555">
        <f t="shared" si="13"/>
        <v>17</v>
      </c>
      <c r="AI83" s="1171">
        <f>IF(AND(COUNTIF($AH$46:AH83,$AH83)&gt;1,$AH83&lt;$AB$65),$AH83+COUNTIF($AH$46:AH83,$AH83)-1,$AH83)</f>
        <v>17</v>
      </c>
    </row>
    <row r="84" spans="27:35" x14ac:dyDescent="0.2">
      <c r="AB84" s="589">
        <v>39</v>
      </c>
      <c r="AC84" s="555" t="str">
        <v>PETCOKE</v>
      </c>
      <c r="AD84" s="262">
        <v>-48.11115000975132</v>
      </c>
      <c r="AE84" s="262">
        <v>48.11115000975132</v>
      </c>
      <c r="AF84" s="670">
        <f t="shared" si="11"/>
        <v>1</v>
      </c>
      <c r="AG84" s="20" t="b">
        <f t="shared" si="12"/>
        <v>1</v>
      </c>
      <c r="AH84" s="555">
        <f t="shared" si="13"/>
        <v>2</v>
      </c>
      <c r="AI84" s="1171">
        <f>IF(AND(COUNTIF($AH$46:AH84,$AH84)&gt;1,$AH84&lt;$AB$65),$AH84+COUNTIF($AH$46:AH84,$AH84)-1,$AH84)</f>
        <v>3</v>
      </c>
    </row>
    <row r="85" spans="27:35" x14ac:dyDescent="0.2">
      <c r="AB85" s="589">
        <v>40</v>
      </c>
      <c r="AC85" s="555" t="str">
        <v>ONONSPEC</v>
      </c>
      <c r="AD85" s="262">
        <v>-848.64182781600948</v>
      </c>
      <c r="AE85" s="262">
        <v>875.55</v>
      </c>
      <c r="AF85" s="670">
        <f t="shared" si="11"/>
        <v>0.96926712102793622</v>
      </c>
      <c r="AG85" s="20" t="b">
        <f t="shared" si="12"/>
        <v>1</v>
      </c>
      <c r="AH85" s="555">
        <f t="shared" si="13"/>
        <v>9</v>
      </c>
      <c r="AI85" s="1171">
        <f>IF(AND(COUNTIF($AH$46:AH85,$AH85)&gt;1,$AH85&lt;$AB$65),$AH85+COUNTIF($AH$46:AH85,$AH85)-1,$AH85)</f>
        <v>9</v>
      </c>
    </row>
    <row r="86" spans="27:35" x14ac:dyDescent="0.2">
      <c r="AB86" s="589">
        <v>41</v>
      </c>
      <c r="AC86" s="555" t="str">
        <v>NATGAS</v>
      </c>
      <c r="AD86" s="262">
        <v>-861.90194702148438</v>
      </c>
      <c r="AE86" s="262">
        <v>153088.59756469727</v>
      </c>
      <c r="AF86" s="670">
        <f t="shared" si="11"/>
        <v>5.6300858504973452E-3</v>
      </c>
      <c r="AG86" s="20" t="b">
        <f t="shared" si="12"/>
        <v>0</v>
      </c>
      <c r="AH86" s="555">
        <f t="shared" si="13"/>
        <v>24</v>
      </c>
      <c r="AI86" s="1171">
        <f>IF(AND(COUNTIF($AH$46:AH86,$AH86)&gt;1,$AH86&lt;$AB$65),$AH86+COUNTIF($AH$46:AH86,$AH86)-1,$AH86)</f>
        <v>24</v>
      </c>
    </row>
    <row r="87" spans="27:35" x14ac:dyDescent="0.2">
      <c r="AB87" s="589">
        <v>42</v>
      </c>
      <c r="AC87" s="555" t="str">
        <v>INDWASTE</v>
      </c>
      <c r="AD87" s="262">
        <v>0</v>
      </c>
      <c r="AE87" s="262">
        <v>0</v>
      </c>
      <c r="AF87" s="670" t="str">
        <f t="shared" si="11"/>
        <v>..</v>
      </c>
      <c r="AG87" s="20" t="b">
        <f t="shared" si="12"/>
        <v>0</v>
      </c>
      <c r="AH87" s="555" t="str">
        <f t="shared" si="13"/>
        <v>..</v>
      </c>
      <c r="AI87" s="1171" t="str">
        <f>IF(AND(COUNTIF($AH$46:AH87,$AH87)&gt;1,$AH87&lt;$AB$65),$AH87+COUNTIF($AH$46:AH87,$AH87)-1,$AH87)</f>
        <v>..</v>
      </c>
    </row>
    <row r="88" spans="27:35" x14ac:dyDescent="0.2">
      <c r="AB88" s="589">
        <v>43</v>
      </c>
      <c r="AC88" s="555" t="str">
        <v>MUNWASTER</v>
      </c>
      <c r="AD88" s="262">
        <v>0</v>
      </c>
      <c r="AE88" s="262">
        <v>0</v>
      </c>
      <c r="AF88" s="670" t="str">
        <f t="shared" si="11"/>
        <v>..</v>
      </c>
      <c r="AG88" s="20" t="b">
        <f t="shared" si="12"/>
        <v>0</v>
      </c>
      <c r="AH88" s="555" t="str">
        <f t="shared" si="13"/>
        <v>..</v>
      </c>
      <c r="AI88" s="1171" t="str">
        <f>IF(AND(COUNTIF($AH$46:AH88,$AH88)&gt;1,$AH88&lt;$AB$65),$AH88+COUNTIF($AH$46:AH88,$AH88)-1,$AH88)</f>
        <v>..</v>
      </c>
    </row>
    <row r="89" spans="27:35" x14ac:dyDescent="0.2">
      <c r="AB89" s="589">
        <v>44</v>
      </c>
      <c r="AC89" s="555" t="str">
        <v>MUNWASTEN</v>
      </c>
      <c r="AD89" s="262">
        <v>0</v>
      </c>
      <c r="AE89" s="262">
        <v>0</v>
      </c>
      <c r="AF89" s="670" t="str">
        <f t="shared" si="11"/>
        <v>..</v>
      </c>
      <c r="AG89" s="20" t="b">
        <f t="shared" si="12"/>
        <v>0</v>
      </c>
      <c r="AH89" s="555" t="str">
        <f t="shared" si="13"/>
        <v>..</v>
      </c>
      <c r="AI89" s="1171" t="str">
        <f>IF(AND(COUNTIF($AH$46:AH89,$AH89)&gt;1,$AH89&lt;$AB$65),$AH89+COUNTIF($AH$46:AH89,$AH89)-1,$AH89)</f>
        <v>..</v>
      </c>
    </row>
    <row r="90" spans="27:35" x14ac:dyDescent="0.2">
      <c r="AB90" s="589">
        <v>45</v>
      </c>
      <c r="AC90" s="555" t="str">
        <v>PRIMSBIO</v>
      </c>
      <c r="AD90" s="262">
        <v>-505.51999999990221</v>
      </c>
      <c r="AE90" s="262">
        <v>651724.68999999994</v>
      </c>
      <c r="AF90" s="670">
        <f t="shared" si="11"/>
        <v>7.7566495140747582E-4</v>
      </c>
      <c r="AG90" s="20" t="b">
        <f t="shared" si="12"/>
        <v>0</v>
      </c>
      <c r="AH90" s="555">
        <f t="shared" si="13"/>
        <v>25</v>
      </c>
      <c r="AI90" s="1171">
        <f>IF(AND(COUNTIF($AH$46:AH90,$AH90)&gt;1,$AH90&lt;$AB$65),$AH90+COUNTIF($AH$46:AH90,$AH90)-1,$AH90)</f>
        <v>25</v>
      </c>
    </row>
    <row r="91" spans="27:35" x14ac:dyDescent="0.2">
      <c r="AB91" s="589">
        <v>46</v>
      </c>
      <c r="AC91" s="555" t="str">
        <v>BIOGASES</v>
      </c>
      <c r="AD91" s="262">
        <v>-6.03</v>
      </c>
      <c r="AE91" s="262">
        <v>6.03</v>
      </c>
      <c r="AF91" s="670">
        <f t="shared" si="11"/>
        <v>1</v>
      </c>
      <c r="AG91" s="20" t="b">
        <f t="shared" si="12"/>
        <v>1</v>
      </c>
      <c r="AH91" s="555">
        <f t="shared" si="13"/>
        <v>2</v>
      </c>
      <c r="AI91" s="1171">
        <f>IF(AND(COUNTIF($AH$46:AH91,$AH91)&gt;1,$AH91&lt;$AB$65),$AH91+COUNTIF($AH$46:AH91,$AH91)-1,$AH91)</f>
        <v>4</v>
      </c>
    </row>
    <row r="92" spans="27:35" x14ac:dyDescent="0.2">
      <c r="AB92" s="589">
        <v>47</v>
      </c>
      <c r="AC92" s="555" t="str">
        <v>BIOGASOL</v>
      </c>
      <c r="AD92" s="262">
        <v>0</v>
      </c>
      <c r="AE92" s="262">
        <v>0</v>
      </c>
      <c r="AF92" s="670" t="str">
        <f t="shared" si="11"/>
        <v>..</v>
      </c>
      <c r="AG92" s="20" t="b">
        <f t="shared" si="12"/>
        <v>0</v>
      </c>
      <c r="AH92" s="555" t="str">
        <f t="shared" si="13"/>
        <v>..</v>
      </c>
      <c r="AI92" s="1171" t="str">
        <f>IF(AND(COUNTIF($AH$46:AH92,$AH92)&gt;1,$AH92&lt;$AB$65),$AH92+COUNTIF($AH$46:AH92,$AH92)-1,$AH92)</f>
        <v>..</v>
      </c>
    </row>
    <row r="93" spans="27:35" x14ac:dyDescent="0.2">
      <c r="AB93" s="589">
        <v>48</v>
      </c>
      <c r="AC93" s="555" t="str">
        <v>BIOJETKERO</v>
      </c>
      <c r="AD93" s="262">
        <v>0</v>
      </c>
      <c r="AE93" s="262">
        <v>0</v>
      </c>
      <c r="AF93" s="670" t="str">
        <f t="shared" si="11"/>
        <v>..</v>
      </c>
      <c r="AG93" s="20" t="b">
        <f t="shared" si="12"/>
        <v>0</v>
      </c>
      <c r="AH93" s="555" t="str">
        <f t="shared" si="13"/>
        <v>..</v>
      </c>
      <c r="AI93" s="1171" t="str">
        <f>IF(AND(COUNTIF($AH$46:AH93,$AH93)&gt;1,$AH93&lt;$AB$65),$AH93+COUNTIF($AH$46:AH93,$AH93)-1,$AH93)</f>
        <v>..</v>
      </c>
    </row>
    <row r="94" spans="27:35" x14ac:dyDescent="0.2">
      <c r="AB94" s="589">
        <v>49</v>
      </c>
      <c r="AC94" s="555" t="str">
        <v>BIODIESEL</v>
      </c>
      <c r="AD94" s="262">
        <v>0</v>
      </c>
      <c r="AE94" s="262">
        <v>0</v>
      </c>
      <c r="AF94" s="670" t="str">
        <f t="shared" si="11"/>
        <v>..</v>
      </c>
      <c r="AG94" s="20" t="b">
        <f t="shared" si="12"/>
        <v>0</v>
      </c>
      <c r="AH94" s="555" t="str">
        <f t="shared" si="13"/>
        <v>..</v>
      </c>
      <c r="AI94" s="1171" t="str">
        <f>IF(AND(COUNTIF($AH$46:AH94,$AH94)&gt;1,$AH94&lt;$AB$65),$AH94+COUNTIF($AH$46:AH94,$AH94)-1,$AH94)</f>
        <v>..</v>
      </c>
    </row>
    <row r="95" spans="27:35" x14ac:dyDescent="0.2">
      <c r="AB95" s="589">
        <v>50</v>
      </c>
      <c r="AC95" s="555" t="str">
        <v>OBIOLIQ</v>
      </c>
      <c r="AD95" s="262">
        <v>0</v>
      </c>
      <c r="AE95" s="262">
        <v>0</v>
      </c>
      <c r="AF95" s="670" t="str">
        <f t="shared" si="11"/>
        <v>..</v>
      </c>
      <c r="AG95" s="20" t="b">
        <f t="shared" si="12"/>
        <v>0</v>
      </c>
      <c r="AH95" s="555" t="str">
        <f t="shared" si="13"/>
        <v>..</v>
      </c>
      <c r="AI95" s="1171" t="str">
        <f>IF(AND(COUNTIF($AH$46:AH95,$AH95)&gt;1,$AH95&lt;$AB$65),$AH95+COUNTIF($AH$46:AH95,$AH95)-1,$AH95)</f>
        <v>..</v>
      </c>
    </row>
    <row r="96" spans="27:35" x14ac:dyDescent="0.2">
      <c r="AB96" s="589">
        <v>51</v>
      </c>
      <c r="AC96" s="555" t="str">
        <v>RENEWNS</v>
      </c>
      <c r="AD96" s="262">
        <v>0</v>
      </c>
      <c r="AE96" s="262">
        <v>0</v>
      </c>
      <c r="AF96" s="670" t="str">
        <f t="shared" si="11"/>
        <v>..</v>
      </c>
      <c r="AG96" s="20" t="b">
        <f t="shared" si="12"/>
        <v>0</v>
      </c>
      <c r="AH96" s="555" t="str">
        <f t="shared" si="13"/>
        <v>..</v>
      </c>
      <c r="AI96" s="1171" t="str">
        <f>IF(AND(COUNTIF($AH$46:AH96,$AH96)&gt;1,$AH96&lt;$AB$65),$AH96+COUNTIF($AH$46:AH96,$AH96)-1,$AH96)</f>
        <v>..</v>
      </c>
    </row>
    <row r="97" spans="28:35" x14ac:dyDescent="0.2">
      <c r="AB97" s="589">
        <v>52</v>
      </c>
      <c r="AC97" s="555" t="str">
        <v>CHARCOAL</v>
      </c>
      <c r="AD97" s="262">
        <v>0</v>
      </c>
      <c r="AE97" s="262">
        <v>0</v>
      </c>
      <c r="AF97" s="670" t="str">
        <f t="shared" si="11"/>
        <v>..</v>
      </c>
      <c r="AG97" s="20" t="b">
        <f t="shared" si="12"/>
        <v>0</v>
      </c>
      <c r="AH97" s="555" t="str">
        <f t="shared" si="13"/>
        <v>..</v>
      </c>
      <c r="AI97" s="1171" t="str">
        <f>IF(AND(COUNTIF($AH$46:AH97,$AH97)&gt;1,$AH97&lt;$AB$65),$AH97+COUNTIF($AH$46:AH97,$AH97)-1,$AH97)</f>
        <v>..</v>
      </c>
    </row>
    <row r="98" spans="28:35" x14ac:dyDescent="0.2">
      <c r="AB98" s="589">
        <v>53</v>
      </c>
      <c r="AC98" s="555" t="str">
        <v>NUCLEAR</v>
      </c>
      <c r="AD98" s="262">
        <v>0</v>
      </c>
      <c r="AE98" s="262">
        <v>43073.39</v>
      </c>
      <c r="AF98" s="670">
        <f t="shared" si="11"/>
        <v>0</v>
      </c>
      <c r="AG98" s="20" t="b">
        <f t="shared" si="12"/>
        <v>0</v>
      </c>
      <c r="AH98" s="555">
        <f t="shared" si="13"/>
        <v>27</v>
      </c>
      <c r="AI98" s="1171">
        <f>IF(AND(COUNTIF($AH$46:AH98,$AH98)&gt;1,$AH98&lt;$AB$65),$AH98+COUNTIF($AH$46:AH98,$AH98)-1,$AH98)</f>
        <v>27</v>
      </c>
    </row>
    <row r="99" spans="28:35" x14ac:dyDescent="0.2">
      <c r="AB99" s="589">
        <v>54</v>
      </c>
      <c r="AC99" s="555" t="str">
        <v>HYDRO</v>
      </c>
      <c r="AD99" s="262">
        <v>-781.8</v>
      </c>
      <c r="AE99" s="262">
        <v>781.8</v>
      </c>
      <c r="AF99" s="670">
        <f t="shared" si="11"/>
        <v>1</v>
      </c>
      <c r="AG99" s="20" t="b">
        <f t="shared" si="12"/>
        <v>1</v>
      </c>
      <c r="AH99" s="555">
        <f t="shared" si="13"/>
        <v>2</v>
      </c>
      <c r="AI99" s="1171">
        <f>IF(AND(COUNTIF($AH$46:AH99,$AH99)&gt;1,$AH99&lt;$AB$65),$AH99+COUNTIF($AH$46:AH99,$AH99)-1,$AH99)</f>
        <v>5</v>
      </c>
    </row>
    <row r="100" spans="28:35" x14ac:dyDescent="0.2">
      <c r="AB100" s="589">
        <v>55</v>
      </c>
      <c r="AC100" s="555" t="str">
        <v>GEOTHERM</v>
      </c>
      <c r="AD100" s="262">
        <v>0</v>
      </c>
      <c r="AE100" s="262">
        <v>0</v>
      </c>
      <c r="AF100" s="670" t="str">
        <f t="shared" si="11"/>
        <v>..</v>
      </c>
      <c r="AG100" s="20" t="b">
        <f t="shared" si="12"/>
        <v>0</v>
      </c>
      <c r="AH100" s="555" t="str">
        <f t="shared" si="13"/>
        <v>..</v>
      </c>
      <c r="AI100" s="1171" t="str">
        <f>IF(AND(COUNTIF($AH$46:AH100,$AH100)&gt;1,$AH100&lt;$AB$65),$AH100+COUNTIF($AH$46:AH100,$AH100)-1,$AH100)</f>
        <v>..</v>
      </c>
    </row>
    <row r="101" spans="28:35" x14ac:dyDescent="0.2">
      <c r="AB101" s="589">
        <v>56</v>
      </c>
      <c r="AC101" s="555" t="str">
        <v>SOLARPV</v>
      </c>
      <c r="AD101" s="262">
        <v>-3114.45</v>
      </c>
      <c r="AE101" s="262">
        <v>3114.45</v>
      </c>
      <c r="AF101" s="670">
        <f t="shared" si="11"/>
        <v>1</v>
      </c>
      <c r="AG101" s="20" t="b">
        <f t="shared" si="12"/>
        <v>1</v>
      </c>
      <c r="AH101" s="555">
        <f t="shared" si="13"/>
        <v>2</v>
      </c>
      <c r="AI101" s="1171">
        <f>IF(AND(COUNTIF($AH$46:AH101,$AH101)&gt;1,$AH101&lt;$AB$65),$AH101+COUNTIF($AH$46:AH101,$AH101)-1,$AH101)</f>
        <v>6</v>
      </c>
    </row>
    <row r="102" spans="28:35" x14ac:dyDescent="0.2">
      <c r="AB102" s="589">
        <v>57</v>
      </c>
      <c r="AC102" s="555" t="str">
        <v>SOLARTH</v>
      </c>
      <c r="AD102" s="262">
        <v>0</v>
      </c>
      <c r="AE102" s="262">
        <v>0</v>
      </c>
      <c r="AF102" s="670" t="str">
        <f t="shared" si="11"/>
        <v>..</v>
      </c>
      <c r="AG102" s="20" t="b">
        <f t="shared" si="12"/>
        <v>0</v>
      </c>
      <c r="AH102" s="555" t="str">
        <f t="shared" si="13"/>
        <v>..</v>
      </c>
      <c r="AI102" s="1171" t="str">
        <f>IF(AND(COUNTIF($AH$46:AH102,$AH102)&gt;1,$AH102&lt;$AB$65),$AH102+COUNTIF($AH$46:AH102,$AH102)-1,$AH102)</f>
        <v>..</v>
      </c>
    </row>
    <row r="103" spans="28:35" x14ac:dyDescent="0.2">
      <c r="AB103" s="589">
        <v>58</v>
      </c>
      <c r="AC103" s="555" t="str">
        <v>TIDE</v>
      </c>
      <c r="AD103" s="262">
        <v>0</v>
      </c>
      <c r="AE103" s="262">
        <v>0</v>
      </c>
      <c r="AF103" s="670" t="str">
        <f t="shared" si="11"/>
        <v>..</v>
      </c>
      <c r="AG103" s="20" t="b">
        <f t="shared" si="12"/>
        <v>0</v>
      </c>
      <c r="AH103" s="555" t="str">
        <f t="shared" si="13"/>
        <v>..</v>
      </c>
      <c r="AI103" s="1171" t="str">
        <f>IF(AND(COUNTIF($AH$46:AH103,$AH103)&gt;1,$AH103&lt;$AB$65),$AH103+COUNTIF($AH$46:AH103,$AH103)-1,$AH103)</f>
        <v>..</v>
      </c>
    </row>
    <row r="104" spans="28:35" x14ac:dyDescent="0.2">
      <c r="AB104" s="589">
        <v>59</v>
      </c>
      <c r="AC104" s="555" t="str">
        <v>WIND</v>
      </c>
      <c r="AD104" s="262">
        <v>-6691.02</v>
      </c>
      <c r="AE104" s="262">
        <v>6691.02</v>
      </c>
      <c r="AF104" s="670">
        <f t="shared" si="11"/>
        <v>1</v>
      </c>
      <c r="AG104" s="20" t="b">
        <f t="shared" si="12"/>
        <v>1</v>
      </c>
      <c r="AH104" s="555">
        <f t="shared" si="13"/>
        <v>2</v>
      </c>
      <c r="AI104" s="1171">
        <f>IF(AND(COUNTIF($AH$46:AH104,$AH104)&gt;1,$AH104&lt;$AB$65),$AH104+COUNTIF($AH$46:AH104,$AH104)-1,$AH104)</f>
        <v>7</v>
      </c>
    </row>
    <row r="105" spans="28:35" x14ac:dyDescent="0.2">
      <c r="AB105" s="589">
        <v>60</v>
      </c>
      <c r="AC105" s="555" t="str">
        <v>HEATPUMP</v>
      </c>
      <c r="AD105" s="262">
        <v>0</v>
      </c>
      <c r="AE105" s="262">
        <v>0</v>
      </c>
      <c r="AF105" s="670" t="str">
        <f t="shared" si="11"/>
        <v>..</v>
      </c>
      <c r="AG105" s="20" t="b">
        <f t="shared" si="12"/>
        <v>0</v>
      </c>
      <c r="AH105" s="555" t="str">
        <f t="shared" si="13"/>
        <v>..</v>
      </c>
      <c r="AI105" s="1171" t="str">
        <f>IF(AND(COUNTIF($AH$46:AH105,$AH105)&gt;1,$AH105&lt;$AB$65),$AH105+COUNTIF($AH$46:AH105,$AH105)-1,$AH105)</f>
        <v>..</v>
      </c>
    </row>
    <row r="106" spans="28:35" x14ac:dyDescent="0.2">
      <c r="AB106" s="589">
        <v>61</v>
      </c>
      <c r="AC106" s="555" t="str">
        <v>BOILER</v>
      </c>
      <c r="AD106" s="262">
        <v>0</v>
      </c>
      <c r="AE106" s="262">
        <v>0</v>
      </c>
      <c r="AF106" s="670" t="str">
        <f t="shared" si="11"/>
        <v>..</v>
      </c>
      <c r="AG106" s="20" t="b">
        <f t="shared" si="12"/>
        <v>0</v>
      </c>
      <c r="AH106" s="555" t="str">
        <f t="shared" si="13"/>
        <v>..</v>
      </c>
      <c r="AI106" s="1171" t="str">
        <f>IF(AND(COUNTIF($AH$46:AH106,$AH106)&gt;1,$AH106&lt;$AB$65),$AH106+COUNTIF($AH$46:AH106,$AH106)-1,$AH106)</f>
        <v>..</v>
      </c>
    </row>
    <row r="107" spans="28:35" x14ac:dyDescent="0.2">
      <c r="AB107" s="589">
        <v>62</v>
      </c>
      <c r="AC107" s="555" t="str">
        <v>CHEMHEAT</v>
      </c>
      <c r="AD107" s="262">
        <v>0</v>
      </c>
      <c r="AE107" s="262">
        <v>0</v>
      </c>
      <c r="AF107" s="670" t="str">
        <f t="shared" si="11"/>
        <v>..</v>
      </c>
      <c r="AG107" s="20" t="b">
        <f t="shared" si="12"/>
        <v>0</v>
      </c>
      <c r="AH107" s="555" t="str">
        <f t="shared" si="13"/>
        <v>..</v>
      </c>
      <c r="AI107" s="1171" t="str">
        <f>IF(AND(COUNTIF($AH$46:AH107,$AH107)&gt;1,$AH107&lt;$AB$65),$AH107+COUNTIF($AH$46:AH107,$AH107)-1,$AH107)</f>
        <v>..</v>
      </c>
    </row>
    <row r="108" spans="28:35" x14ac:dyDescent="0.2">
      <c r="AB108" s="589">
        <v>63</v>
      </c>
      <c r="AC108" s="555" t="str">
        <v>OTHER</v>
      </c>
      <c r="AD108" s="262">
        <v>0</v>
      </c>
      <c r="AE108" s="262">
        <v>0</v>
      </c>
      <c r="AF108" s="670" t="str">
        <f t="shared" si="11"/>
        <v>..</v>
      </c>
      <c r="AG108" s="20" t="b">
        <f t="shared" si="12"/>
        <v>0</v>
      </c>
      <c r="AH108" s="555" t="str">
        <f t="shared" si="13"/>
        <v>..</v>
      </c>
      <c r="AI108" s="1171" t="str">
        <f>IF(AND(COUNTIF($AH$46:AH108,$AH108)&gt;1,$AH108&lt;$AB$65),$AH108+COUNTIF($AH$46:AH108,$AH108)-1,$AH108)</f>
        <v>..</v>
      </c>
    </row>
    <row r="109" spans="28:35" x14ac:dyDescent="0.2">
      <c r="AB109" s="589">
        <v>64</v>
      </c>
      <c r="AC109" s="555" t="str">
        <v>ELECTR</v>
      </c>
      <c r="AD109" s="20">
        <v>3711.2389999999723</v>
      </c>
      <c r="AE109" s="20">
        <v>219504.527</v>
      </c>
      <c r="AF109" s="670">
        <f t="shared" ref="AF109:AF110" si="14">IFERROR(ABS(AD109/AE109),"..")</f>
        <v>1.6907346061249901E-2</v>
      </c>
      <c r="AG109" s="20" t="b">
        <f t="shared" si="12"/>
        <v>0</v>
      </c>
      <c r="AH109" s="555" t="str">
        <f t="shared" si="13"/>
        <v>..</v>
      </c>
      <c r="AI109" s="1171" t="str">
        <f>IF(AND(COUNTIF($AH$46:AH109,$AH109)&gt;1,$AH109&lt;$AB$65),$AH109+COUNTIF($AH$46:AH109,$AH109)-1,$AH109)</f>
        <v>..</v>
      </c>
    </row>
    <row r="110" spans="28:35" x14ac:dyDescent="0.2">
      <c r="AB110" s="703">
        <v>65</v>
      </c>
      <c r="AC110" s="683" t="str">
        <v>HEAT</v>
      </c>
      <c r="AD110" s="32">
        <v>0</v>
      </c>
      <c r="AE110" s="32">
        <v>0</v>
      </c>
      <c r="AF110" s="1172" t="str">
        <f t="shared" si="14"/>
        <v>..</v>
      </c>
      <c r="AG110" s="32" t="b">
        <f t="shared" si="12"/>
        <v>0</v>
      </c>
      <c r="AH110" s="683" t="str">
        <f t="shared" si="13"/>
        <v>..</v>
      </c>
      <c r="AI110" s="1173" t="str">
        <f>IF(AND(COUNTIF($AH$46:AH110,$AH110)&gt;1,$AH110&lt;$AB$65),$AH110+COUNTIF($AH$46:AH110,$AH110)-1,$AH110)</f>
        <v>..</v>
      </c>
    </row>
  </sheetData>
  <sheetProtection sheet="1" objects="1" scenarios="1"/>
  <mergeCells count="11">
    <mergeCell ref="A1:I1"/>
    <mergeCell ref="D28:G28"/>
    <mergeCell ref="A2:I2"/>
    <mergeCell ref="B11:D11"/>
    <mergeCell ref="D21:I21"/>
    <mergeCell ref="D22:I22"/>
    <mergeCell ref="D23:I23"/>
    <mergeCell ref="D24:I24"/>
    <mergeCell ref="D25:I25"/>
    <mergeCell ref="D26:I26"/>
    <mergeCell ref="B4:D4"/>
  </mergeCells>
  <pageMargins left="0.7" right="0.7" top="0.75" bottom="0.75" header="0.3" footer="0.3"/>
  <pageSetup paperSize="9" orientation="portrait" verticalDpi="1200"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C00000"/>
  </sheetPr>
  <dimension ref="A1:Q30"/>
  <sheetViews>
    <sheetView showGridLines="0" topLeftCell="C1" zoomScale="85" zoomScaleNormal="85" workbookViewId="0">
      <selection activeCell="C3" sqref="C3"/>
    </sheetView>
  </sheetViews>
  <sheetFormatPr defaultRowHeight="12.75" x14ac:dyDescent="0.2"/>
  <cols>
    <col min="1" max="2" width="10.7109375" hidden="1" customWidth="1"/>
    <col min="3" max="3" width="36.7109375" customWidth="1"/>
    <col min="4" max="4" width="9" bestFit="1" customWidth="1"/>
    <col min="5" max="15" width="11.85546875" customWidth="1"/>
    <col min="16" max="16" width="10" customWidth="1"/>
    <col min="19" max="19" width="5.5703125" bestFit="1" customWidth="1"/>
    <col min="20" max="20" width="3" bestFit="1" customWidth="1"/>
    <col min="27" max="27" width="28.85546875" customWidth="1"/>
    <col min="28" max="28" width="9" customWidth="1"/>
    <col min="42" max="42" width="11" customWidth="1"/>
    <col min="43" max="44" width="9.28515625" customWidth="1"/>
    <col min="45" max="45" width="11" customWidth="1"/>
    <col min="46" max="48" width="9.28515625" customWidth="1"/>
    <col min="53" max="53" width="40" customWidth="1"/>
    <col min="54" max="54" width="9" customWidth="1"/>
  </cols>
  <sheetData>
    <row r="1" spans="1:17" ht="30" customHeight="1" x14ac:dyDescent="0.2">
      <c r="A1" s="44"/>
      <c r="B1" s="21"/>
      <c r="C1" s="2065">
        <f>DataYear</f>
        <v>2019</v>
      </c>
      <c r="D1" s="21"/>
      <c r="E1" s="74" t="s">
        <v>7317</v>
      </c>
      <c r="F1" s="2261"/>
      <c r="G1" s="2261"/>
      <c r="H1" s="2261"/>
      <c r="I1" s="2261"/>
      <c r="J1" s="2261"/>
      <c r="K1" s="2261"/>
      <c r="L1" s="2261"/>
      <c r="M1" s="2261"/>
      <c r="N1" s="2261"/>
      <c r="O1" s="2261"/>
      <c r="P1" s="2261"/>
      <c r="Q1" s="2261"/>
    </row>
    <row r="2" spans="1:17" x14ac:dyDescent="0.2">
      <c r="A2" s="19"/>
      <c r="B2" s="17" t="s">
        <v>7233</v>
      </c>
      <c r="E2" s="449" t="s">
        <v>325</v>
      </c>
      <c r="F2" s="449" t="s">
        <v>338</v>
      </c>
      <c r="G2" s="449" t="s">
        <v>348</v>
      </c>
      <c r="H2" s="449" t="s">
        <v>358</v>
      </c>
      <c r="I2" s="449" t="s">
        <v>368</v>
      </c>
      <c r="J2" s="449" t="s">
        <v>377</v>
      </c>
      <c r="K2" s="449" t="s">
        <v>387</v>
      </c>
      <c r="L2" s="449" t="s">
        <v>397</v>
      </c>
      <c r="M2" s="449" t="s">
        <v>407</v>
      </c>
      <c r="N2" s="449" t="s">
        <v>418</v>
      </c>
      <c r="O2" s="449" t="s">
        <v>469</v>
      </c>
      <c r="P2" s="449" t="s">
        <v>476</v>
      </c>
      <c r="Q2" s="449" t="s">
        <v>483</v>
      </c>
    </row>
    <row r="3" spans="1:17" ht="38.1" customHeight="1" x14ac:dyDescent="0.25">
      <c r="C3" s="2066" t="str">
        <f>CountryName</f>
        <v>South Africa</v>
      </c>
      <c r="E3" s="43" t="s">
        <v>326</v>
      </c>
      <c r="F3" s="43" t="s">
        <v>339</v>
      </c>
      <c r="G3" s="43" t="s">
        <v>349</v>
      </c>
      <c r="H3" s="43" t="s">
        <v>359</v>
      </c>
      <c r="I3" s="43" t="s">
        <v>369</v>
      </c>
      <c r="J3" s="43" t="s">
        <v>378</v>
      </c>
      <c r="K3" s="43" t="s">
        <v>388</v>
      </c>
      <c r="L3" s="43" t="s">
        <v>398</v>
      </c>
      <c r="M3" s="43" t="s">
        <v>408</v>
      </c>
      <c r="N3" s="43" t="s">
        <v>418</v>
      </c>
      <c r="O3" s="43" t="s">
        <v>470</v>
      </c>
      <c r="P3" s="43" t="s">
        <v>477</v>
      </c>
      <c r="Q3" s="43" t="s">
        <v>484</v>
      </c>
    </row>
    <row r="4" spans="1:17" ht="12.75" customHeight="1" x14ac:dyDescent="0.2">
      <c r="A4" s="18" t="s">
        <v>7234</v>
      </c>
      <c r="B4" s="18" t="s">
        <v>7235</v>
      </c>
      <c r="C4" s="45"/>
      <c r="E4" s="46" t="s">
        <v>7318</v>
      </c>
      <c r="F4" s="46" t="s">
        <v>7318</v>
      </c>
      <c r="G4" s="46" t="s">
        <v>7318</v>
      </c>
      <c r="H4" s="46" t="s">
        <v>7318</v>
      </c>
      <c r="I4" s="46" t="s">
        <v>7318</v>
      </c>
      <c r="J4" s="46" t="s">
        <v>7318</v>
      </c>
      <c r="K4" s="46" t="s">
        <v>7318</v>
      </c>
      <c r="L4" s="46" t="s">
        <v>7318</v>
      </c>
      <c r="M4" s="46" t="s">
        <v>7318</v>
      </c>
      <c r="N4" s="46" t="s">
        <v>7318</v>
      </c>
      <c r="O4" s="46" t="s">
        <v>7318</v>
      </c>
      <c r="P4" s="46" t="s">
        <v>7318</v>
      </c>
      <c r="Q4" s="46" t="s">
        <v>7318</v>
      </c>
    </row>
    <row r="5" spans="1:17" ht="12.75" customHeight="1" thickBot="1" x14ac:dyDescent="0.25">
      <c r="C5" s="15"/>
      <c r="D5" s="15"/>
      <c r="E5" s="47" t="s">
        <v>7239</v>
      </c>
      <c r="F5" s="48" t="s">
        <v>7240</v>
      </c>
      <c r="G5" s="49" t="s">
        <v>7241</v>
      </c>
      <c r="H5" s="49" t="s">
        <v>7242</v>
      </c>
      <c r="I5" s="50" t="s">
        <v>7243</v>
      </c>
      <c r="J5" s="49" t="s">
        <v>7244</v>
      </c>
      <c r="K5" s="49" t="s">
        <v>7245</v>
      </c>
      <c r="L5" s="49" t="s">
        <v>7246</v>
      </c>
      <c r="M5" s="50" t="s">
        <v>7247</v>
      </c>
      <c r="N5" s="50" t="s">
        <v>7248</v>
      </c>
      <c r="O5" s="49" t="s">
        <v>7249</v>
      </c>
      <c r="P5" s="49" t="s">
        <v>7250</v>
      </c>
      <c r="Q5" s="49" t="s">
        <v>7251</v>
      </c>
    </row>
    <row r="6" spans="1:17" ht="13.5" customHeight="1" thickTop="1" x14ac:dyDescent="0.2">
      <c r="A6" s="20" t="s">
        <v>7257</v>
      </c>
      <c r="B6" s="20" t="s">
        <v>7319</v>
      </c>
      <c r="C6" s="2323" t="s">
        <v>853</v>
      </c>
      <c r="D6" s="51" t="s">
        <v>7320</v>
      </c>
      <c r="E6" s="1634"/>
      <c r="F6" s="1634"/>
      <c r="G6" s="1634"/>
      <c r="H6" s="1634"/>
      <c r="I6" s="1634"/>
      <c r="J6" s="1634"/>
      <c r="K6" s="1634"/>
      <c r="L6" s="1634"/>
      <c r="M6" s="1635"/>
      <c r="N6" s="1634"/>
      <c r="O6" s="1636"/>
      <c r="P6" s="1634"/>
      <c r="Q6" s="1634"/>
    </row>
    <row r="7" spans="1:17" ht="13.5" customHeight="1" thickBot="1" x14ac:dyDescent="0.25">
      <c r="A7" s="20" t="s">
        <v>7257</v>
      </c>
      <c r="B7" s="20" t="s">
        <v>1640</v>
      </c>
      <c r="C7" s="2324"/>
      <c r="D7" s="52" t="s">
        <v>7321</v>
      </c>
      <c r="E7" s="1637"/>
      <c r="F7" s="1637"/>
      <c r="G7" s="1637"/>
      <c r="H7" s="1637"/>
      <c r="I7" s="1637"/>
      <c r="J7" s="1637"/>
      <c r="K7" s="1637"/>
      <c r="L7" s="1637"/>
      <c r="M7" s="1638"/>
      <c r="N7" s="1637"/>
      <c r="O7" s="1639"/>
      <c r="P7" s="1637"/>
      <c r="Q7" s="1637"/>
    </row>
    <row r="8" spans="1:17" ht="13.5" customHeight="1" thickTop="1" x14ac:dyDescent="0.2">
      <c r="A8" s="20" t="s">
        <v>7257</v>
      </c>
      <c r="B8" s="20" t="s">
        <v>7322</v>
      </c>
      <c r="C8" s="2323" t="s">
        <v>879</v>
      </c>
      <c r="D8" s="51" t="s">
        <v>7323</v>
      </c>
      <c r="E8" s="1634"/>
      <c r="F8" s="1634"/>
      <c r="G8" s="1634"/>
      <c r="H8" s="1634"/>
      <c r="I8" s="1634"/>
      <c r="J8" s="1634"/>
      <c r="K8" s="1634"/>
      <c r="L8" s="1634"/>
      <c r="M8" s="1635"/>
      <c r="N8" s="1634"/>
      <c r="O8" s="1636"/>
      <c r="P8" s="1634"/>
      <c r="Q8" s="1634"/>
    </row>
    <row r="9" spans="1:17" ht="13.5" customHeight="1" thickBot="1" x14ac:dyDescent="0.25">
      <c r="A9" s="20" t="s">
        <v>7257</v>
      </c>
      <c r="B9" s="20" t="s">
        <v>1642</v>
      </c>
      <c r="C9" s="2324"/>
      <c r="D9" s="52" t="s">
        <v>7324</v>
      </c>
      <c r="E9" s="1637"/>
      <c r="F9" s="1637"/>
      <c r="G9" s="1637"/>
      <c r="H9" s="1637"/>
      <c r="I9" s="1637"/>
      <c r="J9" s="1637"/>
      <c r="K9" s="1637"/>
      <c r="L9" s="1637"/>
      <c r="M9" s="1638"/>
      <c r="N9" s="1637"/>
      <c r="O9" s="1639"/>
      <c r="P9" s="1637"/>
      <c r="Q9" s="1637"/>
    </row>
    <row r="10" spans="1:17" ht="13.5" customHeight="1" thickTop="1" x14ac:dyDescent="0.2">
      <c r="A10" s="20" t="s">
        <v>7257</v>
      </c>
      <c r="B10" s="20" t="s">
        <v>7325</v>
      </c>
      <c r="C10" s="2323" t="s">
        <v>885</v>
      </c>
      <c r="D10" s="51" t="s">
        <v>7326</v>
      </c>
      <c r="E10" s="1634"/>
      <c r="F10" s="1634"/>
      <c r="G10" s="1634"/>
      <c r="H10" s="1634"/>
      <c r="I10" s="1634"/>
      <c r="J10" s="1634"/>
      <c r="K10" s="1634"/>
      <c r="L10" s="1634"/>
      <c r="M10" s="1635"/>
      <c r="N10" s="1634"/>
      <c r="O10" s="1636"/>
      <c r="P10" s="1634"/>
      <c r="Q10" s="1634"/>
    </row>
    <row r="11" spans="1:17" ht="13.5" customHeight="1" thickBot="1" x14ac:dyDescent="0.25">
      <c r="A11" s="20" t="s">
        <v>7257</v>
      </c>
      <c r="B11" s="20" t="s">
        <v>1643</v>
      </c>
      <c r="C11" s="2324"/>
      <c r="D11" s="52" t="s">
        <v>7327</v>
      </c>
      <c r="E11" s="1637"/>
      <c r="F11" s="1637"/>
      <c r="G11" s="1637"/>
      <c r="H11" s="1637"/>
      <c r="I11" s="1637"/>
      <c r="J11" s="1637"/>
      <c r="K11" s="1637"/>
      <c r="L11" s="1637"/>
      <c r="M11" s="1638"/>
      <c r="N11" s="1637"/>
      <c r="O11" s="1639"/>
      <c r="P11" s="1637"/>
      <c r="Q11" s="1637"/>
    </row>
    <row r="12" spans="1:17" ht="13.5" customHeight="1" thickTop="1" x14ac:dyDescent="0.2">
      <c r="A12" s="20" t="s">
        <v>7257</v>
      </c>
      <c r="B12" s="20" t="s">
        <v>7328</v>
      </c>
      <c r="C12" s="2323" t="s">
        <v>7329</v>
      </c>
      <c r="D12" s="51" t="s">
        <v>7330</v>
      </c>
      <c r="E12" s="1634"/>
      <c r="F12" s="1634"/>
      <c r="G12" s="1634"/>
      <c r="H12" s="1634"/>
      <c r="I12" s="1634"/>
      <c r="J12" s="1634"/>
      <c r="K12" s="1634"/>
      <c r="L12" s="1634"/>
      <c r="M12" s="1635"/>
      <c r="N12" s="1634"/>
      <c r="O12" s="1636"/>
      <c r="P12" s="1634"/>
      <c r="Q12" s="1634"/>
    </row>
    <row r="13" spans="1:17" ht="13.5" customHeight="1" thickBot="1" x14ac:dyDescent="0.25">
      <c r="A13" s="20" t="s">
        <v>7257</v>
      </c>
      <c r="B13" s="20" t="s">
        <v>1644</v>
      </c>
      <c r="C13" s="2324"/>
      <c r="D13" s="52" t="s">
        <v>7331</v>
      </c>
      <c r="E13" s="1637"/>
      <c r="F13" s="1637"/>
      <c r="G13" s="1637"/>
      <c r="H13" s="1637"/>
      <c r="I13" s="1637"/>
      <c r="J13" s="1637"/>
      <c r="K13" s="1637"/>
      <c r="L13" s="1637"/>
      <c r="M13" s="1638"/>
      <c r="N13" s="1637"/>
      <c r="O13" s="1639"/>
      <c r="P13" s="1637"/>
      <c r="Q13" s="1637"/>
    </row>
    <row r="14" spans="1:17" ht="13.5" customHeight="1" thickTop="1" x14ac:dyDescent="0.2">
      <c r="A14" s="20" t="s">
        <v>7257</v>
      </c>
      <c r="B14" s="20" t="s">
        <v>7332</v>
      </c>
      <c r="C14" s="2325" t="s">
        <v>7333</v>
      </c>
      <c r="D14" s="51" t="s">
        <v>7334</v>
      </c>
      <c r="E14" s="1634"/>
      <c r="F14" s="1634"/>
      <c r="G14" s="1634"/>
      <c r="H14" s="1634"/>
      <c r="I14" s="1634"/>
      <c r="J14" s="1634"/>
      <c r="K14" s="1634"/>
      <c r="L14" s="1634"/>
      <c r="M14" s="1635"/>
      <c r="N14" s="1634"/>
      <c r="O14" s="1636"/>
      <c r="P14" s="1634"/>
      <c r="Q14" s="1634"/>
    </row>
    <row r="15" spans="1:17" ht="13.5" customHeight="1" thickBot="1" x14ac:dyDescent="0.25">
      <c r="A15" s="20" t="s">
        <v>7257</v>
      </c>
      <c r="B15" s="20" t="s">
        <v>1645</v>
      </c>
      <c r="C15" s="2326"/>
      <c r="D15" s="52" t="s">
        <v>7335</v>
      </c>
      <c r="E15" s="1637"/>
      <c r="F15" s="1637"/>
      <c r="G15" s="1637"/>
      <c r="H15" s="1637"/>
      <c r="I15" s="1637"/>
      <c r="J15" s="1637"/>
      <c r="K15" s="1637"/>
      <c r="L15" s="1637"/>
      <c r="M15" s="1638"/>
      <c r="N15" s="1637"/>
      <c r="O15" s="1639"/>
      <c r="P15" s="1637"/>
      <c r="Q15" s="1637"/>
    </row>
    <row r="16" spans="1:17" ht="13.5" customHeight="1" thickTop="1" x14ac:dyDescent="0.2">
      <c r="A16" s="20" t="s">
        <v>7257</v>
      </c>
      <c r="B16" s="20" t="s">
        <v>7336</v>
      </c>
      <c r="C16" s="2325" t="s">
        <v>7337</v>
      </c>
      <c r="D16" s="51" t="s">
        <v>7338</v>
      </c>
      <c r="E16" s="1634"/>
      <c r="F16" s="1634"/>
      <c r="G16" s="1634"/>
      <c r="H16" s="1634"/>
      <c r="I16" s="1634"/>
      <c r="J16" s="1634"/>
      <c r="K16" s="1634"/>
      <c r="L16" s="1634"/>
      <c r="M16" s="1635"/>
      <c r="N16" s="1634"/>
      <c r="O16" s="1636"/>
      <c r="P16" s="1634"/>
      <c r="Q16" s="1634"/>
    </row>
    <row r="17" spans="1:17" ht="13.5" customHeight="1" thickBot="1" x14ac:dyDescent="0.25">
      <c r="A17" s="20" t="s">
        <v>7257</v>
      </c>
      <c r="B17" s="20" t="s">
        <v>1646</v>
      </c>
      <c r="C17" s="2326"/>
      <c r="D17" s="52" t="s">
        <v>7339</v>
      </c>
      <c r="E17" s="1637"/>
      <c r="F17" s="1637"/>
      <c r="G17" s="1637"/>
      <c r="H17" s="1637"/>
      <c r="I17" s="1637"/>
      <c r="J17" s="1637"/>
      <c r="K17" s="1637"/>
      <c r="L17" s="1637"/>
      <c r="M17" s="1638"/>
      <c r="N17" s="1637"/>
      <c r="O17" s="1639"/>
      <c r="P17" s="1637"/>
      <c r="Q17" s="1637"/>
    </row>
    <row r="18" spans="1:17" ht="13.5" customHeight="1" thickTop="1" x14ac:dyDescent="0.2">
      <c r="A18" s="20" t="s">
        <v>7257</v>
      </c>
      <c r="B18" s="20" t="s">
        <v>7340</v>
      </c>
      <c r="C18" s="2323" t="s">
        <v>7341</v>
      </c>
      <c r="D18" s="51" t="s">
        <v>7342</v>
      </c>
      <c r="E18" s="1634"/>
      <c r="F18" s="1634"/>
      <c r="G18" s="1634"/>
      <c r="H18" s="1634"/>
      <c r="I18" s="1634"/>
      <c r="J18" s="1634"/>
      <c r="K18" s="1634"/>
      <c r="L18" s="1634"/>
      <c r="M18" s="1635"/>
      <c r="N18" s="1634"/>
      <c r="O18" s="1636"/>
      <c r="P18" s="1634"/>
      <c r="Q18" s="1634"/>
    </row>
    <row r="19" spans="1:17" ht="13.5" customHeight="1" thickBot="1" x14ac:dyDescent="0.25">
      <c r="A19" s="20" t="s">
        <v>7257</v>
      </c>
      <c r="B19" s="20" t="s">
        <v>1652</v>
      </c>
      <c r="C19" s="2324"/>
      <c r="D19" s="52" t="s">
        <v>7343</v>
      </c>
      <c r="E19" s="1637"/>
      <c r="F19" s="1637"/>
      <c r="G19" s="1637"/>
      <c r="H19" s="1637"/>
      <c r="I19" s="1637"/>
      <c r="J19" s="1637"/>
      <c r="K19" s="1637"/>
      <c r="L19" s="1637"/>
      <c r="M19" s="1638"/>
      <c r="N19" s="1637"/>
      <c r="O19" s="1639"/>
      <c r="P19" s="1637"/>
      <c r="Q19" s="1637"/>
    </row>
    <row r="20" spans="1:17" ht="13.5" customHeight="1" thickTop="1" x14ac:dyDescent="0.2">
      <c r="A20" s="20" t="s">
        <v>7257</v>
      </c>
      <c r="B20" s="20" t="s">
        <v>7344</v>
      </c>
      <c r="C20" s="2323" t="s">
        <v>7345</v>
      </c>
      <c r="D20" s="51" t="s">
        <v>7346</v>
      </c>
      <c r="E20" s="1634"/>
      <c r="F20" s="1634"/>
      <c r="G20" s="1634"/>
      <c r="H20" s="1634"/>
      <c r="I20" s="1634"/>
      <c r="J20" s="1634"/>
      <c r="K20" s="1634"/>
      <c r="L20" s="1634"/>
      <c r="M20" s="1635"/>
      <c r="N20" s="1634"/>
      <c r="O20" s="1636"/>
      <c r="P20" s="1634"/>
      <c r="Q20" s="1634"/>
    </row>
    <row r="21" spans="1:17" ht="13.5" customHeight="1" thickBot="1" x14ac:dyDescent="0.25">
      <c r="A21" s="20" t="s">
        <v>7257</v>
      </c>
      <c r="B21" s="20" t="s">
        <v>1653</v>
      </c>
      <c r="C21" s="2324"/>
      <c r="D21" s="52" t="s">
        <v>7347</v>
      </c>
      <c r="E21" s="1637"/>
      <c r="F21" s="1637"/>
      <c r="G21" s="1637"/>
      <c r="H21" s="1637"/>
      <c r="I21" s="1637"/>
      <c r="J21" s="1637"/>
      <c r="K21" s="1637"/>
      <c r="L21" s="1637"/>
      <c r="M21" s="1638"/>
      <c r="N21" s="1637"/>
      <c r="O21" s="1639"/>
      <c r="P21" s="1637"/>
      <c r="Q21" s="1637"/>
    </row>
    <row r="22" spans="1:17" ht="12.75" customHeight="1" thickTop="1" x14ac:dyDescent="0.2"/>
    <row r="23" spans="1:17" ht="12.75" customHeight="1" x14ac:dyDescent="0.2"/>
    <row r="24" spans="1:17" ht="12.75" customHeight="1" x14ac:dyDescent="0.2"/>
    <row r="25" spans="1:17" ht="12.75" customHeight="1" x14ac:dyDescent="0.2"/>
    <row r="26" spans="1:17" ht="12.75" customHeight="1" x14ac:dyDescent="0.2"/>
    <row r="27" spans="1:17" ht="12.75" customHeight="1" x14ac:dyDescent="0.2"/>
    <row r="28" spans="1:17" ht="12.75" customHeight="1" x14ac:dyDescent="0.2"/>
    <row r="29" spans="1:17" ht="12.75" customHeight="1" x14ac:dyDescent="0.2"/>
    <row r="30" spans="1:17" ht="12.75" customHeight="1" x14ac:dyDescent="0.2"/>
  </sheetData>
  <mergeCells count="8">
    <mergeCell ref="C18:C19"/>
    <mergeCell ref="C20:C21"/>
    <mergeCell ref="C16:C17"/>
    <mergeCell ref="C6:C7"/>
    <mergeCell ref="C8:C9"/>
    <mergeCell ref="C10:C11"/>
    <mergeCell ref="C12:C13"/>
    <mergeCell ref="C14:C15"/>
  </mergeCells>
  <phoneticPr fontId="36" type="noConversion"/>
  <dataValidations count="1">
    <dataValidation type="decimal" operator="greaterThanOrEqual" allowBlank="1" showInputMessage="1" showErrorMessage="1" error="Whole numbers only / Nombres entiers uniquement" sqref="E6:O21" xr:uid="{00000000-0002-0000-1300-000000000000}">
      <formula1>0</formula1>
    </dataValidation>
  </dataValidations>
  <pageMargins left="0.75" right="0.75" top="1" bottom="1" header="0.5" footer="0.5"/>
  <headerFooter alignWithMargins="0"/>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25B57B"/>
  </sheetPr>
  <dimension ref="A1:H35"/>
  <sheetViews>
    <sheetView topLeftCell="C1" workbookViewId="0">
      <selection activeCell="C1" sqref="C1"/>
    </sheetView>
  </sheetViews>
  <sheetFormatPr defaultColWidth="11.42578125" defaultRowHeight="12.75" x14ac:dyDescent="0.2"/>
  <cols>
    <col min="1" max="1" width="10" hidden="1" customWidth="1"/>
    <col min="2" max="2" width="12.7109375" hidden="1" customWidth="1"/>
    <col min="3" max="3" width="40.28515625" customWidth="1"/>
    <col min="4" max="4" width="3.5703125" customWidth="1"/>
    <col min="5" max="8" width="15.7109375" customWidth="1"/>
    <col min="9" max="9" width="12" customWidth="1"/>
    <col min="10" max="26" width="11.42578125" customWidth="1"/>
    <col min="27" max="27" width="40.28515625" customWidth="1"/>
    <col min="28" max="28" width="2.7109375" customWidth="1"/>
    <col min="29" max="52" width="11.42578125" customWidth="1"/>
    <col min="53" max="53" width="28.7109375" customWidth="1"/>
    <col min="54" max="54" width="2.7109375" customWidth="1"/>
    <col min="55" max="78" width="11.42578125" customWidth="1"/>
  </cols>
  <sheetData>
    <row r="1" spans="1:8" ht="30" customHeight="1" x14ac:dyDescent="0.25">
      <c r="A1" s="8"/>
      <c r="C1" s="2064">
        <f>DataYear</f>
        <v>2019</v>
      </c>
      <c r="D1" s="20"/>
      <c r="E1" s="88" t="s">
        <v>7348</v>
      </c>
      <c r="F1" s="79"/>
      <c r="G1" s="79"/>
      <c r="H1" s="79"/>
    </row>
    <row r="2" spans="1:8" ht="24" customHeight="1" x14ac:dyDescent="0.2">
      <c r="A2" s="8"/>
      <c r="B2" s="17" t="s">
        <v>7233</v>
      </c>
      <c r="C2" s="118" t="str">
        <f>CountryName</f>
        <v>South Africa</v>
      </c>
      <c r="D2" s="20"/>
      <c r="E2" s="114" t="s">
        <v>7349</v>
      </c>
      <c r="F2" s="114" t="s">
        <v>7350</v>
      </c>
      <c r="G2" s="114" t="s">
        <v>7351</v>
      </c>
      <c r="H2" s="94"/>
    </row>
    <row r="3" spans="1:8" ht="13.5" thickBot="1" x14ac:dyDescent="0.25">
      <c r="C3" s="83"/>
      <c r="D3" s="84"/>
      <c r="E3" s="85"/>
      <c r="F3" s="86"/>
      <c r="G3" s="87"/>
      <c r="H3" s="87"/>
    </row>
    <row r="4" spans="1:8" ht="34.5" customHeight="1" x14ac:dyDescent="0.2">
      <c r="A4" s="45"/>
      <c r="B4" s="45"/>
      <c r="C4" s="81"/>
      <c r="D4" s="82"/>
      <c r="E4" s="89" t="s">
        <v>7352</v>
      </c>
      <c r="F4" s="89" t="s">
        <v>7353</v>
      </c>
      <c r="G4" s="90" t="s">
        <v>7354</v>
      </c>
      <c r="H4" s="91" t="s">
        <v>7355</v>
      </c>
    </row>
    <row r="5" spans="1:8" ht="12.75" customHeight="1" x14ac:dyDescent="0.2">
      <c r="A5" s="18" t="s">
        <v>7234</v>
      </c>
      <c r="B5" s="18" t="s">
        <v>7235</v>
      </c>
      <c r="C5" s="80"/>
      <c r="D5" s="76"/>
      <c r="E5" s="77" t="s">
        <v>7239</v>
      </c>
      <c r="F5" s="77" t="s">
        <v>7240</v>
      </c>
      <c r="G5" s="77" t="s">
        <v>7241</v>
      </c>
      <c r="H5" s="78" t="s">
        <v>7242</v>
      </c>
    </row>
    <row r="6" spans="1:8" ht="18.95" customHeight="1" x14ac:dyDescent="0.2">
      <c r="A6" s="45" t="s">
        <v>7356</v>
      </c>
      <c r="B6" s="20" t="s">
        <v>852</v>
      </c>
      <c r="C6" s="95" t="s">
        <v>7256</v>
      </c>
      <c r="D6" s="96">
        <v>1</v>
      </c>
      <c r="E6" s="1578"/>
      <c r="F6" s="1578"/>
      <c r="G6" s="1578"/>
      <c r="H6" s="1577"/>
    </row>
    <row r="7" spans="1:8" ht="18.75" customHeight="1" x14ac:dyDescent="0.2">
      <c r="A7" s="45" t="s">
        <v>7356</v>
      </c>
      <c r="B7" s="20" t="s">
        <v>7357</v>
      </c>
      <c r="C7" s="108" t="s">
        <v>7358</v>
      </c>
      <c r="D7" s="96">
        <v>2</v>
      </c>
      <c r="E7" s="1578"/>
      <c r="F7" s="1578"/>
      <c r="G7" s="1578"/>
      <c r="H7" s="1577"/>
    </row>
    <row r="8" spans="1:8" ht="18.95" customHeight="1" x14ac:dyDescent="0.2">
      <c r="A8" s="45" t="s">
        <v>7356</v>
      </c>
      <c r="B8" s="20" t="s">
        <v>7359</v>
      </c>
      <c r="C8" s="109" t="s">
        <v>7360</v>
      </c>
      <c r="D8" s="97">
        <v>3</v>
      </c>
      <c r="E8" s="1578"/>
      <c r="F8" s="1578"/>
      <c r="G8" s="1578"/>
      <c r="H8" s="1577"/>
    </row>
    <row r="9" spans="1:8" ht="18.95" customHeight="1" x14ac:dyDescent="0.2">
      <c r="A9" s="45" t="s">
        <v>7356</v>
      </c>
      <c r="B9" s="20" t="s">
        <v>7361</v>
      </c>
      <c r="C9" s="110" t="s">
        <v>7362</v>
      </c>
      <c r="D9" s="97">
        <v>4</v>
      </c>
      <c r="E9" s="1578"/>
      <c r="F9" s="1578"/>
      <c r="G9" s="1578"/>
      <c r="H9" s="1577"/>
    </row>
    <row r="10" spans="1:8" ht="18.95" customHeight="1" x14ac:dyDescent="0.2">
      <c r="A10" s="45" t="s">
        <v>7356</v>
      </c>
      <c r="B10" s="20" t="s">
        <v>7262</v>
      </c>
      <c r="C10" s="98" t="s">
        <v>7363</v>
      </c>
      <c r="D10" s="97">
        <v>5</v>
      </c>
      <c r="E10" s="1578"/>
      <c r="F10" s="1578"/>
      <c r="G10" s="1578"/>
      <c r="H10" s="1577"/>
    </row>
    <row r="11" spans="1:8" ht="18.95" customHeight="1" x14ac:dyDescent="0.2">
      <c r="A11" s="45" t="s">
        <v>7356</v>
      </c>
      <c r="B11" s="20" t="s">
        <v>7263</v>
      </c>
      <c r="C11" s="99" t="s">
        <v>7364</v>
      </c>
      <c r="D11" s="97">
        <v>6</v>
      </c>
      <c r="E11" s="1578"/>
      <c r="F11" s="1578"/>
      <c r="G11" s="1578"/>
      <c r="H11" s="1577"/>
    </row>
    <row r="12" spans="1:8" ht="18.95" customHeight="1" x14ac:dyDescent="0.2">
      <c r="A12" s="45" t="s">
        <v>7356</v>
      </c>
      <c r="B12" s="20" t="s">
        <v>7265</v>
      </c>
      <c r="C12" s="99" t="s">
        <v>7365</v>
      </c>
      <c r="D12" s="97">
        <v>7</v>
      </c>
      <c r="E12" s="1578"/>
      <c r="F12" s="1578"/>
      <c r="G12" s="1578"/>
      <c r="H12" s="1577"/>
    </row>
    <row r="13" spans="1:8" ht="18.95" customHeight="1" x14ac:dyDescent="0.2">
      <c r="A13" s="45" t="s">
        <v>7356</v>
      </c>
      <c r="B13" s="20" t="s">
        <v>7267</v>
      </c>
      <c r="C13" s="99" t="s">
        <v>891</v>
      </c>
      <c r="D13" s="97">
        <v>8</v>
      </c>
      <c r="E13" s="1578"/>
      <c r="F13" s="1578"/>
      <c r="G13" s="1578"/>
      <c r="H13" s="1577"/>
    </row>
    <row r="14" spans="1:8" ht="18.95" customHeight="1" x14ac:dyDescent="0.2">
      <c r="A14" s="45" t="s">
        <v>7356</v>
      </c>
      <c r="B14" s="20" t="s">
        <v>7268</v>
      </c>
      <c r="C14" s="99" t="s">
        <v>7269</v>
      </c>
      <c r="D14" s="97">
        <v>9</v>
      </c>
      <c r="E14" s="1578"/>
      <c r="F14" s="1578"/>
      <c r="G14" s="1578"/>
      <c r="H14" s="1577"/>
    </row>
    <row r="15" spans="1:8" ht="18.95" customHeight="1" x14ac:dyDescent="0.2">
      <c r="A15" s="45" t="s">
        <v>7356</v>
      </c>
      <c r="B15" s="20" t="s">
        <v>7270</v>
      </c>
      <c r="C15" s="99" t="s">
        <v>7271</v>
      </c>
      <c r="D15" s="97">
        <v>10</v>
      </c>
      <c r="E15" s="1576"/>
      <c r="F15" s="1576"/>
      <c r="G15" s="1576"/>
      <c r="H15" s="1572"/>
    </row>
    <row r="16" spans="1:8" ht="18.95" customHeight="1" x14ac:dyDescent="0.2">
      <c r="A16" s="45" t="s">
        <v>7356</v>
      </c>
      <c r="B16" s="20" t="s">
        <v>198</v>
      </c>
      <c r="C16" s="99" t="s">
        <v>7272</v>
      </c>
      <c r="D16" s="97">
        <v>11</v>
      </c>
      <c r="E16" s="1576"/>
      <c r="F16" s="1576"/>
      <c r="G16" s="1593"/>
      <c r="H16" s="1615"/>
    </row>
    <row r="17" spans="1:8" ht="18.95" customHeight="1" thickBot="1" x14ac:dyDescent="0.25">
      <c r="A17" s="45" t="s">
        <v>7356</v>
      </c>
      <c r="B17" s="20" t="s">
        <v>7366</v>
      </c>
      <c r="C17" s="115" t="s">
        <v>7367</v>
      </c>
      <c r="D17" s="103">
        <v>12</v>
      </c>
      <c r="E17" s="1575"/>
      <c r="F17" s="1575"/>
      <c r="G17" s="1575"/>
      <c r="H17" s="1595"/>
    </row>
    <row r="18" spans="1:8" ht="18.95" customHeight="1" thickBot="1" x14ac:dyDescent="0.25">
      <c r="E18" s="1432"/>
      <c r="F18" s="1432"/>
      <c r="G18" s="1432"/>
      <c r="H18" s="1432"/>
    </row>
    <row r="19" spans="1:8" ht="18.95" customHeight="1" x14ac:dyDescent="0.2">
      <c r="A19" s="45"/>
      <c r="B19" s="20"/>
      <c r="C19" s="116" t="s">
        <v>7368</v>
      </c>
      <c r="D19" s="117"/>
      <c r="E19" s="1574"/>
      <c r="F19" s="1574"/>
      <c r="G19" s="1574"/>
      <c r="H19" s="1590"/>
    </row>
    <row r="20" spans="1:8" ht="18.95" customHeight="1" x14ac:dyDescent="0.2">
      <c r="A20" s="45" t="s">
        <v>7356</v>
      </c>
      <c r="B20" s="20" t="s">
        <v>7369</v>
      </c>
      <c r="C20" s="101" t="s">
        <v>7370</v>
      </c>
      <c r="D20" s="96">
        <v>13</v>
      </c>
      <c r="E20" s="1589"/>
      <c r="F20" s="1589"/>
      <c r="G20" s="1589"/>
      <c r="H20" s="1588"/>
    </row>
    <row r="21" spans="1:8" ht="18.95" customHeight="1" x14ac:dyDescent="0.2">
      <c r="A21" s="45" t="s">
        <v>7356</v>
      </c>
      <c r="B21" s="20" t="s">
        <v>7371</v>
      </c>
      <c r="C21" s="101" t="s">
        <v>7372</v>
      </c>
      <c r="D21" s="96">
        <v>14</v>
      </c>
      <c r="E21" s="1587"/>
      <c r="F21" s="1587"/>
      <c r="G21" s="1587"/>
      <c r="H21" s="1591"/>
    </row>
    <row r="22" spans="1:8" ht="18.95" customHeight="1" x14ac:dyDescent="0.2">
      <c r="A22" s="45" t="s">
        <v>7356</v>
      </c>
      <c r="B22" s="20" t="s">
        <v>7373</v>
      </c>
      <c r="C22" s="101" t="s">
        <v>7374</v>
      </c>
      <c r="D22" s="96">
        <v>15</v>
      </c>
      <c r="E22" s="1587"/>
      <c r="F22" s="1587"/>
      <c r="G22" s="1587"/>
      <c r="H22" s="1591"/>
    </row>
    <row r="23" spans="1:8" ht="18.95" customHeight="1" thickBot="1" x14ac:dyDescent="0.25">
      <c r="A23" s="45" t="s">
        <v>7356</v>
      </c>
      <c r="B23" s="20" t="s">
        <v>7375</v>
      </c>
      <c r="C23" s="102" t="s">
        <v>7376</v>
      </c>
      <c r="D23" s="103">
        <v>16</v>
      </c>
      <c r="E23" s="1598"/>
      <c r="F23" s="1598"/>
      <c r="G23" s="1598"/>
      <c r="H23" s="1573"/>
    </row>
    <row r="24" spans="1:8" ht="18.95" customHeight="1" x14ac:dyDescent="0.2">
      <c r="A24" s="45"/>
      <c r="B24" s="20"/>
      <c r="C24" s="75"/>
      <c r="D24" s="100"/>
      <c r="E24" s="1596"/>
      <c r="F24" s="1596"/>
      <c r="G24" s="1596"/>
      <c r="H24" s="1596"/>
    </row>
    <row r="25" spans="1:8" ht="18.95" customHeight="1" thickBot="1" x14ac:dyDescent="0.25">
      <c r="A25" s="45"/>
      <c r="B25" s="20"/>
      <c r="C25" s="92" t="s">
        <v>7377</v>
      </c>
      <c r="D25" s="100"/>
      <c r="E25" s="1596"/>
      <c r="F25" s="1596"/>
      <c r="G25" s="1596"/>
      <c r="H25" s="1596"/>
    </row>
    <row r="26" spans="1:8" ht="18.95" customHeight="1" x14ac:dyDescent="0.2">
      <c r="A26" s="45" t="s">
        <v>7356</v>
      </c>
      <c r="B26" s="20" t="s">
        <v>1471</v>
      </c>
      <c r="C26" s="104" t="s">
        <v>7378</v>
      </c>
      <c r="D26" s="106">
        <v>17</v>
      </c>
      <c r="E26" s="1594"/>
      <c r="F26" s="1594"/>
      <c r="G26" s="1592"/>
      <c r="H26" s="1613"/>
    </row>
    <row r="27" spans="1:8" ht="13.5" customHeight="1" thickBot="1" x14ac:dyDescent="0.25">
      <c r="A27" s="45" t="s">
        <v>7356</v>
      </c>
      <c r="B27" s="20" t="s">
        <v>1475</v>
      </c>
      <c r="C27" s="102" t="s">
        <v>7379</v>
      </c>
      <c r="D27" s="103">
        <v>18</v>
      </c>
      <c r="E27" s="1598"/>
      <c r="F27" s="1598"/>
      <c r="G27" s="1609"/>
      <c r="H27" s="1606"/>
    </row>
    <row r="28" spans="1:8" ht="13.5" customHeight="1" thickBot="1" x14ac:dyDescent="0.25">
      <c r="B28" s="15"/>
      <c r="C28" s="92" t="s">
        <v>7380</v>
      </c>
      <c r="D28" s="100"/>
      <c r="E28" s="1596"/>
      <c r="F28" s="1596"/>
      <c r="G28" s="1596"/>
      <c r="H28" s="1596"/>
    </row>
    <row r="29" spans="1:8" ht="13.5" customHeight="1" thickBot="1" x14ac:dyDescent="0.25">
      <c r="A29" s="45" t="s">
        <v>7356</v>
      </c>
      <c r="B29" s="20" t="s">
        <v>7381</v>
      </c>
      <c r="C29" s="105" t="s">
        <v>7382</v>
      </c>
      <c r="D29" s="107">
        <v>19</v>
      </c>
      <c r="E29" s="1600"/>
      <c r="F29" s="1600"/>
      <c r="G29" s="1614"/>
      <c r="H29" s="1612"/>
    </row>
    <row r="30" spans="1:8" ht="13.5" customHeight="1" x14ac:dyDescent="0.2">
      <c r="B30" s="15"/>
      <c r="C30" s="23"/>
      <c r="D30" s="100"/>
      <c r="E30" s="1610"/>
      <c r="F30" s="1610"/>
      <c r="G30" s="1610"/>
      <c r="H30" s="1610"/>
    </row>
    <row r="31" spans="1:8" ht="13.5" customHeight="1" thickBot="1" x14ac:dyDescent="0.25">
      <c r="B31" s="15"/>
      <c r="C31" s="93" t="s">
        <v>7383</v>
      </c>
      <c r="D31" s="100"/>
      <c r="E31" s="1610"/>
      <c r="F31" s="1610"/>
      <c r="G31" s="1610"/>
      <c r="H31" s="1610"/>
    </row>
    <row r="32" spans="1:8" ht="13.5" customHeight="1" x14ac:dyDescent="0.2">
      <c r="A32" s="45" t="s">
        <v>7356</v>
      </c>
      <c r="B32" s="20" t="s">
        <v>869</v>
      </c>
      <c r="C32" s="111" t="s">
        <v>167</v>
      </c>
      <c r="D32" s="106">
        <v>20</v>
      </c>
      <c r="E32" s="1608"/>
      <c r="F32" s="1608"/>
      <c r="G32" s="1608"/>
      <c r="H32" s="1605"/>
    </row>
    <row r="33" spans="1:8" ht="12" customHeight="1" x14ac:dyDescent="0.2">
      <c r="A33" s="45" t="s">
        <v>7356</v>
      </c>
      <c r="B33" s="20" t="s">
        <v>863</v>
      </c>
      <c r="C33" s="112" t="s">
        <v>165</v>
      </c>
      <c r="D33" s="96">
        <v>21</v>
      </c>
      <c r="E33" s="1589"/>
      <c r="F33" s="1589"/>
      <c r="G33" s="1589"/>
      <c r="H33" s="1588"/>
    </row>
    <row r="34" spans="1:8" ht="12" customHeight="1" thickBot="1" x14ac:dyDescent="0.25">
      <c r="A34" s="45" t="s">
        <v>7356</v>
      </c>
      <c r="B34" s="20" t="s">
        <v>872</v>
      </c>
      <c r="C34" s="113" t="s">
        <v>171</v>
      </c>
      <c r="D34" s="103">
        <v>22</v>
      </c>
      <c r="E34" s="1598"/>
      <c r="F34" s="1598"/>
      <c r="G34" s="1598"/>
      <c r="H34" s="1573"/>
    </row>
    <row r="35" spans="1:8" ht="12" customHeight="1" x14ac:dyDescent="0.2"/>
  </sheetData>
  <phoneticPr fontId="36" type="noConversion"/>
  <dataValidations count="2">
    <dataValidation type="whole" operator="greaterThanOrEqual" allowBlank="1" showInputMessage="1" showErrorMessage="1" error="Positive whole numbers only / Nombres entiers positifs uniquement" sqref="E19:G20 E26:F26 E6:F13 E17:G17 E23:F24 G6:G14 E29:G31" xr:uid="{00000000-0002-0000-1400-000000000000}">
      <formula1>0</formula1>
    </dataValidation>
    <dataValidation type="whole" operator="greaterThanOrEqual" allowBlank="1" showInputMessage="1" showErrorMessage="1" error="Whole numbers only / Nombres entiers uniquement" sqref="E14:F14" xr:uid="{00000000-0002-0000-1400-000001000000}">
      <formula1>-1000000</formula1>
    </dataValidation>
  </dataValidations>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tabColor rgb="FF25B57B"/>
  </sheetPr>
  <dimension ref="A1:BC37"/>
  <sheetViews>
    <sheetView topLeftCell="C19" workbookViewId="0">
      <selection activeCell="C1" sqref="C1"/>
    </sheetView>
  </sheetViews>
  <sheetFormatPr defaultColWidth="9.140625" defaultRowHeight="12.75" x14ac:dyDescent="0.2"/>
  <cols>
    <col min="1" max="1" width="12" style="23" hidden="1" customWidth="1"/>
    <col min="2" max="2" width="9.85546875" style="23" hidden="1" customWidth="1"/>
    <col min="3" max="3" width="43.140625" style="23" customWidth="1"/>
    <col min="4" max="4" width="7.42578125" style="22" customWidth="1"/>
    <col min="5" max="5" width="18.85546875" style="23" customWidth="1"/>
    <col min="6" max="20" width="9.140625" style="23"/>
    <col min="26" max="26" width="16" style="23" customWidth="1"/>
    <col min="27" max="27" width="41.7109375" style="23" hidden="1" customWidth="1"/>
    <col min="28" max="28" width="2.7109375" style="23" hidden="1" customWidth="1"/>
    <col min="29" max="29" width="13.85546875" style="23" hidden="1" customWidth="1"/>
    <col min="30" max="52" width="0" style="23" hidden="1" customWidth="1"/>
    <col min="53" max="53" width="45.7109375" style="23" hidden="1" customWidth="1"/>
    <col min="54" max="84" width="0" style="23" hidden="1" customWidth="1"/>
    <col min="85" max="16384" width="9.140625" style="23"/>
  </cols>
  <sheetData>
    <row r="1" spans="1:55" s="36" customFormat="1" ht="30" customHeight="1" x14ac:dyDescent="0.25">
      <c r="A1" s="140"/>
      <c r="B1"/>
      <c r="C1" s="2064">
        <f>DataYear</f>
        <v>2019</v>
      </c>
      <c r="D1" s="2327" t="s">
        <v>7384</v>
      </c>
      <c r="E1" s="2328"/>
      <c r="F1" s="2328"/>
      <c r="G1"/>
      <c r="H1"/>
      <c r="I1"/>
      <c r="J1"/>
      <c r="K1"/>
      <c r="L1"/>
      <c r="M1"/>
      <c r="N1"/>
      <c r="O1"/>
      <c r="P1"/>
      <c r="Q1"/>
      <c r="R1"/>
      <c r="S1"/>
      <c r="T1"/>
      <c r="U1"/>
      <c r="V1"/>
      <c r="W1"/>
      <c r="X1"/>
      <c r="Y1"/>
      <c r="Z1"/>
      <c r="AA1" s="119" t="s">
        <v>7384</v>
      </c>
      <c r="AB1"/>
      <c r="AC1"/>
      <c r="AD1"/>
      <c r="AE1" s="130" t="s">
        <v>7384</v>
      </c>
      <c r="AF1" s="152" t="s">
        <v>7385</v>
      </c>
      <c r="AG1" s="153" t="s">
        <v>7386</v>
      </c>
      <c r="AH1"/>
      <c r="AI1"/>
      <c r="AJ1"/>
      <c r="AK1"/>
      <c r="AL1"/>
      <c r="AM1"/>
      <c r="AN1"/>
      <c r="AO1"/>
      <c r="AP1"/>
      <c r="AQ1"/>
      <c r="AR1"/>
      <c r="AS1"/>
      <c r="AT1"/>
      <c r="AU1"/>
      <c r="AV1"/>
      <c r="AW1"/>
      <c r="AX1"/>
      <c r="AY1"/>
      <c r="AZ1"/>
      <c r="BA1" s="119" t="s">
        <v>7385</v>
      </c>
      <c r="BB1"/>
      <c r="BC1"/>
    </row>
    <row r="2" spans="1:55" ht="24" customHeight="1" thickBot="1" x14ac:dyDescent="0.25">
      <c r="A2" s="8"/>
      <c r="B2" s="17" t="s">
        <v>7233</v>
      </c>
      <c r="C2" s="118" t="str">
        <f>CountryName</f>
        <v>South Africa</v>
      </c>
      <c r="D2"/>
      <c r="E2" s="148" t="s">
        <v>7350</v>
      </c>
      <c r="F2"/>
      <c r="G2"/>
      <c r="H2"/>
      <c r="I2"/>
      <c r="J2"/>
      <c r="K2"/>
      <c r="L2"/>
      <c r="M2"/>
      <c r="N2"/>
      <c r="O2"/>
      <c r="P2"/>
      <c r="Q2"/>
      <c r="R2"/>
      <c r="S2"/>
      <c r="T2"/>
      <c r="Z2"/>
      <c r="AA2"/>
      <c r="AB2"/>
      <c r="AC2"/>
      <c r="AD2"/>
      <c r="AE2" s="131"/>
      <c r="AG2" s="154"/>
      <c r="AH2"/>
      <c r="AI2"/>
      <c r="AJ2"/>
      <c r="AK2"/>
      <c r="AL2"/>
      <c r="AM2"/>
      <c r="AN2"/>
      <c r="AO2"/>
      <c r="AP2"/>
      <c r="AQ2"/>
      <c r="AR2"/>
      <c r="AS2"/>
      <c r="AT2"/>
      <c r="AU2"/>
      <c r="AV2"/>
      <c r="AW2"/>
      <c r="AX2"/>
      <c r="AY2"/>
      <c r="AZ2"/>
      <c r="BA2"/>
      <c r="BB2"/>
      <c r="BC2"/>
    </row>
    <row r="3" spans="1:55" ht="15" customHeight="1" x14ac:dyDescent="0.2">
      <c r="A3"/>
      <c r="B3"/>
      <c r="C3" s="130"/>
      <c r="D3" s="1617"/>
      <c r="E3" s="1619" t="s">
        <v>7387</v>
      </c>
      <c r="F3"/>
      <c r="G3"/>
      <c r="H3"/>
      <c r="I3"/>
      <c r="J3"/>
      <c r="K3"/>
      <c r="L3"/>
      <c r="M3"/>
      <c r="N3"/>
      <c r="O3"/>
      <c r="P3"/>
      <c r="Q3"/>
      <c r="R3"/>
      <c r="S3"/>
      <c r="T3"/>
      <c r="Z3"/>
      <c r="AA3"/>
      <c r="AB3"/>
      <c r="AC3" s="126" t="s">
        <v>7387</v>
      </c>
      <c r="AD3"/>
      <c r="AE3" s="131" t="s">
        <v>7387</v>
      </c>
      <c r="AF3" s="23" t="s">
        <v>7388</v>
      </c>
      <c r="AG3" s="154" t="s">
        <v>7389</v>
      </c>
      <c r="AH3"/>
      <c r="AI3"/>
      <c r="AJ3"/>
      <c r="AK3"/>
      <c r="AL3"/>
      <c r="AM3"/>
      <c r="AN3"/>
      <c r="AO3"/>
      <c r="AP3"/>
      <c r="AQ3"/>
      <c r="AR3"/>
      <c r="AS3"/>
      <c r="AT3"/>
      <c r="AU3"/>
      <c r="AV3"/>
      <c r="AW3"/>
      <c r="AX3"/>
      <c r="AY3"/>
      <c r="AZ3"/>
      <c r="BA3"/>
      <c r="BB3"/>
      <c r="BC3" s="126" t="s">
        <v>7388</v>
      </c>
    </row>
    <row r="4" spans="1:55" ht="24" customHeight="1" x14ac:dyDescent="0.2">
      <c r="A4" s="45"/>
      <c r="B4" s="45"/>
      <c r="C4" s="131"/>
      <c r="D4" s="1616"/>
      <c r="E4" s="1620" t="s">
        <v>7390</v>
      </c>
      <c r="F4"/>
      <c r="G4"/>
      <c r="H4"/>
      <c r="I4"/>
      <c r="J4"/>
      <c r="K4"/>
      <c r="L4"/>
      <c r="M4"/>
      <c r="N4"/>
      <c r="O4"/>
      <c r="P4"/>
      <c r="Q4"/>
      <c r="R4"/>
      <c r="S4"/>
      <c r="T4"/>
      <c r="Z4"/>
      <c r="AA4"/>
      <c r="AB4"/>
      <c r="AC4" s="127" t="s">
        <v>7390</v>
      </c>
      <c r="AD4"/>
      <c r="AE4" s="131" t="s">
        <v>7390</v>
      </c>
      <c r="AF4" s="23" t="s">
        <v>7391</v>
      </c>
      <c r="AG4" s="154" t="s">
        <v>7392</v>
      </c>
      <c r="AH4"/>
      <c r="AI4"/>
      <c r="AJ4"/>
      <c r="AK4"/>
      <c r="AL4"/>
      <c r="AM4"/>
      <c r="AN4"/>
      <c r="AO4"/>
      <c r="AP4"/>
      <c r="AQ4"/>
      <c r="AR4"/>
      <c r="AS4"/>
      <c r="AT4"/>
      <c r="AU4"/>
      <c r="AV4"/>
      <c r="AW4"/>
      <c r="AX4"/>
      <c r="AY4"/>
      <c r="AZ4"/>
      <c r="BA4"/>
      <c r="BB4"/>
      <c r="BC4" s="127" t="s">
        <v>7391</v>
      </c>
    </row>
    <row r="5" spans="1:55" s="24" customFormat="1" ht="12.75" customHeight="1" thickBot="1" x14ac:dyDescent="0.25">
      <c r="A5" s="18" t="s">
        <v>7234</v>
      </c>
      <c r="B5" s="18" t="s">
        <v>7235</v>
      </c>
      <c r="C5" s="132"/>
      <c r="D5" s="76"/>
      <c r="E5" s="1618" t="s">
        <v>7239</v>
      </c>
      <c r="U5"/>
      <c r="V5"/>
      <c r="W5"/>
      <c r="X5"/>
      <c r="Y5"/>
      <c r="AE5" s="155"/>
      <c r="AG5" s="156"/>
    </row>
    <row r="6" spans="1:55" ht="21.75" customHeight="1" thickBot="1" x14ac:dyDescent="0.25">
      <c r="A6" s="20" t="s">
        <v>7393</v>
      </c>
      <c r="B6" s="20" t="s">
        <v>7394</v>
      </c>
      <c r="C6" s="1621" t="s">
        <v>7395</v>
      </c>
      <c r="D6" s="97">
        <v>1</v>
      </c>
      <c r="E6" s="1628"/>
      <c r="F6"/>
      <c r="G6"/>
      <c r="H6"/>
      <c r="I6"/>
      <c r="J6"/>
      <c r="K6"/>
      <c r="L6"/>
      <c r="M6"/>
      <c r="N6"/>
      <c r="O6"/>
      <c r="P6"/>
      <c r="Q6"/>
      <c r="R6"/>
      <c r="S6"/>
      <c r="T6"/>
      <c r="Z6"/>
      <c r="AA6" s="120" t="s">
        <v>7395</v>
      </c>
      <c r="AB6" s="141" t="s">
        <v>7396</v>
      </c>
      <c r="AC6" s="143">
        <v>0</v>
      </c>
      <c r="AD6"/>
      <c r="AE6" s="131" t="s">
        <v>7395</v>
      </c>
      <c r="AF6" s="23" t="s">
        <v>7397</v>
      </c>
      <c r="AG6" s="154" t="s">
        <v>7398</v>
      </c>
      <c r="AH6"/>
      <c r="AI6"/>
      <c r="AJ6"/>
      <c r="AK6"/>
      <c r="AL6"/>
      <c r="AM6"/>
      <c r="AN6"/>
      <c r="AO6"/>
      <c r="AP6"/>
      <c r="AQ6"/>
      <c r="AR6"/>
      <c r="AS6"/>
      <c r="AT6"/>
      <c r="AU6"/>
      <c r="AV6"/>
      <c r="AW6"/>
      <c r="AX6"/>
      <c r="AY6"/>
      <c r="AZ6"/>
      <c r="BA6" s="120" t="s">
        <v>7397</v>
      </c>
      <c r="BB6"/>
      <c r="BC6"/>
    </row>
    <row r="7" spans="1:55" ht="21.95" customHeight="1" x14ac:dyDescent="0.2">
      <c r="A7" s="20" t="s">
        <v>7393</v>
      </c>
      <c r="B7" s="20" t="s">
        <v>936</v>
      </c>
      <c r="C7" s="146" t="s">
        <v>7399</v>
      </c>
      <c r="D7" s="96">
        <v>2</v>
      </c>
      <c r="E7" s="1629"/>
      <c r="F7"/>
      <c r="G7"/>
      <c r="H7"/>
      <c r="I7"/>
      <c r="J7"/>
      <c r="K7"/>
      <c r="L7"/>
      <c r="M7"/>
      <c r="N7"/>
      <c r="O7"/>
      <c r="P7"/>
      <c r="Q7"/>
      <c r="R7"/>
      <c r="S7"/>
      <c r="T7"/>
      <c r="Z7"/>
      <c r="AA7" s="149" t="s">
        <v>7399</v>
      </c>
      <c r="AB7" s="129" t="s">
        <v>7400</v>
      </c>
      <c r="AC7" s="142">
        <v>0</v>
      </c>
      <c r="AD7"/>
      <c r="AE7" s="131" t="s">
        <v>7399</v>
      </c>
      <c r="AF7" s="23" t="s">
        <v>7401</v>
      </c>
      <c r="AG7" s="154" t="s">
        <v>7402</v>
      </c>
      <c r="AH7"/>
      <c r="AI7"/>
      <c r="AJ7"/>
      <c r="AK7"/>
      <c r="AL7"/>
      <c r="AM7"/>
      <c r="AN7"/>
      <c r="AO7"/>
      <c r="AP7"/>
      <c r="AQ7"/>
      <c r="AR7"/>
      <c r="AS7"/>
      <c r="AT7"/>
      <c r="AU7"/>
      <c r="AV7"/>
      <c r="AW7"/>
      <c r="AX7"/>
      <c r="AY7"/>
      <c r="AZ7"/>
      <c r="BA7" s="121" t="s">
        <v>7401</v>
      </c>
      <c r="BB7"/>
      <c r="BC7"/>
    </row>
    <row r="8" spans="1:55" ht="18" customHeight="1" x14ac:dyDescent="0.2">
      <c r="A8" s="20" t="s">
        <v>7393</v>
      </c>
      <c r="B8" s="20" t="s">
        <v>940</v>
      </c>
      <c r="C8" s="112" t="s">
        <v>7278</v>
      </c>
      <c r="D8" s="96">
        <v>3</v>
      </c>
      <c r="E8" s="1626"/>
      <c r="F8"/>
      <c r="G8"/>
      <c r="H8"/>
      <c r="I8"/>
      <c r="J8"/>
      <c r="K8"/>
      <c r="L8"/>
      <c r="M8"/>
      <c r="N8"/>
      <c r="O8"/>
      <c r="P8"/>
      <c r="Q8"/>
      <c r="R8"/>
      <c r="S8"/>
      <c r="T8"/>
      <c r="Z8"/>
      <c r="AA8" s="144" t="s">
        <v>7008</v>
      </c>
      <c r="AB8" s="129" t="s">
        <v>7403</v>
      </c>
      <c r="AC8" s="136"/>
      <c r="AD8"/>
      <c r="AE8" s="131" t="s">
        <v>7008</v>
      </c>
      <c r="AF8" s="23" t="s">
        <v>7404</v>
      </c>
      <c r="AG8" s="154" t="s">
        <v>7405</v>
      </c>
      <c r="AH8"/>
      <c r="AI8"/>
      <c r="AJ8"/>
      <c r="AK8"/>
      <c r="AL8"/>
      <c r="AM8"/>
      <c r="AN8"/>
      <c r="AO8"/>
      <c r="AP8"/>
      <c r="AQ8"/>
      <c r="AR8"/>
      <c r="AS8"/>
      <c r="AT8"/>
      <c r="AU8"/>
      <c r="AV8"/>
      <c r="AW8"/>
      <c r="AX8"/>
      <c r="AY8"/>
      <c r="AZ8"/>
      <c r="BA8" s="122" t="s">
        <v>7404</v>
      </c>
      <c r="BB8"/>
      <c r="BC8"/>
    </row>
    <row r="9" spans="1:55" ht="18" customHeight="1" x14ac:dyDescent="0.2">
      <c r="A9" s="20" t="s">
        <v>7393</v>
      </c>
      <c r="B9" s="20" t="s">
        <v>947</v>
      </c>
      <c r="C9" s="112" t="s">
        <v>7281</v>
      </c>
      <c r="D9" s="96">
        <v>4</v>
      </c>
      <c r="E9" s="1626"/>
      <c r="F9"/>
      <c r="G9"/>
      <c r="H9"/>
      <c r="I9"/>
      <c r="J9"/>
      <c r="K9"/>
      <c r="L9"/>
      <c r="M9"/>
      <c r="N9"/>
      <c r="O9"/>
      <c r="P9"/>
      <c r="Q9"/>
      <c r="R9"/>
      <c r="S9"/>
      <c r="T9"/>
      <c r="Z9"/>
      <c r="AA9" s="144" t="s">
        <v>948</v>
      </c>
      <c r="AB9" s="129" t="s">
        <v>7406</v>
      </c>
      <c r="AC9" s="136"/>
      <c r="AD9"/>
      <c r="AE9" s="131" t="s">
        <v>948</v>
      </c>
      <c r="AF9" s="23" t="s">
        <v>7407</v>
      </c>
      <c r="AG9" s="154" t="s">
        <v>7408</v>
      </c>
      <c r="AH9"/>
      <c r="AI9"/>
      <c r="AJ9"/>
      <c r="AK9"/>
      <c r="AL9"/>
      <c r="AM9"/>
      <c r="AN9"/>
      <c r="AO9"/>
      <c r="AP9"/>
      <c r="AQ9"/>
      <c r="AR9"/>
      <c r="AS9"/>
      <c r="AT9"/>
      <c r="AU9"/>
      <c r="AV9"/>
      <c r="AW9"/>
      <c r="AX9"/>
      <c r="AY9"/>
      <c r="AZ9"/>
      <c r="BA9" s="122" t="s">
        <v>7407</v>
      </c>
      <c r="BB9"/>
      <c r="BC9"/>
    </row>
    <row r="10" spans="1:55" ht="18" customHeight="1" x14ac:dyDescent="0.2">
      <c r="A10" s="20" t="s">
        <v>7393</v>
      </c>
      <c r="B10" s="20" t="s">
        <v>954</v>
      </c>
      <c r="C10" s="112" t="s">
        <v>7279</v>
      </c>
      <c r="D10" s="96">
        <v>5</v>
      </c>
      <c r="E10" s="1626"/>
      <c r="F10"/>
      <c r="G10"/>
      <c r="H10"/>
      <c r="I10"/>
      <c r="J10"/>
      <c r="K10"/>
      <c r="L10"/>
      <c r="M10"/>
      <c r="N10"/>
      <c r="O10"/>
      <c r="P10"/>
      <c r="Q10"/>
      <c r="R10"/>
      <c r="S10"/>
      <c r="T10"/>
      <c r="Z10"/>
      <c r="AA10" s="144" t="s">
        <v>955</v>
      </c>
      <c r="AB10" s="129" t="s">
        <v>7409</v>
      </c>
      <c r="AC10" s="136"/>
      <c r="AD10"/>
      <c r="AE10" s="131" t="s">
        <v>955</v>
      </c>
      <c r="AF10" s="23" t="s">
        <v>7410</v>
      </c>
      <c r="AG10" s="154" t="s">
        <v>7411</v>
      </c>
      <c r="AH10"/>
      <c r="AI10"/>
      <c r="AJ10"/>
      <c r="AK10"/>
      <c r="AL10"/>
      <c r="AM10"/>
      <c r="AN10"/>
      <c r="AO10"/>
      <c r="AP10"/>
      <c r="AQ10"/>
      <c r="AR10"/>
      <c r="AS10"/>
      <c r="AT10"/>
      <c r="AU10"/>
      <c r="AV10"/>
      <c r="AW10"/>
      <c r="AX10"/>
      <c r="AY10"/>
      <c r="AZ10"/>
      <c r="BA10" s="122" t="s">
        <v>7410</v>
      </c>
      <c r="BB10"/>
      <c r="BC10"/>
    </row>
    <row r="11" spans="1:55" ht="18" customHeight="1" x14ac:dyDescent="0.2">
      <c r="A11" s="20" t="s">
        <v>7393</v>
      </c>
      <c r="B11" s="20" t="s">
        <v>961</v>
      </c>
      <c r="C11" s="112" t="s">
        <v>7282</v>
      </c>
      <c r="D11" s="96">
        <v>6</v>
      </c>
      <c r="E11" s="1626"/>
      <c r="F11"/>
      <c r="G11"/>
      <c r="H11"/>
      <c r="I11"/>
      <c r="J11"/>
      <c r="K11"/>
      <c r="L11"/>
      <c r="M11"/>
      <c r="N11"/>
      <c r="O11"/>
      <c r="P11"/>
      <c r="Q11"/>
      <c r="R11"/>
      <c r="S11"/>
      <c r="T11"/>
      <c r="Z11"/>
      <c r="AA11" s="144" t="s">
        <v>962</v>
      </c>
      <c r="AB11" s="129" t="s">
        <v>7412</v>
      </c>
      <c r="AC11" s="136"/>
      <c r="AD11"/>
      <c r="AE11" s="131" t="s">
        <v>962</v>
      </c>
      <c r="AF11" s="23" t="s">
        <v>7413</v>
      </c>
      <c r="AG11" s="154" t="s">
        <v>7414</v>
      </c>
      <c r="AH11"/>
      <c r="AI11"/>
      <c r="AJ11"/>
      <c r="AK11"/>
      <c r="AL11"/>
      <c r="AM11"/>
      <c r="AN11"/>
      <c r="AO11"/>
      <c r="AP11"/>
      <c r="AQ11"/>
      <c r="AR11"/>
      <c r="AS11"/>
      <c r="AT11"/>
      <c r="AU11"/>
      <c r="AV11"/>
      <c r="AW11"/>
      <c r="AX11"/>
      <c r="AY11"/>
      <c r="AZ11"/>
      <c r="BA11" s="122" t="s">
        <v>7413</v>
      </c>
      <c r="BB11"/>
      <c r="BC11"/>
    </row>
    <row r="12" spans="1:55" ht="18" customHeight="1" x14ac:dyDescent="0.2">
      <c r="A12" s="20" t="s">
        <v>7393</v>
      </c>
      <c r="B12" s="20" t="s">
        <v>968</v>
      </c>
      <c r="C12" s="112" t="s">
        <v>7280</v>
      </c>
      <c r="D12" s="96">
        <v>7</v>
      </c>
      <c r="E12" s="1626"/>
      <c r="F12"/>
      <c r="G12"/>
      <c r="H12"/>
      <c r="I12"/>
      <c r="J12"/>
      <c r="K12"/>
      <c r="L12"/>
      <c r="M12"/>
      <c r="N12"/>
      <c r="O12"/>
      <c r="P12"/>
      <c r="Q12"/>
      <c r="R12"/>
      <c r="S12"/>
      <c r="T12"/>
      <c r="Z12"/>
      <c r="AA12" s="144" t="s">
        <v>969</v>
      </c>
      <c r="AB12" s="129" t="s">
        <v>7415</v>
      </c>
      <c r="AC12" s="136"/>
      <c r="AD12"/>
      <c r="AE12" s="131" t="s">
        <v>969</v>
      </c>
      <c r="AF12" s="23" t="s">
        <v>7416</v>
      </c>
      <c r="AG12" s="154" t="s">
        <v>7417</v>
      </c>
      <c r="AH12"/>
      <c r="AI12"/>
      <c r="AJ12"/>
      <c r="AK12"/>
      <c r="AL12"/>
      <c r="AM12"/>
      <c r="AN12"/>
      <c r="AO12"/>
      <c r="AP12"/>
      <c r="AQ12"/>
      <c r="AR12"/>
      <c r="AS12"/>
      <c r="AT12"/>
      <c r="AU12"/>
      <c r="AV12"/>
      <c r="AW12"/>
      <c r="AX12"/>
      <c r="AY12"/>
      <c r="AZ12"/>
      <c r="BA12" s="122" t="s">
        <v>7416</v>
      </c>
      <c r="BB12"/>
      <c r="BC12"/>
    </row>
    <row r="13" spans="1:55" ht="18" customHeight="1" x14ac:dyDescent="0.2">
      <c r="A13" s="20" t="s">
        <v>7393</v>
      </c>
      <c r="B13" s="20" t="s">
        <v>975</v>
      </c>
      <c r="C13" s="112" t="s">
        <v>7283</v>
      </c>
      <c r="D13" s="96">
        <v>8</v>
      </c>
      <c r="E13" s="1626"/>
      <c r="F13"/>
      <c r="G13"/>
      <c r="H13"/>
      <c r="I13"/>
      <c r="J13"/>
      <c r="K13"/>
      <c r="L13"/>
      <c r="M13"/>
      <c r="N13"/>
      <c r="O13"/>
      <c r="P13"/>
      <c r="Q13"/>
      <c r="R13"/>
      <c r="S13"/>
      <c r="T13"/>
      <c r="Z13"/>
      <c r="AA13" s="144" t="s">
        <v>976</v>
      </c>
      <c r="AB13" s="129" t="s">
        <v>7418</v>
      </c>
      <c r="AC13" s="136"/>
      <c r="AD13"/>
      <c r="AE13" s="131" t="s">
        <v>976</v>
      </c>
      <c r="AF13" s="23" t="s">
        <v>7419</v>
      </c>
      <c r="AG13" s="154" t="s">
        <v>7420</v>
      </c>
      <c r="AH13"/>
      <c r="AI13"/>
      <c r="AJ13"/>
      <c r="AK13"/>
      <c r="AL13"/>
      <c r="AM13"/>
      <c r="AN13"/>
      <c r="AO13"/>
      <c r="AP13"/>
      <c r="AQ13"/>
      <c r="AR13"/>
      <c r="AS13"/>
      <c r="AT13"/>
      <c r="AU13"/>
      <c r="AV13"/>
      <c r="AW13"/>
      <c r="AX13"/>
      <c r="AY13"/>
      <c r="AZ13"/>
      <c r="BA13" s="122" t="s">
        <v>7419</v>
      </c>
      <c r="BB13"/>
      <c r="BC13"/>
    </row>
    <row r="14" spans="1:55" ht="18" customHeight="1" x14ac:dyDescent="0.2">
      <c r="A14" s="20" t="s">
        <v>7393</v>
      </c>
      <c r="B14" s="20" t="s">
        <v>1010</v>
      </c>
      <c r="C14" s="112" t="s">
        <v>7287</v>
      </c>
      <c r="D14" s="96">
        <v>9</v>
      </c>
      <c r="E14" s="1626"/>
      <c r="F14"/>
      <c r="G14"/>
      <c r="H14"/>
      <c r="I14"/>
      <c r="J14"/>
      <c r="K14"/>
      <c r="L14"/>
      <c r="M14"/>
      <c r="N14"/>
      <c r="O14"/>
      <c r="P14"/>
      <c r="Q14"/>
      <c r="R14"/>
      <c r="S14"/>
      <c r="T14"/>
      <c r="Z14"/>
      <c r="AA14" s="144" t="s">
        <v>7287</v>
      </c>
      <c r="AB14" s="129" t="s">
        <v>7421</v>
      </c>
      <c r="AC14" s="136"/>
      <c r="AD14"/>
      <c r="AE14" s="131" t="s">
        <v>7287</v>
      </c>
      <c r="AF14" s="23" t="s">
        <v>7422</v>
      </c>
      <c r="AG14" s="154" t="s">
        <v>1012</v>
      </c>
      <c r="AH14"/>
      <c r="AI14"/>
      <c r="AJ14"/>
      <c r="AK14"/>
      <c r="AL14"/>
      <c r="AM14"/>
      <c r="AN14"/>
      <c r="AO14"/>
      <c r="AP14"/>
      <c r="AQ14"/>
      <c r="AR14"/>
      <c r="AS14"/>
      <c r="AT14"/>
      <c r="AU14"/>
      <c r="AV14"/>
      <c r="AW14"/>
      <c r="AX14"/>
      <c r="AY14"/>
      <c r="AZ14"/>
      <c r="BA14" s="122" t="s">
        <v>7422</v>
      </c>
      <c r="BB14"/>
      <c r="BC14"/>
    </row>
    <row r="15" spans="1:55" ht="18" customHeight="1" x14ac:dyDescent="0.2">
      <c r="A15" s="20" t="s">
        <v>7393</v>
      </c>
      <c r="B15" s="20" t="s">
        <v>1003</v>
      </c>
      <c r="C15" s="112" t="s">
        <v>7285</v>
      </c>
      <c r="D15" s="96">
        <v>10</v>
      </c>
      <c r="E15" s="1626"/>
      <c r="F15"/>
      <c r="G15"/>
      <c r="H15"/>
      <c r="I15"/>
      <c r="J15"/>
      <c r="K15"/>
      <c r="L15"/>
      <c r="M15"/>
      <c r="N15"/>
      <c r="O15"/>
      <c r="P15"/>
      <c r="Q15"/>
      <c r="R15"/>
      <c r="S15"/>
      <c r="T15"/>
      <c r="Z15"/>
      <c r="AA15" s="144" t="s">
        <v>7285</v>
      </c>
      <c r="AB15" s="129" t="s">
        <v>7423</v>
      </c>
      <c r="AC15" s="136"/>
      <c r="AD15"/>
      <c r="AE15" s="131" t="s">
        <v>7285</v>
      </c>
      <c r="AF15" s="23" t="s">
        <v>7424</v>
      </c>
      <c r="AG15" s="154" t="s">
        <v>1005</v>
      </c>
      <c r="AH15"/>
      <c r="AI15"/>
      <c r="AJ15"/>
      <c r="AK15"/>
      <c r="AL15"/>
      <c r="AM15"/>
      <c r="AN15"/>
      <c r="AO15"/>
      <c r="AP15"/>
      <c r="AQ15"/>
      <c r="AR15"/>
      <c r="AS15"/>
      <c r="AT15"/>
      <c r="AU15"/>
      <c r="AV15"/>
      <c r="AW15"/>
      <c r="AX15"/>
      <c r="AY15"/>
      <c r="AZ15"/>
      <c r="BA15" s="122" t="s">
        <v>7424</v>
      </c>
      <c r="BB15"/>
      <c r="BC15"/>
    </row>
    <row r="16" spans="1:55" ht="18" customHeight="1" x14ac:dyDescent="0.2">
      <c r="A16" s="20" t="s">
        <v>7393</v>
      </c>
      <c r="B16" s="20" t="s">
        <v>1017</v>
      </c>
      <c r="C16" s="112" t="s">
        <v>7288</v>
      </c>
      <c r="D16" s="96">
        <v>11</v>
      </c>
      <c r="E16" s="1626"/>
      <c r="F16"/>
      <c r="G16"/>
      <c r="H16"/>
      <c r="I16"/>
      <c r="J16"/>
      <c r="K16"/>
      <c r="L16"/>
      <c r="M16"/>
      <c r="N16"/>
      <c r="O16"/>
      <c r="P16"/>
      <c r="Q16"/>
      <c r="R16"/>
      <c r="S16"/>
      <c r="T16"/>
      <c r="Z16"/>
      <c r="AA16" s="144" t="s">
        <v>7288</v>
      </c>
      <c r="AB16" s="129" t="s">
        <v>7425</v>
      </c>
      <c r="AC16" s="136"/>
      <c r="AD16"/>
      <c r="AE16" s="131" t="s">
        <v>7288</v>
      </c>
      <c r="AF16" s="23" t="s">
        <v>7426</v>
      </c>
      <c r="AG16" s="154" t="s">
        <v>1019</v>
      </c>
      <c r="AH16"/>
      <c r="AI16"/>
      <c r="AJ16"/>
      <c r="AK16"/>
      <c r="AL16"/>
      <c r="AM16"/>
      <c r="AN16"/>
      <c r="AO16"/>
      <c r="AP16"/>
      <c r="AQ16"/>
      <c r="AR16"/>
      <c r="AS16"/>
      <c r="AT16"/>
      <c r="AU16"/>
      <c r="AV16"/>
      <c r="AW16"/>
      <c r="AX16"/>
      <c r="AY16"/>
      <c r="AZ16"/>
      <c r="BA16" s="122" t="s">
        <v>7426</v>
      </c>
      <c r="BB16"/>
      <c r="BC16"/>
    </row>
    <row r="17" spans="1:53" ht="18" customHeight="1" x14ac:dyDescent="0.2">
      <c r="A17" s="20" t="s">
        <v>7393</v>
      </c>
      <c r="B17" s="20" t="s">
        <v>1051</v>
      </c>
      <c r="C17" s="112" t="s">
        <v>7427</v>
      </c>
      <c r="D17" s="96">
        <v>12</v>
      </c>
      <c r="E17" s="1626"/>
      <c r="F17"/>
      <c r="G17"/>
      <c r="H17"/>
      <c r="I17"/>
      <c r="J17"/>
      <c r="K17"/>
      <c r="L17"/>
      <c r="M17"/>
      <c r="N17"/>
      <c r="O17"/>
      <c r="P17"/>
      <c r="Q17"/>
      <c r="R17"/>
      <c r="S17"/>
      <c r="T17"/>
      <c r="Z17"/>
      <c r="AA17" s="144" t="s">
        <v>7428</v>
      </c>
      <c r="AB17" s="129" t="s">
        <v>7429</v>
      </c>
      <c r="AC17" s="136"/>
      <c r="AD17"/>
      <c r="AE17" s="131" t="s">
        <v>7428</v>
      </c>
      <c r="AF17" s="23" t="s">
        <v>7430</v>
      </c>
      <c r="AG17" s="154" t="s">
        <v>1053</v>
      </c>
      <c r="AH17"/>
      <c r="AI17"/>
      <c r="AJ17"/>
      <c r="AK17"/>
      <c r="AL17"/>
      <c r="AM17"/>
      <c r="AN17"/>
      <c r="AO17"/>
      <c r="AP17"/>
      <c r="AQ17"/>
      <c r="AR17"/>
      <c r="AS17"/>
      <c r="AT17"/>
      <c r="AU17"/>
      <c r="AV17"/>
      <c r="AW17"/>
      <c r="AX17"/>
      <c r="AY17"/>
      <c r="AZ17"/>
      <c r="BA17" s="122" t="s">
        <v>7430</v>
      </c>
    </row>
    <row r="18" spans="1:53" ht="18" customHeight="1" x14ac:dyDescent="0.2">
      <c r="A18" s="20" t="s">
        <v>7393</v>
      </c>
      <c r="B18" s="20" t="s">
        <v>7431</v>
      </c>
      <c r="C18" s="1627" t="s">
        <v>7432</v>
      </c>
      <c r="D18" s="96">
        <v>13</v>
      </c>
      <c r="E18" s="1626"/>
      <c r="F18"/>
      <c r="G18"/>
      <c r="H18"/>
      <c r="I18"/>
      <c r="J18"/>
      <c r="K18"/>
      <c r="L18"/>
      <c r="M18"/>
      <c r="N18"/>
      <c r="O18"/>
      <c r="P18"/>
      <c r="Q18"/>
      <c r="R18"/>
      <c r="S18"/>
      <c r="T18"/>
      <c r="Z18"/>
      <c r="AA18" s="144" t="s">
        <v>7290</v>
      </c>
      <c r="AB18" s="129" t="s">
        <v>7433</v>
      </c>
      <c r="AC18" s="136"/>
      <c r="AD18"/>
      <c r="AE18" s="131" t="s">
        <v>7290</v>
      </c>
      <c r="AF18" s="23" t="s">
        <v>7434</v>
      </c>
      <c r="AG18" s="154" t="s">
        <v>7435</v>
      </c>
      <c r="AH18"/>
      <c r="AI18"/>
      <c r="AJ18"/>
      <c r="AK18"/>
      <c r="AL18"/>
      <c r="AM18"/>
      <c r="AN18"/>
      <c r="AO18"/>
      <c r="AP18"/>
      <c r="AQ18"/>
      <c r="AR18"/>
      <c r="AS18"/>
      <c r="AT18"/>
      <c r="AU18"/>
      <c r="AV18"/>
      <c r="AW18"/>
      <c r="AX18"/>
      <c r="AY18"/>
      <c r="AZ18"/>
      <c r="BA18" s="122" t="s">
        <v>7434</v>
      </c>
    </row>
    <row r="19" spans="1:53" ht="21.95" customHeight="1" x14ac:dyDescent="0.2">
      <c r="A19" s="20" t="s">
        <v>7393</v>
      </c>
      <c r="B19" s="20" t="s">
        <v>1072</v>
      </c>
      <c r="C19" s="112" t="s">
        <v>7290</v>
      </c>
      <c r="D19" s="96">
        <v>14</v>
      </c>
      <c r="E19" s="1626"/>
      <c r="F19"/>
      <c r="G19"/>
      <c r="H19"/>
      <c r="I19"/>
      <c r="J19"/>
      <c r="K19"/>
      <c r="L19"/>
      <c r="M19"/>
      <c r="N19"/>
      <c r="O19"/>
      <c r="P19"/>
      <c r="Q19"/>
      <c r="R19"/>
      <c r="S19"/>
      <c r="T19"/>
      <c r="Z19"/>
      <c r="AA19" s="149" t="s">
        <v>7436</v>
      </c>
      <c r="AB19" s="129" t="s">
        <v>7437</v>
      </c>
      <c r="AC19" s="135">
        <v>0</v>
      </c>
      <c r="AD19"/>
      <c r="AE19" s="131" t="s">
        <v>7436</v>
      </c>
      <c r="AF19" s="23" t="s">
        <v>7438</v>
      </c>
      <c r="AG19" s="154" t="s">
        <v>7439</v>
      </c>
      <c r="AH19"/>
      <c r="AI19"/>
      <c r="AJ19"/>
      <c r="AK19"/>
      <c r="AL19"/>
      <c r="AM19"/>
      <c r="AN19"/>
      <c r="AO19"/>
      <c r="AP19"/>
      <c r="AQ19"/>
      <c r="AR19"/>
      <c r="AS19"/>
      <c r="AT19"/>
      <c r="AU19"/>
      <c r="AV19"/>
      <c r="AW19"/>
      <c r="AX19"/>
      <c r="AY19"/>
      <c r="AZ19"/>
      <c r="BA19" s="121" t="s">
        <v>7438</v>
      </c>
    </row>
    <row r="20" spans="1:53" ht="18" customHeight="1" x14ac:dyDescent="0.2">
      <c r="A20" s="20" t="s">
        <v>7393</v>
      </c>
      <c r="B20" s="20" t="s">
        <v>1082</v>
      </c>
      <c r="C20" s="146" t="s">
        <v>7436</v>
      </c>
      <c r="D20" s="96">
        <v>15</v>
      </c>
      <c r="E20" s="1629"/>
      <c r="F20"/>
      <c r="G20"/>
      <c r="H20"/>
      <c r="I20"/>
      <c r="J20"/>
      <c r="K20"/>
      <c r="L20"/>
      <c r="M20"/>
      <c r="N20"/>
      <c r="O20"/>
      <c r="P20"/>
      <c r="Q20"/>
      <c r="R20"/>
      <c r="S20"/>
      <c r="T20"/>
      <c r="Z20"/>
      <c r="AA20" s="145" t="s">
        <v>1090</v>
      </c>
      <c r="AB20" s="129" t="s">
        <v>7440</v>
      </c>
      <c r="AC20" s="136"/>
      <c r="AD20"/>
      <c r="AE20" s="131" t="s">
        <v>1090</v>
      </c>
      <c r="AF20" s="23" t="s">
        <v>7441</v>
      </c>
      <c r="AG20" s="154" t="s">
        <v>1091</v>
      </c>
      <c r="AH20"/>
      <c r="AI20"/>
      <c r="AJ20"/>
      <c r="AK20"/>
      <c r="AL20"/>
      <c r="AM20"/>
      <c r="AN20"/>
      <c r="AO20"/>
      <c r="AP20"/>
      <c r="AQ20"/>
      <c r="AR20"/>
      <c r="AS20"/>
      <c r="AT20"/>
      <c r="AU20"/>
      <c r="AV20"/>
      <c r="AW20"/>
      <c r="AX20"/>
      <c r="AY20"/>
      <c r="AZ20"/>
      <c r="BA20" s="123" t="s">
        <v>7441</v>
      </c>
    </row>
    <row r="21" spans="1:53" ht="18" customHeight="1" x14ac:dyDescent="0.2">
      <c r="A21" s="20" t="s">
        <v>7393</v>
      </c>
      <c r="B21" s="20" t="s">
        <v>1089</v>
      </c>
      <c r="C21" s="147" t="s">
        <v>1090</v>
      </c>
      <c r="D21" s="96">
        <v>16</v>
      </c>
      <c r="E21" s="1626"/>
      <c r="F21"/>
      <c r="G21"/>
      <c r="H21"/>
      <c r="I21"/>
      <c r="J21"/>
      <c r="K21"/>
      <c r="L21"/>
      <c r="M21"/>
      <c r="N21"/>
      <c r="O21"/>
      <c r="P21"/>
      <c r="Q21"/>
      <c r="R21"/>
      <c r="S21"/>
      <c r="T21"/>
      <c r="Z21"/>
      <c r="AA21" s="145" t="s">
        <v>1097</v>
      </c>
      <c r="AB21" s="129" t="s">
        <v>7442</v>
      </c>
      <c r="AC21" s="136"/>
      <c r="AD21"/>
      <c r="AE21" s="131" t="s">
        <v>1097</v>
      </c>
      <c r="AF21" s="23" t="s">
        <v>7443</v>
      </c>
      <c r="AG21" s="154" t="s">
        <v>1098</v>
      </c>
      <c r="AH21"/>
      <c r="AI21"/>
      <c r="AJ21"/>
      <c r="AK21"/>
      <c r="AL21"/>
      <c r="AM21"/>
      <c r="AN21"/>
      <c r="AO21"/>
      <c r="AP21"/>
      <c r="AQ21"/>
      <c r="AR21"/>
      <c r="AS21"/>
      <c r="AT21"/>
      <c r="AU21"/>
      <c r="AV21"/>
      <c r="AW21"/>
      <c r="AX21"/>
      <c r="AY21"/>
      <c r="AZ21"/>
      <c r="BA21" s="123" t="s">
        <v>7443</v>
      </c>
    </row>
    <row r="22" spans="1:53" ht="18" customHeight="1" x14ac:dyDescent="0.2">
      <c r="A22" s="20" t="s">
        <v>7393</v>
      </c>
      <c r="B22" s="20" t="s">
        <v>1096</v>
      </c>
      <c r="C22" s="147" t="s">
        <v>1097</v>
      </c>
      <c r="D22" s="96">
        <v>17</v>
      </c>
      <c r="E22" s="1626"/>
      <c r="F22"/>
      <c r="G22"/>
      <c r="H22"/>
      <c r="I22"/>
      <c r="J22"/>
      <c r="K22"/>
      <c r="L22"/>
      <c r="M22"/>
      <c r="N22"/>
      <c r="O22"/>
      <c r="P22"/>
      <c r="Q22"/>
      <c r="R22"/>
      <c r="S22"/>
      <c r="T22"/>
      <c r="Z22"/>
      <c r="AA22" s="145" t="s">
        <v>1038</v>
      </c>
      <c r="AB22" s="129" t="s">
        <v>7444</v>
      </c>
      <c r="AC22" s="136"/>
      <c r="AD22"/>
      <c r="AE22" s="131" t="s">
        <v>1038</v>
      </c>
      <c r="AF22" s="23" t="s">
        <v>7445</v>
      </c>
      <c r="AG22" s="154" t="s">
        <v>7446</v>
      </c>
      <c r="AH22"/>
      <c r="AI22"/>
      <c r="AJ22"/>
      <c r="AK22"/>
      <c r="AL22"/>
      <c r="AM22"/>
      <c r="AN22"/>
      <c r="AO22"/>
      <c r="AP22"/>
      <c r="AQ22"/>
      <c r="AR22"/>
      <c r="AS22"/>
      <c r="AT22"/>
      <c r="AU22"/>
      <c r="AV22"/>
      <c r="AW22"/>
      <c r="AX22"/>
      <c r="AY22"/>
      <c r="AZ22"/>
      <c r="BA22" s="123" t="s">
        <v>7445</v>
      </c>
    </row>
    <row r="23" spans="1:53" ht="18" customHeight="1" x14ac:dyDescent="0.2">
      <c r="A23" s="20" t="s">
        <v>7393</v>
      </c>
      <c r="B23" s="20" t="s">
        <v>1132</v>
      </c>
      <c r="C23" s="147" t="s">
        <v>1038</v>
      </c>
      <c r="D23" s="96">
        <v>18</v>
      </c>
      <c r="E23" s="1626"/>
      <c r="F23"/>
      <c r="G23"/>
      <c r="H23"/>
      <c r="I23"/>
      <c r="J23"/>
      <c r="K23"/>
      <c r="L23"/>
      <c r="M23"/>
      <c r="N23"/>
      <c r="O23"/>
      <c r="P23"/>
      <c r="Q23"/>
      <c r="R23"/>
      <c r="S23"/>
      <c r="T23"/>
      <c r="Z23"/>
      <c r="AA23" s="145" t="s">
        <v>7295</v>
      </c>
      <c r="AB23" s="129" t="s">
        <v>7447</v>
      </c>
      <c r="AC23" s="136"/>
      <c r="AD23"/>
      <c r="AE23" s="131" t="s">
        <v>7295</v>
      </c>
      <c r="AF23" s="23" t="s">
        <v>7424</v>
      </c>
      <c r="AG23" s="154" t="s">
        <v>1005</v>
      </c>
      <c r="AH23"/>
      <c r="AI23"/>
      <c r="AJ23"/>
      <c r="AK23"/>
      <c r="AL23"/>
      <c r="AM23"/>
      <c r="AN23"/>
      <c r="AO23"/>
      <c r="AP23"/>
      <c r="AQ23"/>
      <c r="AR23"/>
      <c r="AS23"/>
      <c r="AT23"/>
      <c r="AU23"/>
      <c r="AV23"/>
      <c r="AW23"/>
      <c r="AX23"/>
      <c r="AY23"/>
      <c r="AZ23"/>
      <c r="BA23" s="123" t="s">
        <v>7424</v>
      </c>
    </row>
    <row r="24" spans="1:53" ht="18" customHeight="1" x14ac:dyDescent="0.2">
      <c r="A24" s="20" t="s">
        <v>7393</v>
      </c>
      <c r="B24" s="20" t="s">
        <v>1107</v>
      </c>
      <c r="C24" s="147" t="s">
        <v>7295</v>
      </c>
      <c r="D24" s="96">
        <v>19</v>
      </c>
      <c r="E24" s="1626"/>
      <c r="F24"/>
      <c r="G24"/>
      <c r="H24"/>
      <c r="I24"/>
      <c r="J24"/>
      <c r="K24"/>
      <c r="L24"/>
      <c r="M24"/>
      <c r="N24"/>
      <c r="O24"/>
      <c r="P24"/>
      <c r="Q24"/>
      <c r="R24"/>
      <c r="S24"/>
      <c r="T24"/>
      <c r="Z24"/>
      <c r="AA24" s="145" t="s">
        <v>7298</v>
      </c>
      <c r="AB24" s="129" t="s">
        <v>7448</v>
      </c>
      <c r="AC24" s="136"/>
      <c r="AD24"/>
      <c r="AE24" s="131" t="s">
        <v>7298</v>
      </c>
      <c r="AF24" s="23" t="s">
        <v>7426</v>
      </c>
      <c r="AG24" s="154" t="s">
        <v>1019</v>
      </c>
      <c r="AH24"/>
      <c r="AI24"/>
      <c r="AJ24"/>
      <c r="AK24"/>
      <c r="AL24"/>
      <c r="AM24"/>
      <c r="AN24"/>
      <c r="AO24"/>
      <c r="AP24"/>
      <c r="AQ24"/>
      <c r="AR24"/>
      <c r="AS24"/>
      <c r="AT24"/>
      <c r="AU24"/>
      <c r="AV24"/>
      <c r="AW24"/>
      <c r="AX24"/>
      <c r="AY24"/>
      <c r="AZ24"/>
      <c r="BA24" s="123" t="s">
        <v>7426</v>
      </c>
    </row>
    <row r="25" spans="1:53" ht="18" customHeight="1" x14ac:dyDescent="0.2">
      <c r="A25" s="20" t="s">
        <v>7393</v>
      </c>
      <c r="B25" s="20" t="s">
        <v>1123</v>
      </c>
      <c r="C25" s="147" t="s">
        <v>7298</v>
      </c>
      <c r="D25" s="96">
        <v>20</v>
      </c>
      <c r="E25" s="1626"/>
      <c r="F25"/>
      <c r="G25"/>
      <c r="H25"/>
      <c r="I25"/>
      <c r="J25"/>
      <c r="K25"/>
      <c r="L25"/>
      <c r="M25"/>
      <c r="N25"/>
      <c r="O25"/>
      <c r="P25"/>
      <c r="Q25"/>
      <c r="R25"/>
      <c r="S25"/>
      <c r="T25"/>
      <c r="Z25"/>
      <c r="AA25" s="145" t="s">
        <v>7297</v>
      </c>
      <c r="AB25" s="129" t="s">
        <v>7449</v>
      </c>
      <c r="AC25" s="136"/>
      <c r="AD25"/>
      <c r="AE25" s="131" t="s">
        <v>7297</v>
      </c>
      <c r="AF25" s="23" t="s">
        <v>7422</v>
      </c>
      <c r="AG25" s="154" t="s">
        <v>1012</v>
      </c>
      <c r="AH25"/>
      <c r="AI25"/>
      <c r="AJ25"/>
      <c r="AK25"/>
      <c r="AL25"/>
      <c r="AM25"/>
      <c r="AN25"/>
      <c r="AO25"/>
      <c r="AP25"/>
      <c r="AQ25"/>
      <c r="AR25"/>
      <c r="AS25"/>
      <c r="AT25"/>
      <c r="AU25"/>
      <c r="AV25"/>
      <c r="AW25"/>
      <c r="AX25"/>
      <c r="AY25"/>
      <c r="AZ25"/>
      <c r="BA25" s="123" t="s">
        <v>7422</v>
      </c>
    </row>
    <row r="26" spans="1:53" ht="18" customHeight="1" x14ac:dyDescent="0.2">
      <c r="A26" s="20" t="s">
        <v>7393</v>
      </c>
      <c r="B26" s="20" t="s">
        <v>1111</v>
      </c>
      <c r="C26" s="147" t="s">
        <v>7297</v>
      </c>
      <c r="D26" s="96">
        <v>21</v>
      </c>
      <c r="E26" s="1626"/>
      <c r="F26"/>
      <c r="G26"/>
      <c r="H26"/>
      <c r="I26"/>
      <c r="J26"/>
      <c r="K26"/>
      <c r="L26"/>
      <c r="M26"/>
      <c r="N26"/>
      <c r="O26"/>
      <c r="P26"/>
      <c r="Q26"/>
      <c r="R26"/>
      <c r="S26"/>
      <c r="T26"/>
      <c r="Z26"/>
      <c r="AA26" s="145" t="s">
        <v>7450</v>
      </c>
      <c r="AB26" s="129" t="s">
        <v>7451</v>
      </c>
      <c r="AC26" s="136"/>
      <c r="AD26"/>
      <c r="AE26" s="131" t="s">
        <v>7450</v>
      </c>
      <c r="AF26" s="23" t="s">
        <v>7452</v>
      </c>
      <c r="AG26" s="154" t="s">
        <v>1157</v>
      </c>
      <c r="AH26"/>
      <c r="AI26"/>
      <c r="AJ26"/>
      <c r="AK26"/>
      <c r="AL26"/>
      <c r="AM26"/>
      <c r="AN26"/>
      <c r="AO26"/>
      <c r="AP26"/>
      <c r="AQ26"/>
      <c r="AR26"/>
      <c r="AS26"/>
      <c r="AT26"/>
      <c r="AU26"/>
      <c r="AV26"/>
      <c r="AW26"/>
      <c r="AX26"/>
      <c r="AY26"/>
      <c r="AZ26"/>
      <c r="BA26" s="123" t="s">
        <v>7452</v>
      </c>
    </row>
    <row r="27" spans="1:53" ht="18" customHeight="1" x14ac:dyDescent="0.2">
      <c r="A27" s="20" t="s">
        <v>7393</v>
      </c>
      <c r="B27" s="20" t="s">
        <v>1155</v>
      </c>
      <c r="C27" s="147" t="s">
        <v>7453</v>
      </c>
      <c r="D27" s="96">
        <v>22</v>
      </c>
      <c r="E27" s="1626"/>
      <c r="F27"/>
      <c r="G27"/>
      <c r="H27"/>
      <c r="I27"/>
      <c r="J27"/>
      <c r="K27"/>
      <c r="L27"/>
      <c r="M27"/>
      <c r="N27"/>
      <c r="O27"/>
      <c r="P27"/>
      <c r="Q27"/>
      <c r="R27"/>
      <c r="S27"/>
      <c r="T27"/>
      <c r="Z27"/>
      <c r="AA27" s="145" t="s">
        <v>1144</v>
      </c>
      <c r="AB27" s="129" t="s">
        <v>7454</v>
      </c>
      <c r="AC27" s="136"/>
      <c r="AD27"/>
      <c r="AE27" s="131" t="s">
        <v>1144</v>
      </c>
      <c r="AF27" s="23" t="s">
        <v>7455</v>
      </c>
      <c r="AG27" s="154" t="s">
        <v>7456</v>
      </c>
      <c r="AH27"/>
      <c r="AI27"/>
      <c r="AJ27"/>
      <c r="AK27"/>
      <c r="AL27"/>
      <c r="AM27"/>
      <c r="AN27"/>
      <c r="AO27"/>
      <c r="AP27"/>
      <c r="AQ27"/>
      <c r="AR27"/>
      <c r="AS27"/>
      <c r="AT27"/>
      <c r="AU27"/>
      <c r="AV27"/>
      <c r="AW27"/>
      <c r="AX27"/>
      <c r="AY27"/>
      <c r="AZ27"/>
      <c r="BA27" s="123" t="s">
        <v>7455</v>
      </c>
    </row>
    <row r="28" spans="1:53" ht="18" customHeight="1" x14ac:dyDescent="0.2">
      <c r="A28" s="20" t="s">
        <v>7393</v>
      </c>
      <c r="B28" s="20" t="s">
        <v>1143</v>
      </c>
      <c r="C28" s="147" t="s">
        <v>1144</v>
      </c>
      <c r="D28" s="96">
        <v>23</v>
      </c>
      <c r="E28" s="1626"/>
      <c r="F28"/>
      <c r="G28"/>
      <c r="H28"/>
      <c r="I28"/>
      <c r="J28"/>
      <c r="K28"/>
      <c r="L28"/>
      <c r="M28"/>
      <c r="N28"/>
      <c r="O28"/>
      <c r="P28"/>
      <c r="Q28"/>
      <c r="R28"/>
      <c r="S28"/>
      <c r="T28"/>
      <c r="Z28"/>
      <c r="AA28" s="145" t="s">
        <v>7457</v>
      </c>
      <c r="AB28" s="129" t="s">
        <v>7458</v>
      </c>
      <c r="AC28" s="136"/>
      <c r="AD28"/>
      <c r="AE28" s="131" t="s">
        <v>7457</v>
      </c>
      <c r="AF28" s="23" t="s">
        <v>7430</v>
      </c>
      <c r="AG28" s="154" t="s">
        <v>1053</v>
      </c>
      <c r="AH28"/>
      <c r="AI28"/>
      <c r="AJ28"/>
      <c r="AK28"/>
      <c r="AL28"/>
      <c r="AM28"/>
      <c r="AN28"/>
      <c r="AO28"/>
      <c r="AP28"/>
      <c r="AQ28"/>
      <c r="AR28"/>
      <c r="AS28"/>
      <c r="AT28"/>
      <c r="AU28"/>
      <c r="AV28"/>
      <c r="AW28"/>
      <c r="AX28"/>
      <c r="AY28"/>
      <c r="AZ28"/>
      <c r="BA28" s="123" t="s">
        <v>7430</v>
      </c>
    </row>
    <row r="29" spans="1:53" ht="18" customHeight="1" x14ac:dyDescent="0.2">
      <c r="A29" s="20" t="s">
        <v>7393</v>
      </c>
      <c r="B29" s="20" t="s">
        <v>1150</v>
      </c>
      <c r="C29" s="147" t="s">
        <v>7459</v>
      </c>
      <c r="D29" s="96">
        <v>24</v>
      </c>
      <c r="E29" s="1626"/>
      <c r="F29"/>
      <c r="G29"/>
      <c r="H29"/>
      <c r="I29"/>
      <c r="J29"/>
      <c r="K29"/>
      <c r="L29"/>
      <c r="M29"/>
      <c r="N29"/>
      <c r="O29"/>
      <c r="P29"/>
      <c r="Q29"/>
      <c r="R29"/>
      <c r="S29"/>
      <c r="T29"/>
      <c r="Z29"/>
      <c r="AA29" s="145" t="s">
        <v>7460</v>
      </c>
      <c r="AB29" s="129" t="s">
        <v>7461</v>
      </c>
      <c r="AC29" s="136"/>
      <c r="AD29"/>
      <c r="AE29" s="131" t="s">
        <v>7460</v>
      </c>
      <c r="AF29" s="23" t="s">
        <v>7462</v>
      </c>
      <c r="AG29" s="154" t="s">
        <v>7463</v>
      </c>
      <c r="AH29"/>
      <c r="AI29"/>
      <c r="AJ29"/>
      <c r="AK29"/>
      <c r="AL29"/>
      <c r="AM29"/>
      <c r="AN29"/>
      <c r="AO29"/>
      <c r="AP29"/>
      <c r="AQ29"/>
      <c r="AR29"/>
      <c r="AS29"/>
      <c r="AT29"/>
      <c r="AU29"/>
      <c r="AV29"/>
      <c r="AW29"/>
      <c r="AX29"/>
      <c r="AY29"/>
      <c r="AZ29"/>
      <c r="BA29" s="123" t="s">
        <v>7462</v>
      </c>
    </row>
    <row r="30" spans="1:53" ht="21.95" customHeight="1" x14ac:dyDescent="0.2">
      <c r="A30" s="20" t="s">
        <v>7393</v>
      </c>
      <c r="B30" s="20" t="s">
        <v>7464</v>
      </c>
      <c r="C30" s="1625" t="s">
        <v>7432</v>
      </c>
      <c r="D30" s="96">
        <v>25</v>
      </c>
      <c r="E30" s="1626"/>
      <c r="F30"/>
      <c r="G30"/>
      <c r="H30"/>
      <c r="I30"/>
      <c r="J30"/>
      <c r="K30"/>
      <c r="L30"/>
      <c r="M30"/>
      <c r="N30"/>
      <c r="O30"/>
      <c r="P30"/>
      <c r="Q30"/>
      <c r="R30"/>
      <c r="S30"/>
      <c r="T30"/>
      <c r="Z30"/>
      <c r="AA30" s="150" t="s">
        <v>7465</v>
      </c>
      <c r="AB30" s="129" t="s">
        <v>7466</v>
      </c>
      <c r="AC30" s="138"/>
      <c r="AD30"/>
      <c r="AE30" s="131" t="s">
        <v>7465</v>
      </c>
      <c r="AF30" s="23" t="s">
        <v>7467</v>
      </c>
      <c r="AG30" s="154" t="s">
        <v>7468</v>
      </c>
      <c r="AH30"/>
      <c r="AI30"/>
      <c r="AJ30"/>
      <c r="AK30"/>
      <c r="AL30"/>
      <c r="AM30"/>
      <c r="AN30"/>
      <c r="AO30"/>
      <c r="AP30"/>
      <c r="AQ30"/>
      <c r="AR30"/>
      <c r="AS30"/>
      <c r="AT30"/>
      <c r="AU30"/>
      <c r="AV30"/>
      <c r="AW30"/>
      <c r="AX30"/>
      <c r="AY30"/>
      <c r="AZ30"/>
      <c r="BA30" s="121" t="s">
        <v>7467</v>
      </c>
    </row>
    <row r="31" spans="1:53" ht="21.95" customHeight="1" thickBot="1" x14ac:dyDescent="0.25">
      <c r="A31" s="20" t="s">
        <v>7393</v>
      </c>
      <c r="B31" s="20" t="s">
        <v>1180</v>
      </c>
      <c r="C31" s="147" t="s">
        <v>7460</v>
      </c>
      <c r="D31" s="96">
        <v>26</v>
      </c>
      <c r="E31" s="1626"/>
      <c r="F31"/>
      <c r="G31"/>
      <c r="H31"/>
      <c r="I31"/>
      <c r="J31"/>
      <c r="K31"/>
      <c r="L31"/>
      <c r="M31"/>
      <c r="N31"/>
      <c r="O31"/>
      <c r="P31"/>
      <c r="Q31"/>
      <c r="R31"/>
      <c r="S31"/>
      <c r="T31"/>
      <c r="Z31"/>
      <c r="AA31" s="151" t="s">
        <v>7301</v>
      </c>
      <c r="AB31" s="139" t="s">
        <v>7469</v>
      </c>
      <c r="AC31" s="137">
        <v>0</v>
      </c>
      <c r="AD31"/>
      <c r="AE31" s="131" t="s">
        <v>7301</v>
      </c>
      <c r="AF31" s="23" t="s">
        <v>7470</v>
      </c>
      <c r="AG31" s="154" t="s">
        <v>7471</v>
      </c>
      <c r="AH31"/>
      <c r="AI31"/>
      <c r="AJ31"/>
      <c r="AK31"/>
      <c r="AL31"/>
      <c r="AM31"/>
      <c r="AN31"/>
      <c r="AO31"/>
      <c r="AP31"/>
      <c r="AQ31"/>
      <c r="AR31"/>
      <c r="AS31"/>
      <c r="AT31"/>
      <c r="AU31"/>
      <c r="AV31"/>
      <c r="AW31"/>
      <c r="AX31"/>
      <c r="AY31"/>
      <c r="AZ31"/>
      <c r="BA31" s="124" t="s">
        <v>7470</v>
      </c>
    </row>
    <row r="32" spans="1:53" ht="12" customHeight="1" x14ac:dyDescent="0.2">
      <c r="A32" s="20" t="s">
        <v>7393</v>
      </c>
      <c r="B32" s="20" t="s">
        <v>1187</v>
      </c>
      <c r="C32" s="1622" t="s">
        <v>7465</v>
      </c>
      <c r="D32" s="96">
        <v>27</v>
      </c>
      <c r="E32" s="1624"/>
      <c r="F32"/>
      <c r="G32"/>
      <c r="H32"/>
      <c r="I32"/>
      <c r="J32"/>
      <c r="K32"/>
      <c r="L32"/>
      <c r="M32"/>
      <c r="N32"/>
      <c r="O32"/>
      <c r="P32"/>
      <c r="Q32"/>
      <c r="R32"/>
      <c r="S32"/>
      <c r="T32"/>
      <c r="Z32"/>
      <c r="AA32" s="125" t="s">
        <v>7472</v>
      </c>
      <c r="AB32" s="22"/>
      <c r="AC32"/>
      <c r="AD32"/>
      <c r="AE32" s="131" t="s">
        <v>7472</v>
      </c>
      <c r="AF32" s="23" t="s">
        <v>7473</v>
      </c>
      <c r="AG32" s="154" t="s">
        <v>7474</v>
      </c>
      <c r="AH32"/>
      <c r="AI32"/>
      <c r="AJ32"/>
      <c r="AK32"/>
      <c r="AL32"/>
      <c r="AM32"/>
      <c r="AN32"/>
      <c r="AO32"/>
      <c r="AP32"/>
      <c r="AQ32"/>
      <c r="AR32"/>
      <c r="AS32"/>
      <c r="AT32"/>
      <c r="AU32"/>
      <c r="AV32"/>
      <c r="AW32"/>
      <c r="AX32"/>
      <c r="AY32"/>
      <c r="AZ32"/>
      <c r="BA32" s="125" t="s">
        <v>7475</v>
      </c>
    </row>
    <row r="33" spans="1:53" s="24" customFormat="1" ht="12" customHeight="1" thickBot="1" x14ac:dyDescent="0.25">
      <c r="A33" s="460" t="s">
        <v>7393</v>
      </c>
      <c r="B33" s="460" t="s">
        <v>1196</v>
      </c>
      <c r="C33" s="1623" t="s">
        <v>7301</v>
      </c>
      <c r="D33" s="103">
        <v>28</v>
      </c>
      <c r="E33" s="1630"/>
      <c r="U33"/>
      <c r="V33"/>
      <c r="W33"/>
      <c r="X33"/>
      <c r="Y33"/>
      <c r="AA33" s="125" t="s">
        <v>7476</v>
      </c>
      <c r="AB33" s="22"/>
      <c r="AC33" s="23"/>
      <c r="AE33" s="155" t="s">
        <v>7476</v>
      </c>
      <c r="AF33" s="24" t="s">
        <v>7477</v>
      </c>
      <c r="AG33" s="156" t="s">
        <v>7478</v>
      </c>
      <c r="BA33" s="125" t="s">
        <v>7477</v>
      </c>
    </row>
    <row r="34" spans="1:53" s="24" customFormat="1" ht="12" customHeight="1" x14ac:dyDescent="0.2">
      <c r="C34" s="125"/>
      <c r="D34" s="22"/>
      <c r="U34"/>
      <c r="V34"/>
      <c r="W34"/>
      <c r="X34"/>
      <c r="Y34"/>
      <c r="AA34" s="125" t="s">
        <v>7479</v>
      </c>
      <c r="AB34" s="22"/>
      <c r="AC34" s="23"/>
      <c r="AE34" s="155" t="s">
        <v>7479</v>
      </c>
      <c r="AF34" s="24" t="s">
        <v>7480</v>
      </c>
      <c r="AG34" s="156" t="s">
        <v>7481</v>
      </c>
      <c r="BA34" s="125" t="s">
        <v>7480</v>
      </c>
    </row>
    <row r="35" spans="1:53" s="24" customFormat="1" ht="12" customHeight="1" thickBot="1" x14ac:dyDescent="0.25">
      <c r="A35" s="134"/>
      <c r="B35" s="134"/>
      <c r="C35" s="125"/>
      <c r="D35" s="133"/>
      <c r="E35" s="134"/>
      <c r="U35"/>
      <c r="V35"/>
      <c r="W35"/>
      <c r="X35"/>
      <c r="Y35"/>
      <c r="AA35" s="125" t="s">
        <v>7482</v>
      </c>
      <c r="AB35" s="22"/>
      <c r="AC35" s="23"/>
      <c r="AE35" s="157" t="s">
        <v>7482</v>
      </c>
      <c r="AF35" s="158" t="s">
        <v>7483</v>
      </c>
      <c r="AG35" s="159" t="s">
        <v>7484</v>
      </c>
      <c r="BA35" s="125" t="s">
        <v>7483</v>
      </c>
    </row>
    <row r="36" spans="1:53" s="24" customFormat="1" ht="12" customHeight="1" x14ac:dyDescent="0.2">
      <c r="C36" s="125"/>
      <c r="D36" s="128"/>
      <c r="U36"/>
      <c r="V36"/>
      <c r="W36"/>
      <c r="X36"/>
      <c r="Y36"/>
      <c r="AB36" s="22"/>
      <c r="AC36" s="23"/>
    </row>
    <row r="37" spans="1:53" s="24" customFormat="1" ht="12" customHeight="1" x14ac:dyDescent="0.2">
      <c r="D37" s="128"/>
      <c r="U37"/>
      <c r="V37"/>
      <c r="W37"/>
      <c r="X37"/>
      <c r="Y37"/>
    </row>
  </sheetData>
  <mergeCells count="1">
    <mergeCell ref="D1:F1"/>
  </mergeCells>
  <phoneticPr fontId="36" type="noConversion"/>
  <dataValidations count="1">
    <dataValidation type="whole" operator="greaterThanOrEqual" allowBlank="1" showInputMessage="1" showErrorMessage="1" error="Positive whole numbers only / Nombres entiers positifs uniquement" sqref="E8:E18 E20:E29" xr:uid="{00000000-0002-0000-1500-000000000000}">
      <formula1>0</formula1>
    </dataValidation>
  </dataValidations>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rgb="FF25B57B"/>
  </sheetPr>
  <dimension ref="A1:BD102"/>
  <sheetViews>
    <sheetView topLeftCell="C1" workbookViewId="0">
      <selection activeCell="C1" sqref="C1"/>
    </sheetView>
  </sheetViews>
  <sheetFormatPr defaultColWidth="9.140625" defaultRowHeight="14.1" customHeight="1" x14ac:dyDescent="0.2"/>
  <cols>
    <col min="1" max="1" width="14.140625" style="23" hidden="1" customWidth="1"/>
    <col min="2" max="2" width="12.28515625" style="24" hidden="1" customWidth="1"/>
    <col min="3" max="3" width="36.7109375" style="23" customWidth="1"/>
    <col min="4" max="4" width="3.7109375" style="22" customWidth="1"/>
    <col min="5" max="6" width="23.5703125" style="23" customWidth="1"/>
    <col min="7" max="7" width="8" style="23" customWidth="1"/>
    <col min="8" max="26" width="9.140625" style="23"/>
    <col min="27" max="27" width="34.140625" style="23" customWidth="1"/>
    <col min="28" max="28" width="9.140625" style="23"/>
    <col min="29" max="29" width="11.85546875" style="23" customWidth="1"/>
    <col min="30" max="30" width="15" style="23" customWidth="1"/>
    <col min="31" max="52" width="9.140625" style="23"/>
    <col min="53" max="53" width="29" style="23" customWidth="1"/>
    <col min="54" max="54" width="1.42578125" style="23" customWidth="1"/>
    <col min="55" max="55" width="20.85546875" style="23" customWidth="1"/>
    <col min="56" max="56" width="24.28515625" style="23" customWidth="1"/>
    <col min="57" max="16384" width="9.140625" style="23"/>
  </cols>
  <sheetData>
    <row r="1" spans="1:56" s="36" customFormat="1" ht="30" customHeight="1" x14ac:dyDescent="0.25">
      <c r="A1" s="140"/>
      <c r="B1"/>
      <c r="C1" s="2064">
        <f>DataYear</f>
        <v>2019</v>
      </c>
      <c r="D1" s="2329" t="s">
        <v>7485</v>
      </c>
      <c r="E1" s="2330"/>
      <c r="F1" s="2330"/>
      <c r="G1"/>
      <c r="H1"/>
      <c r="I1"/>
      <c r="J1"/>
      <c r="K1"/>
      <c r="L1"/>
      <c r="M1"/>
      <c r="N1"/>
      <c r="O1"/>
      <c r="P1"/>
      <c r="Q1"/>
      <c r="R1"/>
      <c r="S1"/>
      <c r="T1"/>
      <c r="U1"/>
      <c r="V1"/>
      <c r="W1"/>
      <c r="X1"/>
      <c r="Y1"/>
      <c r="Z1"/>
      <c r="AA1" s="119" t="s">
        <v>7485</v>
      </c>
      <c r="AB1"/>
      <c r="AC1"/>
      <c r="AD1"/>
      <c r="AE1"/>
      <c r="AF1" s="130" t="s">
        <v>7485</v>
      </c>
      <c r="AG1" s="152" t="s">
        <v>7486</v>
      </c>
      <c r="AH1" s="153" t="s">
        <v>7386</v>
      </c>
    </row>
    <row r="2" spans="1:56" ht="24" customHeight="1" thickBot="1" x14ac:dyDescent="0.25">
      <c r="A2" s="8"/>
      <c r="B2" s="17" t="s">
        <v>7233</v>
      </c>
      <c r="C2" s="118" t="str">
        <f>CountryName</f>
        <v>South Africa</v>
      </c>
      <c r="D2"/>
      <c r="E2" s="148" t="s">
        <v>7487</v>
      </c>
      <c r="F2" s="148" t="s">
        <v>7488</v>
      </c>
      <c r="G2"/>
      <c r="H2"/>
      <c r="I2"/>
      <c r="J2"/>
      <c r="K2"/>
      <c r="L2"/>
      <c r="M2"/>
      <c r="N2"/>
      <c r="O2"/>
      <c r="P2"/>
      <c r="Q2"/>
      <c r="R2"/>
      <c r="S2"/>
      <c r="T2"/>
      <c r="U2"/>
      <c r="V2"/>
      <c r="W2"/>
      <c r="X2"/>
      <c r="Y2"/>
      <c r="Z2"/>
      <c r="AA2"/>
      <c r="AB2"/>
      <c r="AC2"/>
      <c r="AD2"/>
      <c r="AE2"/>
      <c r="AF2" s="131"/>
      <c r="AH2" s="154"/>
    </row>
    <row r="3" spans="1:56" ht="15" customHeight="1" x14ac:dyDescent="0.2">
      <c r="A3"/>
      <c r="B3"/>
      <c r="C3" s="130"/>
      <c r="D3" s="165"/>
      <c r="E3" s="185" t="s">
        <v>7489</v>
      </c>
      <c r="F3" s="166"/>
      <c r="G3"/>
      <c r="H3"/>
      <c r="I3"/>
      <c r="J3"/>
      <c r="K3"/>
      <c r="L3"/>
      <c r="M3"/>
      <c r="N3"/>
      <c r="O3"/>
      <c r="P3"/>
      <c r="Q3"/>
      <c r="R3"/>
      <c r="S3"/>
      <c r="T3"/>
      <c r="U3"/>
      <c r="V3"/>
      <c r="W3"/>
      <c r="X3"/>
      <c r="Y3"/>
      <c r="Z3"/>
      <c r="AA3"/>
      <c r="AB3"/>
      <c r="AC3" s="22" t="s">
        <v>7489</v>
      </c>
      <c r="AD3"/>
      <c r="AE3"/>
      <c r="AF3" s="131" t="s">
        <v>7489</v>
      </c>
      <c r="AG3" s="23" t="s">
        <v>7388</v>
      </c>
      <c r="AH3" s="23" t="s">
        <v>7490</v>
      </c>
      <c r="BC3" s="22"/>
    </row>
    <row r="4" spans="1:56" ht="24" customHeight="1" x14ac:dyDescent="0.2">
      <c r="A4" s="45"/>
      <c r="B4" s="45"/>
      <c r="C4" s="131"/>
      <c r="D4" s="160"/>
      <c r="E4" s="199" t="s">
        <v>7491</v>
      </c>
      <c r="F4" s="200" t="s">
        <v>1388</v>
      </c>
      <c r="G4"/>
      <c r="H4"/>
      <c r="I4"/>
      <c r="J4"/>
      <c r="K4"/>
      <c r="L4"/>
      <c r="M4"/>
      <c r="N4"/>
      <c r="O4"/>
      <c r="P4"/>
      <c r="Q4"/>
      <c r="R4"/>
      <c r="S4"/>
      <c r="T4"/>
      <c r="U4"/>
      <c r="V4"/>
      <c r="W4"/>
      <c r="X4"/>
      <c r="Y4"/>
      <c r="Z4"/>
      <c r="AA4"/>
      <c r="AB4"/>
      <c r="AC4" s="183" t="s">
        <v>7491</v>
      </c>
      <c r="AD4" s="183" t="s">
        <v>1388</v>
      </c>
      <c r="AE4"/>
      <c r="AF4" s="131"/>
      <c r="AH4" s="154"/>
      <c r="BC4" s="25"/>
      <c r="BD4" s="25"/>
    </row>
    <row r="5" spans="1:56" s="24" customFormat="1" ht="12.75" customHeight="1" thickBot="1" x14ac:dyDescent="0.25">
      <c r="A5" s="18" t="s">
        <v>7234</v>
      </c>
      <c r="B5" s="18" t="s">
        <v>7235</v>
      </c>
      <c r="C5" s="132"/>
      <c r="D5" s="161"/>
      <c r="E5" s="162" t="s">
        <v>7239</v>
      </c>
      <c r="F5" s="163" t="s">
        <v>7240</v>
      </c>
      <c r="AF5" s="155"/>
      <c r="AH5" s="154"/>
    </row>
    <row r="6" spans="1:56" ht="21.75" customHeight="1" thickBot="1" x14ac:dyDescent="0.25">
      <c r="A6" s="23" t="s">
        <v>7393</v>
      </c>
      <c r="B6" s="20" t="s">
        <v>1196</v>
      </c>
      <c r="C6" s="186" t="s">
        <v>7301</v>
      </c>
      <c r="D6" s="189">
        <v>1</v>
      </c>
      <c r="E6" s="1586"/>
      <c r="F6" s="1585"/>
      <c r="H6"/>
      <c r="I6"/>
      <c r="J6"/>
      <c r="K6"/>
      <c r="L6"/>
      <c r="M6"/>
      <c r="N6"/>
      <c r="O6"/>
      <c r="P6"/>
      <c r="Q6"/>
      <c r="R6"/>
      <c r="S6"/>
      <c r="T6"/>
      <c r="U6"/>
      <c r="V6"/>
      <c r="W6"/>
      <c r="X6"/>
      <c r="Y6"/>
      <c r="Z6"/>
      <c r="AA6" s="120" t="s">
        <v>7301</v>
      </c>
      <c r="AB6" s="184" t="s">
        <v>7396</v>
      </c>
      <c r="AC6" s="143">
        <v>0</v>
      </c>
      <c r="AD6" s="188">
        <v>0</v>
      </c>
      <c r="AE6"/>
      <c r="AF6" s="131" t="s">
        <v>7301</v>
      </c>
      <c r="AG6" s="23" t="s">
        <v>7492</v>
      </c>
      <c r="AH6" s="154" t="s">
        <v>7493</v>
      </c>
      <c r="BA6" s="26"/>
    </row>
    <row r="7" spans="1:56" ht="21.75" customHeight="1" x14ac:dyDescent="0.2">
      <c r="A7" s="23" t="s">
        <v>7393</v>
      </c>
      <c r="B7" s="20" t="s">
        <v>1297</v>
      </c>
      <c r="C7" s="192" t="s">
        <v>7494</v>
      </c>
      <c r="D7" s="190">
        <v>2</v>
      </c>
      <c r="E7" s="1597"/>
      <c r="F7" s="1599"/>
      <c r="H7"/>
      <c r="I7"/>
      <c r="J7"/>
      <c r="K7"/>
      <c r="L7"/>
      <c r="M7"/>
      <c r="N7"/>
      <c r="O7"/>
      <c r="P7"/>
      <c r="Q7"/>
      <c r="R7"/>
      <c r="S7"/>
      <c r="T7"/>
      <c r="U7"/>
      <c r="V7"/>
      <c r="W7"/>
      <c r="X7"/>
      <c r="Y7"/>
      <c r="Z7"/>
      <c r="AA7" s="167" t="s">
        <v>7494</v>
      </c>
      <c r="AB7" s="181" t="s">
        <v>7400</v>
      </c>
      <c r="AC7" s="187">
        <v>0</v>
      </c>
      <c r="AD7" s="188">
        <v>0</v>
      </c>
      <c r="AE7"/>
      <c r="AF7" s="131" t="s">
        <v>7494</v>
      </c>
      <c r="AG7" s="23" t="s">
        <v>7495</v>
      </c>
      <c r="AH7" s="154" t="s">
        <v>7496</v>
      </c>
      <c r="BA7" s="27"/>
    </row>
    <row r="8" spans="1:56" ht="18" customHeight="1" x14ac:dyDescent="0.2">
      <c r="A8" s="23" t="s">
        <v>7393</v>
      </c>
      <c r="B8" s="20" t="s">
        <v>1304</v>
      </c>
      <c r="C8" s="193" t="s">
        <v>1312</v>
      </c>
      <c r="D8" s="190">
        <v>3</v>
      </c>
      <c r="E8" s="1584"/>
      <c r="F8" s="1583"/>
      <c r="H8"/>
      <c r="I8"/>
      <c r="J8"/>
      <c r="K8"/>
      <c r="L8"/>
      <c r="M8"/>
      <c r="N8"/>
      <c r="O8"/>
      <c r="P8"/>
      <c r="Q8"/>
      <c r="R8"/>
      <c r="S8"/>
      <c r="T8"/>
      <c r="U8"/>
      <c r="V8"/>
      <c r="W8"/>
      <c r="X8"/>
      <c r="Y8"/>
      <c r="Z8"/>
      <c r="AA8" s="168" t="s">
        <v>1312</v>
      </c>
      <c r="AB8" s="181" t="s">
        <v>7403</v>
      </c>
      <c r="AC8" s="173"/>
      <c r="AD8" s="172"/>
      <c r="AE8"/>
      <c r="AF8" s="131" t="s">
        <v>1312</v>
      </c>
      <c r="AG8" s="23" t="s">
        <v>7497</v>
      </c>
      <c r="AH8" s="154" t="s">
        <v>7498</v>
      </c>
      <c r="BA8" s="28"/>
    </row>
    <row r="9" spans="1:56" ht="18" customHeight="1" x14ac:dyDescent="0.2">
      <c r="A9" s="23" t="s">
        <v>7393</v>
      </c>
      <c r="B9" s="20" t="s">
        <v>7499</v>
      </c>
      <c r="C9" s="194" t="s">
        <v>7500</v>
      </c>
      <c r="D9" s="190">
        <v>4</v>
      </c>
      <c r="E9" s="1584"/>
      <c r="F9" s="1583"/>
      <c r="H9"/>
      <c r="I9"/>
      <c r="J9"/>
      <c r="K9"/>
      <c r="L9"/>
      <c r="M9"/>
      <c r="N9"/>
      <c r="O9"/>
      <c r="P9"/>
      <c r="Q9"/>
      <c r="R9"/>
      <c r="S9"/>
      <c r="T9"/>
      <c r="U9"/>
      <c r="V9"/>
      <c r="W9"/>
      <c r="X9"/>
      <c r="Y9"/>
      <c r="Z9"/>
      <c r="AA9" s="178" t="s">
        <v>7500</v>
      </c>
      <c r="AB9" s="181" t="s">
        <v>7406</v>
      </c>
      <c r="AC9" s="173"/>
      <c r="AD9" s="172"/>
      <c r="AE9"/>
      <c r="AF9" s="131" t="s">
        <v>7500</v>
      </c>
      <c r="AG9" s="23" t="s">
        <v>7501</v>
      </c>
      <c r="AH9" s="154" t="s">
        <v>7502</v>
      </c>
      <c r="BA9" s="29"/>
    </row>
    <row r="10" spans="1:56" ht="18" customHeight="1" x14ac:dyDescent="0.2">
      <c r="A10" s="23" t="s">
        <v>7393</v>
      </c>
      <c r="B10" s="20" t="s">
        <v>1325</v>
      </c>
      <c r="C10" s="193" t="s">
        <v>1326</v>
      </c>
      <c r="D10" s="190">
        <v>5</v>
      </c>
      <c r="E10" s="1584"/>
      <c r="F10" s="1583"/>
      <c r="H10"/>
      <c r="I10"/>
      <c r="J10"/>
      <c r="K10"/>
      <c r="L10"/>
      <c r="M10"/>
      <c r="N10"/>
      <c r="O10"/>
      <c r="P10"/>
      <c r="Q10"/>
      <c r="R10"/>
      <c r="S10"/>
      <c r="T10"/>
      <c r="U10"/>
      <c r="V10"/>
      <c r="W10"/>
      <c r="X10"/>
      <c r="Y10"/>
      <c r="Z10"/>
      <c r="AA10" s="168" t="s">
        <v>1326</v>
      </c>
      <c r="AB10" s="181" t="s">
        <v>7409</v>
      </c>
      <c r="AC10" s="173"/>
      <c r="AD10" s="172"/>
      <c r="AE10"/>
      <c r="AF10" s="131" t="s">
        <v>1326</v>
      </c>
      <c r="AG10" s="23" t="s">
        <v>7503</v>
      </c>
      <c r="AH10" s="154" t="s">
        <v>7504</v>
      </c>
      <c r="BA10" s="28"/>
    </row>
    <row r="11" spans="1:56" ht="18" customHeight="1" x14ac:dyDescent="0.2">
      <c r="A11" s="23" t="s">
        <v>7393</v>
      </c>
      <c r="B11" s="20" t="s">
        <v>1339</v>
      </c>
      <c r="C11" s="147" t="s">
        <v>7313</v>
      </c>
      <c r="D11" s="190">
        <v>6</v>
      </c>
      <c r="E11" s="1584"/>
      <c r="F11" s="1583"/>
      <c r="H11"/>
      <c r="I11"/>
      <c r="J11"/>
      <c r="K11"/>
      <c r="L11"/>
      <c r="M11"/>
      <c r="N11"/>
      <c r="O11"/>
      <c r="P11"/>
      <c r="Q11"/>
      <c r="R11"/>
      <c r="S11"/>
      <c r="T11"/>
      <c r="U11"/>
      <c r="V11"/>
      <c r="W11"/>
      <c r="X11"/>
      <c r="Y11"/>
      <c r="Z11"/>
      <c r="AA11" s="169" t="s">
        <v>7313</v>
      </c>
      <c r="AB11" s="181" t="s">
        <v>7412</v>
      </c>
      <c r="AC11" s="173"/>
      <c r="AD11" s="172"/>
      <c r="AE11"/>
      <c r="AF11" s="131" t="s">
        <v>7313</v>
      </c>
      <c r="AG11" s="23" t="s">
        <v>7505</v>
      </c>
      <c r="AH11" s="154" t="s">
        <v>7506</v>
      </c>
      <c r="BA11" s="30"/>
    </row>
    <row r="12" spans="1:56" ht="21.75" customHeight="1" x14ac:dyDescent="0.2">
      <c r="A12" s="23" t="s">
        <v>7393</v>
      </c>
      <c r="B12" s="20" t="s">
        <v>1199</v>
      </c>
      <c r="C12" s="146" t="s">
        <v>7507</v>
      </c>
      <c r="D12" s="190">
        <v>7</v>
      </c>
      <c r="E12" s="1586"/>
      <c r="F12" s="1585"/>
      <c r="H12"/>
      <c r="I12"/>
      <c r="J12"/>
      <c r="K12"/>
      <c r="L12"/>
      <c r="M12"/>
      <c r="N12"/>
      <c r="O12"/>
      <c r="P12"/>
      <c r="Q12"/>
      <c r="R12"/>
      <c r="S12"/>
      <c r="T12"/>
      <c r="U12"/>
      <c r="V12"/>
      <c r="W12"/>
      <c r="X12"/>
      <c r="Y12"/>
      <c r="Z12"/>
      <c r="AA12" s="170" t="s">
        <v>7507</v>
      </c>
      <c r="AB12" s="181" t="s">
        <v>7415</v>
      </c>
      <c r="AC12" s="174">
        <v>0</v>
      </c>
      <c r="AD12" s="175">
        <v>0</v>
      </c>
      <c r="AE12"/>
      <c r="AF12" s="131" t="s">
        <v>7507</v>
      </c>
      <c r="AG12" s="23" t="s">
        <v>7508</v>
      </c>
      <c r="AH12" s="154" t="s">
        <v>7509</v>
      </c>
      <c r="BA12" s="31"/>
    </row>
    <row r="13" spans="1:56" ht="18" customHeight="1" x14ac:dyDescent="0.2">
      <c r="A13" s="23" t="s">
        <v>7393</v>
      </c>
      <c r="B13" s="20" t="s">
        <v>1206</v>
      </c>
      <c r="C13" s="147" t="s">
        <v>1207</v>
      </c>
      <c r="D13" s="190">
        <v>8</v>
      </c>
      <c r="E13" s="1584"/>
      <c r="F13" s="1583"/>
      <c r="H13"/>
      <c r="I13"/>
      <c r="J13"/>
      <c r="K13"/>
      <c r="L13"/>
      <c r="M13"/>
      <c r="N13"/>
      <c r="O13"/>
      <c r="P13"/>
      <c r="Q13"/>
      <c r="R13"/>
      <c r="S13"/>
      <c r="T13"/>
      <c r="U13"/>
      <c r="V13"/>
      <c r="W13"/>
      <c r="X13"/>
      <c r="Y13"/>
      <c r="Z13"/>
      <c r="AA13" s="169" t="s">
        <v>1207</v>
      </c>
      <c r="AB13" s="181" t="s">
        <v>7418</v>
      </c>
      <c r="AC13" s="173"/>
      <c r="AD13" s="172"/>
      <c r="AE13"/>
      <c r="AF13" s="131" t="s">
        <v>1207</v>
      </c>
      <c r="AG13" s="23" t="s">
        <v>7510</v>
      </c>
      <c r="AH13" s="154" t="s">
        <v>1208</v>
      </c>
      <c r="BA13" s="30"/>
    </row>
    <row r="14" spans="1:56" ht="18" customHeight="1" x14ac:dyDescent="0.2">
      <c r="A14" s="23" t="s">
        <v>7393</v>
      </c>
      <c r="B14" s="20" t="s">
        <v>1213</v>
      </c>
      <c r="C14" s="147" t="s">
        <v>1214</v>
      </c>
      <c r="D14" s="190">
        <v>9</v>
      </c>
      <c r="E14" s="1584"/>
      <c r="F14" s="1583"/>
      <c r="H14"/>
      <c r="I14"/>
      <c r="J14"/>
      <c r="K14"/>
      <c r="L14"/>
      <c r="M14"/>
      <c r="N14"/>
      <c r="O14"/>
      <c r="P14"/>
      <c r="Q14"/>
      <c r="R14"/>
      <c r="S14"/>
      <c r="T14"/>
      <c r="U14"/>
      <c r="V14"/>
      <c r="W14"/>
      <c r="X14"/>
      <c r="Y14"/>
      <c r="Z14"/>
      <c r="AA14" s="169" t="s">
        <v>1214</v>
      </c>
      <c r="AB14" s="181" t="s">
        <v>7421</v>
      </c>
      <c r="AC14" s="173"/>
      <c r="AD14" s="172"/>
      <c r="AE14"/>
      <c r="AF14" s="131" t="s">
        <v>1214</v>
      </c>
      <c r="AG14" s="23" t="s">
        <v>7511</v>
      </c>
      <c r="AH14" s="154" t="s">
        <v>7512</v>
      </c>
      <c r="BA14" s="30"/>
    </row>
    <row r="15" spans="1:56" ht="18" customHeight="1" x14ac:dyDescent="0.2">
      <c r="A15" s="23" t="s">
        <v>7393</v>
      </c>
      <c r="B15" s="20" t="s">
        <v>1220</v>
      </c>
      <c r="C15" s="147" t="s">
        <v>1221</v>
      </c>
      <c r="D15" s="190">
        <v>10</v>
      </c>
      <c r="E15" s="1584"/>
      <c r="F15" s="1583"/>
      <c r="H15"/>
      <c r="I15"/>
      <c r="J15"/>
      <c r="K15"/>
      <c r="L15"/>
      <c r="M15"/>
      <c r="N15"/>
      <c r="O15"/>
      <c r="P15"/>
      <c r="Q15"/>
      <c r="R15"/>
      <c r="S15"/>
      <c r="T15"/>
      <c r="U15"/>
      <c r="V15"/>
      <c r="W15"/>
      <c r="X15"/>
      <c r="Y15"/>
      <c r="Z15"/>
      <c r="AA15" s="169" t="s">
        <v>1221</v>
      </c>
      <c r="AB15" s="181" t="s">
        <v>7423</v>
      </c>
      <c r="AC15" s="173"/>
      <c r="AD15" s="172"/>
      <c r="AE15"/>
      <c r="AF15" s="131" t="s">
        <v>1221</v>
      </c>
      <c r="AG15" s="23" t="s">
        <v>7513</v>
      </c>
      <c r="AH15" s="154" t="s">
        <v>1222</v>
      </c>
      <c r="BA15" s="30"/>
    </row>
    <row r="16" spans="1:56" ht="18" customHeight="1" x14ac:dyDescent="0.2">
      <c r="A16" s="23" t="s">
        <v>7393</v>
      </c>
      <c r="B16" s="20" t="s">
        <v>1227</v>
      </c>
      <c r="C16" s="147" t="s">
        <v>1228</v>
      </c>
      <c r="D16" s="190">
        <v>11</v>
      </c>
      <c r="E16" s="1584"/>
      <c r="F16" s="1583"/>
      <c r="H16"/>
      <c r="I16"/>
      <c r="J16"/>
      <c r="K16"/>
      <c r="L16"/>
      <c r="M16"/>
      <c r="N16"/>
      <c r="O16"/>
      <c r="P16"/>
      <c r="Q16"/>
      <c r="R16"/>
      <c r="S16"/>
      <c r="T16"/>
      <c r="U16"/>
      <c r="V16"/>
      <c r="W16"/>
      <c r="X16"/>
      <c r="Y16"/>
      <c r="Z16"/>
      <c r="AA16" s="169" t="s">
        <v>1228</v>
      </c>
      <c r="AB16" s="181" t="s">
        <v>7425</v>
      </c>
      <c r="AC16" s="173"/>
      <c r="AD16" s="172"/>
      <c r="AE16"/>
      <c r="AF16" s="131" t="s">
        <v>1228</v>
      </c>
      <c r="AG16" s="23" t="s">
        <v>7514</v>
      </c>
      <c r="AH16" s="154" t="s">
        <v>7515</v>
      </c>
      <c r="BA16" s="30"/>
    </row>
    <row r="17" spans="1:53" ht="18" customHeight="1" x14ac:dyDescent="0.2">
      <c r="A17" s="23" t="s">
        <v>7393</v>
      </c>
      <c r="B17" s="20" t="s">
        <v>1234</v>
      </c>
      <c r="C17" s="147" t="s">
        <v>1235</v>
      </c>
      <c r="D17" s="190">
        <v>12</v>
      </c>
      <c r="E17" s="1584"/>
      <c r="F17" s="1583"/>
      <c r="H17"/>
      <c r="I17"/>
      <c r="J17"/>
      <c r="K17"/>
      <c r="L17"/>
      <c r="M17"/>
      <c r="N17"/>
      <c r="O17"/>
      <c r="P17"/>
      <c r="Q17"/>
      <c r="R17"/>
      <c r="S17"/>
      <c r="T17"/>
      <c r="U17"/>
      <c r="V17"/>
      <c r="W17"/>
      <c r="X17"/>
      <c r="Y17"/>
      <c r="Z17"/>
      <c r="AA17" s="169" t="s">
        <v>1235</v>
      </c>
      <c r="AB17" s="181" t="s">
        <v>7429</v>
      </c>
      <c r="AC17" s="173"/>
      <c r="AD17" s="172"/>
      <c r="AE17"/>
      <c r="AF17" s="131" t="s">
        <v>1235</v>
      </c>
      <c r="AG17" s="23" t="s">
        <v>7516</v>
      </c>
      <c r="AH17" s="154" t="s">
        <v>1236</v>
      </c>
      <c r="BA17" s="30"/>
    </row>
    <row r="18" spans="1:53" ht="18" customHeight="1" x14ac:dyDescent="0.2">
      <c r="A18" s="23" t="s">
        <v>7393</v>
      </c>
      <c r="B18" s="20" t="s">
        <v>1241</v>
      </c>
      <c r="C18" s="147" t="s">
        <v>1242</v>
      </c>
      <c r="D18" s="190">
        <v>13</v>
      </c>
      <c r="E18" s="1584"/>
      <c r="F18" s="1583"/>
      <c r="H18"/>
      <c r="I18"/>
      <c r="J18"/>
      <c r="K18"/>
      <c r="L18"/>
      <c r="M18"/>
      <c r="N18"/>
      <c r="O18"/>
      <c r="P18"/>
      <c r="Q18"/>
      <c r="R18"/>
      <c r="S18"/>
      <c r="T18"/>
      <c r="U18"/>
      <c r="V18"/>
      <c r="W18"/>
      <c r="X18"/>
      <c r="Y18"/>
      <c r="Z18"/>
      <c r="AA18" s="169" t="s">
        <v>1242</v>
      </c>
      <c r="AB18" s="181" t="s">
        <v>7433</v>
      </c>
      <c r="AC18" s="173"/>
      <c r="AD18" s="172"/>
      <c r="AE18"/>
      <c r="AF18" s="131" t="s">
        <v>1242</v>
      </c>
      <c r="AG18" s="23" t="s">
        <v>7517</v>
      </c>
      <c r="AH18" s="154" t="s">
        <v>1243</v>
      </c>
      <c r="BA18" s="30"/>
    </row>
    <row r="19" spans="1:53" ht="18" customHeight="1" x14ac:dyDescent="0.2">
      <c r="A19" s="23" t="s">
        <v>7393</v>
      </c>
      <c r="B19" s="20" t="s">
        <v>1248</v>
      </c>
      <c r="C19" s="147" t="s">
        <v>1249</v>
      </c>
      <c r="D19" s="190">
        <v>14</v>
      </c>
      <c r="E19" s="1584"/>
      <c r="F19" s="1583"/>
      <c r="H19"/>
      <c r="I19"/>
      <c r="J19"/>
      <c r="K19"/>
      <c r="L19"/>
      <c r="M19"/>
      <c r="N19"/>
      <c r="O19"/>
      <c r="P19"/>
      <c r="Q19"/>
      <c r="R19"/>
      <c r="S19"/>
      <c r="T19"/>
      <c r="U19"/>
      <c r="V19"/>
      <c r="W19"/>
      <c r="X19"/>
      <c r="Y19"/>
      <c r="Z19"/>
      <c r="AA19" s="169" t="s">
        <v>1249</v>
      </c>
      <c r="AB19" s="181" t="s">
        <v>7437</v>
      </c>
      <c r="AC19" s="173"/>
      <c r="AD19" s="172"/>
      <c r="AE19"/>
      <c r="AF19" s="131" t="s">
        <v>1249</v>
      </c>
      <c r="AG19" s="23" t="s">
        <v>7518</v>
      </c>
      <c r="AH19" s="154" t="s">
        <v>7519</v>
      </c>
      <c r="BA19" s="30"/>
    </row>
    <row r="20" spans="1:53" ht="18" customHeight="1" x14ac:dyDescent="0.2">
      <c r="A20" s="23" t="s">
        <v>7393</v>
      </c>
      <c r="B20" s="20" t="s">
        <v>1255</v>
      </c>
      <c r="C20" s="147" t="s">
        <v>7520</v>
      </c>
      <c r="D20" s="190">
        <v>15</v>
      </c>
      <c r="E20" s="1584"/>
      <c r="F20" s="1583"/>
      <c r="H20"/>
      <c r="I20"/>
      <c r="J20"/>
      <c r="K20"/>
      <c r="L20"/>
      <c r="M20"/>
      <c r="N20"/>
      <c r="O20"/>
      <c r="P20"/>
      <c r="Q20"/>
      <c r="R20"/>
      <c r="S20"/>
      <c r="T20"/>
      <c r="U20"/>
      <c r="V20"/>
      <c r="W20"/>
      <c r="X20"/>
      <c r="Y20"/>
      <c r="Z20"/>
      <c r="AA20" s="169" t="s">
        <v>7520</v>
      </c>
      <c r="AB20" s="181" t="s">
        <v>7440</v>
      </c>
      <c r="AC20" s="173"/>
      <c r="AD20" s="172"/>
      <c r="AE20"/>
      <c r="AF20" s="131" t="s">
        <v>7520</v>
      </c>
      <c r="AG20" s="23" t="s">
        <v>7521</v>
      </c>
      <c r="AH20" s="154" t="s">
        <v>7522</v>
      </c>
      <c r="BA20" s="30"/>
    </row>
    <row r="21" spans="1:53" ht="18" customHeight="1" x14ac:dyDescent="0.2">
      <c r="A21" s="23" t="s">
        <v>7393</v>
      </c>
      <c r="B21" s="20" t="s">
        <v>1262</v>
      </c>
      <c r="C21" s="147" t="s">
        <v>7056</v>
      </c>
      <c r="D21" s="190">
        <v>16</v>
      </c>
      <c r="E21" s="1584"/>
      <c r="F21" s="1583"/>
      <c r="H21"/>
      <c r="I21"/>
      <c r="J21"/>
      <c r="K21"/>
      <c r="L21"/>
      <c r="M21"/>
      <c r="N21"/>
      <c r="O21"/>
      <c r="P21"/>
      <c r="Q21"/>
      <c r="R21"/>
      <c r="S21"/>
      <c r="T21"/>
      <c r="U21"/>
      <c r="V21"/>
      <c r="W21"/>
      <c r="X21"/>
      <c r="Y21"/>
      <c r="Z21"/>
      <c r="AA21" s="169" t="s">
        <v>7056</v>
      </c>
      <c r="AB21" s="181" t="s">
        <v>7442</v>
      </c>
      <c r="AC21" s="173"/>
      <c r="AD21" s="172"/>
      <c r="AE21"/>
      <c r="AF21" s="131" t="s">
        <v>7056</v>
      </c>
      <c r="AG21" s="23" t="s">
        <v>7523</v>
      </c>
      <c r="AH21" s="154" t="s">
        <v>1264</v>
      </c>
      <c r="BA21" s="30"/>
    </row>
    <row r="22" spans="1:53" ht="18" customHeight="1" x14ac:dyDescent="0.2">
      <c r="A22" s="23" t="s">
        <v>7393</v>
      </c>
      <c r="B22" s="20" t="s">
        <v>1269</v>
      </c>
      <c r="C22" s="147" t="s">
        <v>1270</v>
      </c>
      <c r="D22" s="190">
        <v>17</v>
      </c>
      <c r="E22" s="1584"/>
      <c r="F22" s="1583"/>
      <c r="H22"/>
      <c r="I22"/>
      <c r="J22"/>
      <c r="K22"/>
      <c r="L22"/>
      <c r="M22"/>
      <c r="N22"/>
      <c r="O22"/>
      <c r="P22"/>
      <c r="Q22"/>
      <c r="R22"/>
      <c r="S22"/>
      <c r="T22"/>
      <c r="U22"/>
      <c r="V22"/>
      <c r="W22"/>
      <c r="X22"/>
      <c r="Y22"/>
      <c r="Z22"/>
      <c r="AA22" s="169" t="s">
        <v>1270</v>
      </c>
      <c r="AB22" s="181" t="s">
        <v>7444</v>
      </c>
      <c r="AC22" s="173"/>
      <c r="AD22" s="172"/>
      <c r="AE22"/>
      <c r="AF22" s="131" t="s">
        <v>1270</v>
      </c>
      <c r="AG22" s="23" t="s">
        <v>7524</v>
      </c>
      <c r="AH22" s="154" t="s">
        <v>7525</v>
      </c>
      <c r="BA22" s="30"/>
    </row>
    <row r="23" spans="1:53" ht="18" customHeight="1" x14ac:dyDescent="0.2">
      <c r="A23" s="23" t="s">
        <v>7393</v>
      </c>
      <c r="B23" s="20" t="s">
        <v>1276</v>
      </c>
      <c r="C23" s="147" t="s">
        <v>1277</v>
      </c>
      <c r="D23" s="190">
        <v>18</v>
      </c>
      <c r="E23" s="1584"/>
      <c r="F23" s="1583"/>
      <c r="H23"/>
      <c r="I23"/>
      <c r="J23"/>
      <c r="K23"/>
      <c r="L23"/>
      <c r="M23"/>
      <c r="N23"/>
      <c r="O23"/>
      <c r="P23"/>
      <c r="Q23"/>
      <c r="R23"/>
      <c r="S23"/>
      <c r="T23"/>
      <c r="U23"/>
      <c r="V23"/>
      <c r="W23"/>
      <c r="X23"/>
      <c r="Y23"/>
      <c r="Z23"/>
      <c r="AA23" s="169" t="s">
        <v>1277</v>
      </c>
      <c r="AB23" s="181" t="s">
        <v>7447</v>
      </c>
      <c r="AC23" s="173"/>
      <c r="AD23" s="172"/>
      <c r="AE23"/>
      <c r="AF23" s="131" t="s">
        <v>1277</v>
      </c>
      <c r="AG23" s="23" t="s">
        <v>7526</v>
      </c>
      <c r="AH23" s="154" t="s">
        <v>1278</v>
      </c>
      <c r="BA23" s="30"/>
    </row>
    <row r="24" spans="1:53" ht="18" customHeight="1" x14ac:dyDescent="0.2">
      <c r="A24" s="23" t="s">
        <v>7393</v>
      </c>
      <c r="B24" s="20" t="s">
        <v>1283</v>
      </c>
      <c r="C24" s="147" t="s">
        <v>1284</v>
      </c>
      <c r="D24" s="190">
        <v>19</v>
      </c>
      <c r="E24" s="1584"/>
      <c r="F24" s="1583"/>
      <c r="H24"/>
      <c r="I24"/>
      <c r="J24"/>
      <c r="K24"/>
      <c r="L24"/>
      <c r="M24"/>
      <c r="N24"/>
      <c r="O24"/>
      <c r="P24"/>
      <c r="Q24"/>
      <c r="R24"/>
      <c r="S24"/>
      <c r="T24"/>
      <c r="U24"/>
      <c r="V24"/>
      <c r="W24"/>
      <c r="X24"/>
      <c r="Y24"/>
      <c r="Z24"/>
      <c r="AA24" s="169" t="s">
        <v>1284</v>
      </c>
      <c r="AB24" s="181" t="s">
        <v>7448</v>
      </c>
      <c r="AC24" s="173"/>
      <c r="AD24" s="172"/>
      <c r="AE24"/>
      <c r="AF24" s="131" t="s">
        <v>1284</v>
      </c>
      <c r="AG24" s="23" t="s">
        <v>7527</v>
      </c>
      <c r="AH24" s="154" t="s">
        <v>1285</v>
      </c>
      <c r="BA24" s="30"/>
    </row>
    <row r="25" spans="1:53" ht="18" customHeight="1" x14ac:dyDescent="0.2">
      <c r="A25" s="23" t="s">
        <v>7393</v>
      </c>
      <c r="B25" s="20" t="s">
        <v>1290</v>
      </c>
      <c r="C25" s="147" t="s">
        <v>7311</v>
      </c>
      <c r="D25" s="190">
        <v>20</v>
      </c>
      <c r="E25" s="1584"/>
      <c r="F25" s="1583"/>
      <c r="H25"/>
      <c r="I25"/>
      <c r="J25"/>
      <c r="K25"/>
      <c r="L25"/>
      <c r="M25"/>
      <c r="N25"/>
      <c r="O25"/>
      <c r="P25"/>
      <c r="Q25"/>
      <c r="R25"/>
      <c r="S25"/>
      <c r="T25"/>
      <c r="U25"/>
      <c r="V25"/>
      <c r="W25"/>
      <c r="X25"/>
      <c r="Y25"/>
      <c r="Z25"/>
      <c r="AA25" s="169" t="s">
        <v>7311</v>
      </c>
      <c r="AB25" s="181" t="s">
        <v>7449</v>
      </c>
      <c r="AC25" s="173"/>
      <c r="AD25" s="172"/>
      <c r="AE25"/>
      <c r="AF25" s="131" t="s">
        <v>7311</v>
      </c>
      <c r="AG25" s="23" t="s">
        <v>7528</v>
      </c>
      <c r="AH25" s="154" t="s">
        <v>7506</v>
      </c>
      <c r="BA25" s="30"/>
    </row>
    <row r="26" spans="1:53" ht="21.95" customHeight="1" x14ac:dyDescent="0.2">
      <c r="A26" s="23" t="s">
        <v>7393</v>
      </c>
      <c r="B26" s="20" t="s">
        <v>1346</v>
      </c>
      <c r="C26" s="146" t="s">
        <v>7529</v>
      </c>
      <c r="D26" s="190">
        <v>21</v>
      </c>
      <c r="E26" s="1586"/>
      <c r="F26" s="1585"/>
      <c r="H26"/>
      <c r="I26"/>
      <c r="J26"/>
      <c r="K26"/>
      <c r="L26"/>
      <c r="M26"/>
      <c r="N26"/>
      <c r="O26"/>
      <c r="P26"/>
      <c r="Q26"/>
      <c r="R26"/>
      <c r="S26"/>
      <c r="T26"/>
      <c r="U26"/>
      <c r="V26"/>
      <c r="W26"/>
      <c r="X26"/>
      <c r="Y26"/>
      <c r="Z26"/>
      <c r="AA26" s="170" t="s">
        <v>7529</v>
      </c>
      <c r="AB26" s="181" t="s">
        <v>7451</v>
      </c>
      <c r="AC26" s="174">
        <v>0</v>
      </c>
      <c r="AD26" s="175">
        <v>0</v>
      </c>
      <c r="AE26"/>
      <c r="AF26" s="131" t="s">
        <v>7529</v>
      </c>
      <c r="AG26" s="23" t="s">
        <v>7530</v>
      </c>
      <c r="AH26" s="154" t="s">
        <v>7531</v>
      </c>
      <c r="BA26" s="31"/>
    </row>
    <row r="27" spans="1:53" ht="18" customHeight="1" x14ac:dyDescent="0.2">
      <c r="A27" s="23" t="s">
        <v>7393</v>
      </c>
      <c r="B27" s="20" t="s">
        <v>1360</v>
      </c>
      <c r="C27" s="193" t="s">
        <v>1361</v>
      </c>
      <c r="D27" s="190">
        <v>22</v>
      </c>
      <c r="E27" s="1584"/>
      <c r="F27" s="1583"/>
      <c r="H27"/>
      <c r="I27"/>
      <c r="J27"/>
      <c r="K27"/>
      <c r="L27"/>
      <c r="M27"/>
      <c r="N27"/>
      <c r="O27"/>
      <c r="P27"/>
      <c r="Q27"/>
      <c r="R27"/>
      <c r="S27"/>
      <c r="T27"/>
      <c r="U27"/>
      <c r="V27"/>
      <c r="W27"/>
      <c r="X27"/>
      <c r="Y27"/>
      <c r="Z27"/>
      <c r="AA27" s="168" t="s">
        <v>1361</v>
      </c>
      <c r="AB27" s="181" t="s">
        <v>7454</v>
      </c>
      <c r="AC27" s="173"/>
      <c r="AD27" s="172"/>
      <c r="AE27"/>
      <c r="AF27" s="131" t="s">
        <v>1361</v>
      </c>
      <c r="AG27" s="23" t="s">
        <v>7532</v>
      </c>
      <c r="AH27" s="154" t="s">
        <v>1362</v>
      </c>
      <c r="BA27" s="28"/>
    </row>
    <row r="28" spans="1:53" ht="18" customHeight="1" x14ac:dyDescent="0.2">
      <c r="A28" s="23" t="s">
        <v>7393</v>
      </c>
      <c r="B28" s="20" t="s">
        <v>1353</v>
      </c>
      <c r="C28" s="193" t="s">
        <v>1354</v>
      </c>
      <c r="D28" s="190">
        <v>23</v>
      </c>
      <c r="E28" s="1584"/>
      <c r="F28" s="1583"/>
      <c r="H28"/>
      <c r="I28"/>
      <c r="J28"/>
      <c r="K28"/>
      <c r="L28"/>
      <c r="M28"/>
      <c r="N28"/>
      <c r="O28"/>
      <c r="P28"/>
      <c r="Q28"/>
      <c r="R28"/>
      <c r="S28"/>
      <c r="T28"/>
      <c r="U28"/>
      <c r="V28"/>
      <c r="W28"/>
      <c r="X28"/>
      <c r="Y28"/>
      <c r="Z28"/>
      <c r="AA28" s="168" t="s">
        <v>1354</v>
      </c>
      <c r="AB28" s="181" t="s">
        <v>7458</v>
      </c>
      <c r="AC28" s="173"/>
      <c r="AD28" s="172"/>
      <c r="AE28"/>
      <c r="AF28" s="131" t="s">
        <v>1354</v>
      </c>
      <c r="AG28" s="23" t="s">
        <v>7533</v>
      </c>
      <c r="AH28" s="154" t="s">
        <v>7534</v>
      </c>
      <c r="BA28" s="28"/>
    </row>
    <row r="29" spans="1:53" ht="18" customHeight="1" x14ac:dyDescent="0.2">
      <c r="A29" s="23" t="s">
        <v>7393</v>
      </c>
      <c r="B29" s="20" t="s">
        <v>1367</v>
      </c>
      <c r="C29" s="193" t="s">
        <v>1368</v>
      </c>
      <c r="D29" s="190">
        <v>24</v>
      </c>
      <c r="E29" s="1584"/>
      <c r="F29" s="1583"/>
      <c r="H29"/>
      <c r="I29"/>
      <c r="J29"/>
      <c r="K29"/>
      <c r="L29"/>
      <c r="M29"/>
      <c r="N29"/>
      <c r="O29"/>
      <c r="P29"/>
      <c r="Q29"/>
      <c r="R29"/>
      <c r="S29"/>
      <c r="T29"/>
      <c r="U29"/>
      <c r="V29"/>
      <c r="W29"/>
      <c r="X29"/>
      <c r="Y29"/>
      <c r="Z29"/>
      <c r="AA29" s="168" t="s">
        <v>1368</v>
      </c>
      <c r="AB29" s="181" t="s">
        <v>7461</v>
      </c>
      <c r="AC29" s="173"/>
      <c r="AD29" s="172"/>
      <c r="AE29"/>
      <c r="AF29" s="131" t="s">
        <v>1368</v>
      </c>
      <c r="AG29" s="23" t="s">
        <v>7535</v>
      </c>
      <c r="AH29" s="154" t="s">
        <v>1369</v>
      </c>
      <c r="BA29" s="28"/>
    </row>
    <row r="30" spans="1:53" ht="18" customHeight="1" x14ac:dyDescent="0.2">
      <c r="A30" s="23" t="s">
        <v>7393</v>
      </c>
      <c r="B30" s="20" t="s">
        <v>1374</v>
      </c>
      <c r="C30" s="195" t="s">
        <v>1375</v>
      </c>
      <c r="D30" s="190">
        <v>25</v>
      </c>
      <c r="E30" s="1582"/>
      <c r="F30" s="1581"/>
      <c r="H30"/>
      <c r="I30"/>
      <c r="J30"/>
      <c r="K30"/>
      <c r="L30"/>
      <c r="M30"/>
      <c r="N30"/>
      <c r="O30"/>
      <c r="P30"/>
      <c r="Q30"/>
      <c r="R30"/>
      <c r="S30"/>
      <c r="T30"/>
      <c r="U30"/>
      <c r="V30"/>
      <c r="W30"/>
      <c r="X30"/>
      <c r="Y30"/>
      <c r="Z30"/>
      <c r="AA30" s="179" t="s">
        <v>1375</v>
      </c>
      <c r="AB30" s="181" t="s">
        <v>7466</v>
      </c>
      <c r="AC30" s="164"/>
      <c r="AD30" s="180"/>
      <c r="AE30"/>
      <c r="AF30" s="131" t="s">
        <v>1375</v>
      </c>
      <c r="AG30" s="23" t="s">
        <v>7536</v>
      </c>
      <c r="AH30" s="154" t="s">
        <v>1376</v>
      </c>
      <c r="BA30" s="28"/>
    </row>
    <row r="31" spans="1:53" ht="18" customHeight="1" thickBot="1" x14ac:dyDescent="0.25">
      <c r="A31" s="23" t="s">
        <v>7393</v>
      </c>
      <c r="B31" s="20" t="s">
        <v>643</v>
      </c>
      <c r="C31" s="196" t="s">
        <v>7316</v>
      </c>
      <c r="D31" s="191">
        <v>26</v>
      </c>
      <c r="E31" s="1580"/>
      <c r="F31" s="1579"/>
      <c r="H31"/>
      <c r="I31"/>
      <c r="J31"/>
      <c r="K31"/>
      <c r="L31"/>
      <c r="M31"/>
      <c r="N31"/>
      <c r="O31"/>
      <c r="P31"/>
      <c r="Q31"/>
      <c r="R31"/>
      <c r="S31"/>
      <c r="T31"/>
      <c r="U31"/>
      <c r="V31"/>
      <c r="W31"/>
      <c r="X31" s="24"/>
      <c r="Y31"/>
      <c r="Z31"/>
      <c r="AA31" s="171" t="s">
        <v>7316</v>
      </c>
      <c r="AB31" s="182" t="s">
        <v>7469</v>
      </c>
      <c r="AC31" s="176"/>
      <c r="AD31" s="177"/>
      <c r="AE31"/>
      <c r="AF31" s="131" t="s">
        <v>7316</v>
      </c>
      <c r="AG31" s="23" t="s">
        <v>7537</v>
      </c>
      <c r="AH31" s="154" t="s">
        <v>7506</v>
      </c>
      <c r="BA31" s="30"/>
    </row>
    <row r="32" spans="1:53" s="24" customFormat="1" ht="12" customHeight="1" x14ac:dyDescent="0.2">
      <c r="C32" s="125"/>
      <c r="D32" s="22"/>
      <c r="AA32" s="125" t="s">
        <v>7538</v>
      </c>
      <c r="AB32" s="22"/>
      <c r="AC32" s="23"/>
      <c r="AD32" s="23"/>
      <c r="AF32" s="155" t="s">
        <v>7538</v>
      </c>
      <c r="AG32" s="24" t="s">
        <v>7539</v>
      </c>
      <c r="AH32" s="154" t="s">
        <v>7540</v>
      </c>
    </row>
    <row r="33" spans="3:34" s="24" customFormat="1" ht="12" customHeight="1" x14ac:dyDescent="0.2">
      <c r="C33" s="125"/>
      <c r="D33" s="22"/>
      <c r="AA33" s="125" t="s">
        <v>7541</v>
      </c>
      <c r="AB33" s="22"/>
      <c r="AC33" s="23"/>
      <c r="AD33" s="23"/>
      <c r="AF33" s="155" t="s">
        <v>7541</v>
      </c>
      <c r="AG33" s="24" t="s">
        <v>7542</v>
      </c>
      <c r="AH33" s="154" t="s">
        <v>7543</v>
      </c>
    </row>
    <row r="34" spans="3:34" s="24" customFormat="1" ht="12" customHeight="1" thickBot="1" x14ac:dyDescent="0.25">
      <c r="C34" s="125"/>
      <c r="D34" s="22"/>
      <c r="AA34" s="125" t="s">
        <v>7544</v>
      </c>
      <c r="AB34" s="22"/>
      <c r="AC34" s="23"/>
      <c r="AD34" s="23"/>
      <c r="AF34" s="157" t="s">
        <v>7544</v>
      </c>
      <c r="AG34" s="158" t="s">
        <v>7545</v>
      </c>
      <c r="AH34" s="198" t="s">
        <v>7546</v>
      </c>
    </row>
    <row r="99" spans="5:6" ht="14.1" customHeight="1" thickBot="1" x14ac:dyDescent="0.25"/>
    <row r="100" spans="5:6" ht="14.1" customHeight="1" x14ac:dyDescent="0.2">
      <c r="E100" s="130"/>
      <c r="F100" s="153"/>
    </row>
    <row r="101" spans="5:6" ht="14.1" customHeight="1" x14ac:dyDescent="0.2">
      <c r="E101" s="131" t="s">
        <v>7547</v>
      </c>
      <c r="F101" s="154" t="s">
        <v>7548</v>
      </c>
    </row>
    <row r="102" spans="5:6" ht="14.1" customHeight="1" thickBot="1" x14ac:dyDescent="0.25">
      <c r="E102" s="197" t="s">
        <v>7549</v>
      </c>
      <c r="F102" s="198" t="s">
        <v>7550</v>
      </c>
    </row>
  </sheetData>
  <mergeCells count="1">
    <mergeCell ref="D1:F1"/>
  </mergeCells>
  <phoneticPr fontId="36" type="noConversion"/>
  <dataValidations count="1">
    <dataValidation type="whole" operator="greaterThanOrEqual" allowBlank="1" showInputMessage="1" showErrorMessage="1" error="Positive whole numbers only / Nombres entiers positifs uniquement" sqref="E13:E25 E8:F11 E27:F31" xr:uid="{00000000-0002-0000-1600-000000000000}">
      <formula1>0</formula1>
    </dataValidation>
  </dataValidation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0">
    <tabColor rgb="FFFF6600"/>
  </sheetPr>
  <dimension ref="A1:K36"/>
  <sheetViews>
    <sheetView showGridLines="0" topLeftCell="B1" workbookViewId="0">
      <selection activeCell="O25" sqref="O25"/>
    </sheetView>
  </sheetViews>
  <sheetFormatPr defaultColWidth="11.42578125" defaultRowHeight="12.75" x14ac:dyDescent="0.2"/>
  <cols>
    <col min="1" max="1" width="16.5703125" hidden="1" customWidth="1"/>
    <col min="2" max="2" width="28.28515625" customWidth="1"/>
    <col min="3" max="3" width="8.140625" customWidth="1"/>
    <col min="4" max="4" width="5.85546875" customWidth="1"/>
    <col min="5" max="11" width="12.85546875" customWidth="1"/>
    <col min="12" max="12" width="11.42578125" customWidth="1"/>
    <col min="13" max="13" width="14.85546875" customWidth="1"/>
    <col min="14" max="14" width="3.7109375" customWidth="1"/>
    <col min="15" max="157" width="11.42578125" customWidth="1"/>
  </cols>
  <sheetData>
    <row r="1" spans="1:11" ht="30" customHeight="1" x14ac:dyDescent="0.2">
      <c r="A1" s="239"/>
      <c r="B1" s="240" t="s">
        <v>7551</v>
      </c>
      <c r="C1" s="241"/>
      <c r="E1" s="2331" t="s">
        <v>7552</v>
      </c>
      <c r="F1" s="2331"/>
      <c r="G1" s="2331"/>
      <c r="H1" s="2331"/>
      <c r="I1" s="2331"/>
      <c r="J1" s="2331"/>
      <c r="K1" s="2331"/>
    </row>
    <row r="2" spans="1:11" x14ac:dyDescent="0.2">
      <c r="A2" s="277" t="s">
        <v>7234</v>
      </c>
      <c r="B2" s="2063">
        <f>DataYear</f>
        <v>2019</v>
      </c>
      <c r="C2" s="241"/>
      <c r="D2" s="13"/>
      <c r="E2" s="13"/>
      <c r="F2" s="242"/>
      <c r="G2" s="242"/>
      <c r="H2" s="45"/>
      <c r="I2" s="45"/>
      <c r="J2" s="45"/>
      <c r="K2" s="45"/>
    </row>
    <row r="3" spans="1:11" x14ac:dyDescent="0.2">
      <c r="A3" s="15" t="s">
        <v>7356</v>
      </c>
      <c r="B3" s="2062" t="str">
        <f>CountryName</f>
        <v>South Africa</v>
      </c>
      <c r="C3" s="241"/>
      <c r="F3" s="243"/>
      <c r="G3" s="244"/>
      <c r="H3" s="244"/>
      <c r="I3" s="244"/>
      <c r="J3" s="244"/>
      <c r="K3" s="244"/>
    </row>
    <row r="4" spans="1:11" x14ac:dyDescent="0.2">
      <c r="B4" s="241"/>
      <c r="C4" s="241"/>
      <c r="F4" s="244"/>
      <c r="G4" s="244"/>
      <c r="H4" s="244"/>
      <c r="I4" s="244"/>
      <c r="J4" s="244"/>
    </row>
    <row r="5" spans="1:11" ht="13.5" thickBot="1" x14ac:dyDescent="0.25">
      <c r="F5" s="244"/>
      <c r="G5" s="244"/>
      <c r="H5" s="244"/>
      <c r="I5" s="244"/>
      <c r="J5" s="244"/>
      <c r="K5" s="269" t="s">
        <v>7553</v>
      </c>
    </row>
    <row r="6" spans="1:11" ht="13.5" hidden="1" thickBot="1" x14ac:dyDescent="0.25">
      <c r="A6" s="276" t="s">
        <v>7233</v>
      </c>
      <c r="B6" s="245"/>
      <c r="C6" s="245"/>
      <c r="D6" s="245"/>
      <c r="E6" s="289" t="s">
        <v>493</v>
      </c>
      <c r="F6" s="289" t="s">
        <v>500</v>
      </c>
      <c r="G6" s="289" t="s">
        <v>507</v>
      </c>
      <c r="H6" s="289" t="s">
        <v>514</v>
      </c>
      <c r="I6" s="289" t="s">
        <v>7554</v>
      </c>
      <c r="J6" s="289" t="s">
        <v>521</v>
      </c>
      <c r="K6" s="289" t="s">
        <v>7555</v>
      </c>
    </row>
    <row r="7" spans="1:11" ht="23.25" thickTop="1" x14ac:dyDescent="0.2">
      <c r="B7" s="15"/>
      <c r="C7" s="15"/>
      <c r="D7" s="246"/>
      <c r="E7" s="279" t="s">
        <v>6934</v>
      </c>
      <c r="F7" s="235" t="s">
        <v>7556</v>
      </c>
      <c r="G7" s="235" t="s">
        <v>7557</v>
      </c>
      <c r="H7" s="235" t="s">
        <v>7558</v>
      </c>
      <c r="I7" s="293" t="s">
        <v>7559</v>
      </c>
      <c r="J7" s="235" t="s">
        <v>7560</v>
      </c>
      <c r="K7" s="294" t="s">
        <v>7561</v>
      </c>
    </row>
    <row r="8" spans="1:11" x14ac:dyDescent="0.2">
      <c r="B8" s="20"/>
      <c r="C8" s="20"/>
      <c r="D8" s="247"/>
      <c r="E8" s="248"/>
      <c r="F8" s="249"/>
      <c r="G8" s="249"/>
      <c r="H8" s="249"/>
      <c r="I8" s="249"/>
      <c r="J8" s="249"/>
      <c r="K8" s="250"/>
    </row>
    <row r="9" spans="1:11" ht="13.5" thickBot="1" x14ac:dyDescent="0.25">
      <c r="A9" s="215" t="s">
        <v>7235</v>
      </c>
      <c r="B9" s="251"/>
      <c r="C9" s="251"/>
      <c r="D9" s="252"/>
      <c r="E9" s="253" t="s">
        <v>7239</v>
      </c>
      <c r="F9" s="254" t="s">
        <v>7240</v>
      </c>
      <c r="G9" s="254" t="s">
        <v>7241</v>
      </c>
      <c r="H9" s="254" t="s">
        <v>7242</v>
      </c>
      <c r="I9" s="254" t="s">
        <v>7243</v>
      </c>
      <c r="J9" s="254" t="s">
        <v>7244</v>
      </c>
      <c r="K9" s="255" t="s">
        <v>7245</v>
      </c>
    </row>
    <row r="10" spans="1:11" ht="13.5" thickTop="1" x14ac:dyDescent="0.2">
      <c r="A10" s="15" t="s">
        <v>852</v>
      </c>
      <c r="B10" s="270" t="s">
        <v>7256</v>
      </c>
      <c r="C10" s="266"/>
      <c r="D10" s="280" t="s">
        <v>7562</v>
      </c>
      <c r="E10" s="1381"/>
      <c r="F10" s="1381"/>
      <c r="G10" s="1382"/>
      <c r="H10" s="1383"/>
      <c r="I10" s="1382"/>
      <c r="J10" s="1383"/>
      <c r="K10" s="1384"/>
    </row>
    <row r="11" spans="1:11" x14ac:dyDescent="0.2">
      <c r="A11" s="15" t="s">
        <v>7262</v>
      </c>
      <c r="B11" s="271" t="s">
        <v>7363</v>
      </c>
      <c r="C11" s="265"/>
      <c r="D11" s="281" t="s">
        <v>7563</v>
      </c>
      <c r="E11" s="1385"/>
      <c r="F11" s="1386"/>
      <c r="G11" s="1386"/>
      <c r="H11" s="1387"/>
      <c r="I11" s="1387"/>
      <c r="J11" s="1387"/>
      <c r="K11" s="1388"/>
    </row>
    <row r="12" spans="1:11" x14ac:dyDescent="0.2">
      <c r="A12" s="15" t="s">
        <v>7564</v>
      </c>
      <c r="B12" s="271" t="s">
        <v>7565</v>
      </c>
      <c r="C12" s="265"/>
      <c r="D12" s="281" t="s">
        <v>7566</v>
      </c>
      <c r="E12" s="1389"/>
      <c r="F12" s="1390"/>
      <c r="G12" s="1387"/>
      <c r="H12" s="1386"/>
      <c r="I12" s="1386"/>
      <c r="J12" s="1386"/>
      <c r="K12" s="1388"/>
    </row>
    <row r="13" spans="1:11" x14ac:dyDescent="0.2">
      <c r="A13" s="15" t="s">
        <v>7567</v>
      </c>
      <c r="B13" s="271" t="s">
        <v>7568</v>
      </c>
      <c r="C13" s="265"/>
      <c r="D13" s="281" t="s">
        <v>7569</v>
      </c>
      <c r="E13" s="1385"/>
      <c r="F13" s="1386"/>
      <c r="G13" s="1387"/>
      <c r="H13" s="1386"/>
      <c r="I13" s="1386"/>
      <c r="J13" s="1386"/>
      <c r="K13" s="1388"/>
    </row>
    <row r="14" spans="1:11" x14ac:dyDescent="0.2">
      <c r="A14" s="15" t="s">
        <v>7263</v>
      </c>
      <c r="B14" s="271" t="s">
        <v>7364</v>
      </c>
      <c r="C14" s="265"/>
      <c r="D14" s="281" t="s">
        <v>7570</v>
      </c>
      <c r="E14" s="1391"/>
      <c r="F14" s="1391"/>
      <c r="G14" s="1387"/>
      <c r="H14" s="1387"/>
      <c r="I14" s="1386"/>
      <c r="J14" s="1387"/>
      <c r="K14" s="1388"/>
    </row>
    <row r="15" spans="1:11" x14ac:dyDescent="0.2">
      <c r="A15" s="15" t="s">
        <v>7265</v>
      </c>
      <c r="B15" s="271" t="s">
        <v>7365</v>
      </c>
      <c r="C15" s="265"/>
      <c r="D15" s="281" t="s">
        <v>7571</v>
      </c>
      <c r="E15" s="1391"/>
      <c r="F15" s="1391"/>
      <c r="G15" s="1387"/>
      <c r="H15" s="1387"/>
      <c r="I15" s="1386"/>
      <c r="J15" s="1387"/>
      <c r="K15" s="1388"/>
    </row>
    <row r="16" spans="1:11" x14ac:dyDescent="0.2">
      <c r="A16" s="15" t="s">
        <v>7572</v>
      </c>
      <c r="B16" s="271" t="s">
        <v>7573</v>
      </c>
      <c r="C16" s="265"/>
      <c r="D16" s="281" t="s">
        <v>7574</v>
      </c>
      <c r="E16" s="1391"/>
      <c r="F16" s="1391"/>
      <c r="G16" s="1387"/>
      <c r="H16" s="1387"/>
      <c r="I16" s="1387"/>
      <c r="J16" s="1387"/>
      <c r="K16" s="1388"/>
    </row>
    <row r="17" spans="1:11" x14ac:dyDescent="0.2">
      <c r="A17" s="15" t="s">
        <v>7268</v>
      </c>
      <c r="B17" s="271" t="s">
        <v>905</v>
      </c>
      <c r="C17" s="265"/>
      <c r="D17" s="281" t="s">
        <v>7575</v>
      </c>
      <c r="E17" s="1391"/>
      <c r="F17" s="1391"/>
      <c r="G17" s="1387"/>
      <c r="H17" s="1387"/>
      <c r="I17" s="1387"/>
      <c r="J17" s="1387"/>
      <c r="K17" s="1388"/>
    </row>
    <row r="18" spans="1:11" x14ac:dyDescent="0.2">
      <c r="A18" s="15" t="s">
        <v>7576</v>
      </c>
      <c r="B18" s="271" t="s">
        <v>7577</v>
      </c>
      <c r="C18" s="265"/>
      <c r="D18" s="281" t="s">
        <v>7578</v>
      </c>
      <c r="E18" s="1392"/>
      <c r="F18" s="1392"/>
      <c r="G18" s="1392"/>
      <c r="H18" s="1393"/>
      <c r="I18" s="1393"/>
      <c r="J18" s="1393"/>
      <c r="K18" s="1388"/>
    </row>
    <row r="19" spans="1:11" x14ac:dyDescent="0.2">
      <c r="A19" s="15" t="s">
        <v>198</v>
      </c>
      <c r="B19" s="271" t="s">
        <v>7272</v>
      </c>
      <c r="C19" s="265"/>
      <c r="D19" s="281" t="s">
        <v>7579</v>
      </c>
      <c r="E19" s="1394"/>
      <c r="F19" s="1394"/>
      <c r="G19" s="1394"/>
      <c r="H19" s="1394"/>
      <c r="I19" s="1394"/>
      <c r="J19" s="1394"/>
      <c r="K19" s="1388"/>
    </row>
    <row r="20" spans="1:11" ht="13.5" thickBot="1" x14ac:dyDescent="0.25">
      <c r="A20" s="15" t="s">
        <v>7580</v>
      </c>
      <c r="B20" s="272" t="s">
        <v>7581</v>
      </c>
      <c r="C20" s="267"/>
      <c r="D20" s="282" t="s">
        <v>7582</v>
      </c>
      <c r="E20" s="1395"/>
      <c r="F20" s="1395"/>
      <c r="G20" s="1395"/>
      <c r="H20" s="1395"/>
      <c r="I20" s="1395"/>
      <c r="J20" s="1395"/>
      <c r="K20" s="1396"/>
    </row>
    <row r="21" spans="1:11" ht="14.25" thickTop="1" thickBot="1" x14ac:dyDescent="0.25">
      <c r="B21" s="273" t="s">
        <v>7583</v>
      </c>
      <c r="C21" s="268"/>
      <c r="D21" s="283"/>
      <c r="E21" s="1397"/>
      <c r="F21" s="1398"/>
      <c r="G21" s="1397"/>
      <c r="H21" s="1397"/>
      <c r="I21" s="1397"/>
      <c r="J21" s="1397"/>
      <c r="K21" s="1397"/>
    </row>
    <row r="22" spans="1:11" ht="14.25" thickTop="1" thickBot="1" x14ac:dyDescent="0.25">
      <c r="A22" s="15" t="s">
        <v>7584</v>
      </c>
      <c r="B22" s="274" t="s">
        <v>7585</v>
      </c>
      <c r="C22" s="251"/>
      <c r="D22" s="284">
        <v>12</v>
      </c>
      <c r="E22" s="1399"/>
      <c r="F22" s="1399"/>
      <c r="G22" s="1399"/>
      <c r="H22" s="1399"/>
      <c r="I22" s="1399"/>
      <c r="J22" s="1399"/>
      <c r="K22" s="1400"/>
    </row>
    <row r="23" spans="1:11" ht="14.25" thickTop="1" thickBot="1" x14ac:dyDescent="0.25">
      <c r="B23" s="275" t="s">
        <v>7586</v>
      </c>
      <c r="C23" s="259"/>
      <c r="D23" s="285"/>
      <c r="E23" s="1401"/>
      <c r="F23" s="714"/>
      <c r="G23" s="714"/>
      <c r="H23" s="714"/>
      <c r="I23" s="714"/>
      <c r="J23" s="714"/>
      <c r="K23" s="714"/>
    </row>
    <row r="24" spans="1:11" ht="13.5" thickTop="1" x14ac:dyDescent="0.2">
      <c r="A24" s="15" t="s">
        <v>7369</v>
      </c>
      <c r="B24" s="278" t="s">
        <v>7370</v>
      </c>
      <c r="C24" s="292"/>
      <c r="D24" s="286">
        <v>13</v>
      </c>
      <c r="E24" s="1383"/>
      <c r="F24" s="1383"/>
      <c r="G24" s="1383"/>
      <c r="H24" s="1383"/>
      <c r="I24" s="1383"/>
      <c r="J24" s="1383"/>
      <c r="K24" s="1384"/>
    </row>
    <row r="25" spans="1:11" ht="13.5" thickBot="1" x14ac:dyDescent="0.25">
      <c r="A25" s="15" t="s">
        <v>7371</v>
      </c>
      <c r="B25" s="290" t="s">
        <v>7372</v>
      </c>
      <c r="C25" s="291"/>
      <c r="D25" s="287">
        <v>14</v>
      </c>
      <c r="E25" s="1402"/>
      <c r="F25" s="1403"/>
      <c r="G25" s="1404"/>
      <c r="H25" s="1404"/>
      <c r="I25" s="1404"/>
      <c r="J25" s="1404"/>
      <c r="K25" s="1396"/>
    </row>
    <row r="26" spans="1:11" ht="14.25" thickTop="1" thickBot="1" x14ac:dyDescent="0.25">
      <c r="A26" s="15" t="s">
        <v>7587</v>
      </c>
      <c r="B26" s="275" t="s">
        <v>7588</v>
      </c>
      <c r="C26" s="259"/>
      <c r="D26" s="285"/>
      <c r="E26" s="714"/>
      <c r="F26" s="714"/>
      <c r="G26" s="714"/>
      <c r="H26" s="714"/>
      <c r="I26" s="714"/>
      <c r="J26" s="1405"/>
      <c r="K26" s="714"/>
    </row>
    <row r="27" spans="1:11" ht="13.5" thickTop="1" x14ac:dyDescent="0.2">
      <c r="A27" s="15" t="s">
        <v>7589</v>
      </c>
      <c r="B27" s="270" t="s">
        <v>853</v>
      </c>
      <c r="C27" s="260"/>
      <c r="D27" s="286">
        <v>15</v>
      </c>
      <c r="E27" s="1383"/>
      <c r="F27" s="1383"/>
      <c r="G27" s="1382"/>
      <c r="H27" s="1383"/>
      <c r="I27" s="1406"/>
      <c r="J27" s="1407"/>
      <c r="K27" s="714"/>
    </row>
    <row r="28" spans="1:11" x14ac:dyDescent="0.2">
      <c r="A28" s="15" t="s">
        <v>7590</v>
      </c>
      <c r="B28" s="271" t="s">
        <v>879</v>
      </c>
      <c r="C28" s="256"/>
      <c r="D28" s="288">
        <v>16</v>
      </c>
      <c r="E28" s="1391"/>
      <c r="F28" s="1391"/>
      <c r="G28" s="1387"/>
      <c r="H28" s="1387"/>
      <c r="I28" s="1408"/>
      <c r="J28" s="1409"/>
      <c r="K28" s="714"/>
    </row>
    <row r="29" spans="1:11" x14ac:dyDescent="0.2">
      <c r="A29" s="15" t="s">
        <v>7591</v>
      </c>
      <c r="B29" s="271" t="s">
        <v>885</v>
      </c>
      <c r="C29" s="256"/>
      <c r="D29" s="288">
        <v>17</v>
      </c>
      <c r="E29" s="1391"/>
      <c r="F29" s="1391"/>
      <c r="G29" s="1387"/>
      <c r="H29" s="1387"/>
      <c r="I29" s="1408"/>
      <c r="J29" s="1409"/>
      <c r="K29" s="714"/>
    </row>
    <row r="30" spans="1:11" ht="13.5" thickBot="1" x14ac:dyDescent="0.25">
      <c r="A30" s="15" t="s">
        <v>7592</v>
      </c>
      <c r="B30" s="272" t="s">
        <v>7593</v>
      </c>
      <c r="C30" s="257"/>
      <c r="D30" s="287">
        <v>18</v>
      </c>
      <c r="E30" s="1404"/>
      <c r="F30" s="1404"/>
      <c r="G30" s="1404"/>
      <c r="H30" s="1404"/>
      <c r="I30" s="1410"/>
      <c r="J30" s="1411"/>
      <c r="K30" s="714"/>
    </row>
    <row r="31" spans="1:11" ht="13.5" thickTop="1" x14ac:dyDescent="0.2">
      <c r="D31" s="285"/>
      <c r="E31" s="1412"/>
      <c r="F31" s="1412"/>
      <c r="G31" s="1412"/>
      <c r="H31" s="1412"/>
      <c r="I31" s="1412"/>
      <c r="J31" s="1412"/>
      <c r="K31" s="1412"/>
    </row>
    <row r="32" spans="1:11" ht="13.5" thickBot="1" x14ac:dyDescent="0.25">
      <c r="B32" s="275" t="s">
        <v>7594</v>
      </c>
      <c r="C32" s="259"/>
      <c r="D32" s="285"/>
      <c r="E32" s="714"/>
      <c r="F32" s="1413"/>
      <c r="G32" s="714"/>
      <c r="H32" s="714"/>
      <c r="I32" s="714"/>
      <c r="J32" s="714"/>
      <c r="K32" s="714"/>
    </row>
    <row r="33" spans="1:11" ht="13.5" thickTop="1" x14ac:dyDescent="0.2">
      <c r="A33" s="15" t="s">
        <v>863</v>
      </c>
      <c r="B33" s="270" t="s">
        <v>7595</v>
      </c>
      <c r="C33" s="260"/>
      <c r="D33" s="286">
        <v>19</v>
      </c>
      <c r="E33" s="1414"/>
      <c r="F33" s="1382"/>
      <c r="G33" s="1382"/>
      <c r="H33" s="1383"/>
      <c r="I33" s="1383"/>
      <c r="J33" s="1383"/>
      <c r="K33" s="1384"/>
    </row>
    <row r="34" spans="1:11" x14ac:dyDescent="0.2">
      <c r="A34" s="15" t="s">
        <v>866</v>
      </c>
      <c r="B34" s="271" t="s">
        <v>650</v>
      </c>
      <c r="C34" s="256"/>
      <c r="D34" s="288">
        <v>20</v>
      </c>
      <c r="E34" s="1385"/>
      <c r="F34" s="1386"/>
      <c r="G34" s="1386"/>
      <c r="H34" s="1387"/>
      <c r="I34" s="1387"/>
      <c r="J34" s="1387"/>
      <c r="K34" s="1415"/>
    </row>
    <row r="35" spans="1:11" ht="13.5" thickBot="1" x14ac:dyDescent="0.25">
      <c r="A35" s="15" t="s">
        <v>872</v>
      </c>
      <c r="B35" s="272" t="s">
        <v>171</v>
      </c>
      <c r="C35" s="257"/>
      <c r="D35" s="287">
        <v>21</v>
      </c>
      <c r="E35" s="1416"/>
      <c r="F35" s="1417"/>
      <c r="G35" s="1417"/>
      <c r="H35" s="1404"/>
      <c r="I35" s="1404"/>
      <c r="J35" s="1404"/>
      <c r="K35" s="1396"/>
    </row>
    <row r="36" spans="1:11" ht="13.5" thickTop="1" x14ac:dyDescent="0.2"/>
  </sheetData>
  <mergeCells count="1">
    <mergeCell ref="E1:K1"/>
  </mergeCells>
  <phoneticPr fontId="36" type="noConversion"/>
  <dataValidations count="2">
    <dataValidation type="whole" operator="greaterThanOrEqual" allowBlank="1" showInputMessage="1" showErrorMessage="1" error="Positive whole numbers only / Nombres entiers positifs uniquement" sqref="E24:J25 H33:J35 K33 G33 I12:K16 E14:H16 G12:H13 K25 I28:I30 G28:G30 E22:J22 H27:H30 E27:F30 J27:J30 E18 E10:K10 H11:J11 E20:K20 G18:K18" xr:uid="{00000000-0002-0000-1700-000000000000}">
      <formula1>0</formula1>
    </dataValidation>
    <dataValidation type="whole" operator="greaterThanOrEqual" allowBlank="1" showInputMessage="1" showErrorMessage="1" error="Whole numbers only / Nombres entiers uniquement" sqref="E19 E17:K17 G19:K19" xr:uid="{00000000-0002-0000-1700-000001000000}">
      <formula1>-1000000000000</formula1>
    </dataValidation>
  </dataValidations>
  <pageMargins left="0.75" right="0.75" top="1" bottom="1" header="0.5" footer="0.5"/>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1">
    <tabColor rgb="FFFF6600"/>
  </sheetPr>
  <dimension ref="A1:AH47"/>
  <sheetViews>
    <sheetView showGridLines="0" topLeftCell="B1" workbookViewId="0">
      <selection activeCell="B34" sqref="B34"/>
    </sheetView>
  </sheetViews>
  <sheetFormatPr defaultColWidth="11.42578125" defaultRowHeight="12.75" x14ac:dyDescent="0.2"/>
  <cols>
    <col min="1" max="1" width="11.85546875" hidden="1" customWidth="1"/>
    <col min="2" max="2" width="28.42578125" customWidth="1"/>
    <col min="3" max="3" width="7.85546875" customWidth="1"/>
    <col min="4" max="4" width="5.5703125" customWidth="1"/>
    <col min="5" max="10" width="9.28515625" bestFit="1" customWidth="1"/>
    <col min="11" max="11" width="9.28515625" customWidth="1"/>
    <col min="12" max="15" width="9.28515625" bestFit="1" customWidth="1"/>
    <col min="16" max="17" width="9.28515625" customWidth="1"/>
    <col min="18" max="19" width="9.28515625" bestFit="1" customWidth="1"/>
    <col min="20" max="22" width="9.28515625" customWidth="1"/>
    <col min="23" max="23" width="9.28515625" bestFit="1" customWidth="1"/>
    <col min="24" max="25" width="9.28515625" customWidth="1"/>
    <col min="26" max="26" width="10.42578125" customWidth="1"/>
    <col min="27" max="27" width="10.5703125" customWidth="1"/>
    <col min="28" max="33" width="9.28515625" bestFit="1" customWidth="1"/>
    <col min="34" max="34" width="9.85546875" bestFit="1" customWidth="1"/>
    <col min="35" max="56" width="11.42578125" customWidth="1"/>
    <col min="57" max="57" width="29.5703125" customWidth="1"/>
    <col min="58" max="58" width="3" customWidth="1"/>
    <col min="59" max="59" width="5.5703125" customWidth="1"/>
    <col min="60" max="108" width="11.42578125" customWidth="1"/>
    <col min="109" max="109" width="33.7109375" customWidth="1"/>
    <col min="110" max="110" width="11.140625" customWidth="1"/>
    <col min="111" max="111" width="5.5703125" customWidth="1"/>
    <col min="112" max="160" width="11.42578125" customWidth="1"/>
  </cols>
  <sheetData>
    <row r="1" spans="1:34" ht="30" customHeight="1" x14ac:dyDescent="0.2">
      <c r="A1" s="302"/>
      <c r="B1" s="240" t="s">
        <v>7596</v>
      </c>
      <c r="C1" s="241"/>
      <c r="G1" s="310" t="s">
        <v>7597</v>
      </c>
      <c r="S1" s="20"/>
      <c r="T1" s="20"/>
      <c r="U1" s="310"/>
      <c r="V1" s="20"/>
      <c r="W1" s="310" t="s">
        <v>7597</v>
      </c>
      <c r="Y1" s="20"/>
      <c r="Z1" s="20"/>
      <c r="AA1" s="20"/>
      <c r="AB1" s="20"/>
      <c r="AC1" s="20"/>
      <c r="AD1" s="310" t="s">
        <v>7597</v>
      </c>
      <c r="AE1" s="20"/>
      <c r="AF1" s="20"/>
      <c r="AG1" s="20"/>
      <c r="AH1" s="20"/>
    </row>
    <row r="2" spans="1:34" x14ac:dyDescent="0.2">
      <c r="A2" s="277" t="s">
        <v>7234</v>
      </c>
      <c r="B2" s="2063">
        <f>DataYear</f>
        <v>2019</v>
      </c>
      <c r="C2" s="241"/>
      <c r="S2" s="20"/>
      <c r="T2" s="20"/>
      <c r="U2" s="20"/>
      <c r="V2" s="20"/>
      <c r="W2" s="20"/>
      <c r="X2" s="20"/>
      <c r="Y2" s="20"/>
      <c r="Z2" s="20"/>
      <c r="AA2" s="20"/>
      <c r="AB2" s="20"/>
      <c r="AC2" s="20"/>
      <c r="AD2" s="20"/>
      <c r="AE2" s="20"/>
      <c r="AF2" s="20"/>
      <c r="AG2" s="20"/>
      <c r="AH2" s="20"/>
    </row>
    <row r="3" spans="1:34" x14ac:dyDescent="0.2">
      <c r="A3" s="20" t="s">
        <v>7356</v>
      </c>
      <c r="B3" s="2062" t="str">
        <f>CountryName</f>
        <v>South Africa</v>
      </c>
      <c r="C3" s="241"/>
      <c r="T3" s="20"/>
      <c r="U3" s="20"/>
      <c r="W3" s="20"/>
      <c r="X3" s="20"/>
      <c r="Y3" s="20"/>
      <c r="Z3" s="20"/>
      <c r="AA3" s="20"/>
      <c r="AB3" s="20"/>
      <c r="AC3" s="20"/>
      <c r="AD3" s="20"/>
      <c r="AE3" s="20"/>
      <c r="AF3" s="20"/>
      <c r="AG3" s="20"/>
      <c r="AH3" s="20"/>
    </row>
    <row r="4" spans="1:34" ht="9.9499999999999993" customHeight="1" x14ac:dyDescent="0.2">
      <c r="B4" s="241"/>
      <c r="C4" s="241"/>
    </row>
    <row r="5" spans="1:34" x14ac:dyDescent="0.2">
      <c r="C5" s="241"/>
      <c r="S5" s="269" t="s">
        <v>7598</v>
      </c>
      <c r="V5" s="300"/>
      <c r="AA5" s="269" t="s">
        <v>7598</v>
      </c>
      <c r="AH5" s="269" t="s">
        <v>7598</v>
      </c>
    </row>
    <row r="6" spans="1:34" ht="13.5" thickBot="1" x14ac:dyDescent="0.25">
      <c r="A6" s="276" t="s">
        <v>7233</v>
      </c>
      <c r="E6" s="2153" t="s">
        <v>493</v>
      </c>
      <c r="F6" s="2153" t="s">
        <v>500</v>
      </c>
      <c r="G6" s="2153" t="s">
        <v>531</v>
      </c>
      <c r="H6" s="2153" t="s">
        <v>538</v>
      </c>
      <c r="I6" s="2153" t="s">
        <v>545</v>
      </c>
      <c r="J6" s="2153" t="s">
        <v>601</v>
      </c>
      <c r="K6" s="2153" t="s">
        <v>7000</v>
      </c>
      <c r="L6" s="2153" t="s">
        <v>696</v>
      </c>
      <c r="M6" s="2154" t="s">
        <v>552</v>
      </c>
      <c r="N6" s="2153" t="s">
        <v>559</v>
      </c>
      <c r="O6" s="2153" t="s">
        <v>566</v>
      </c>
      <c r="P6" s="2153" t="s">
        <v>7001</v>
      </c>
      <c r="Q6" s="2153" t="s">
        <v>703</v>
      </c>
      <c r="R6" s="2153" t="s">
        <v>573</v>
      </c>
      <c r="S6" s="2153" t="s">
        <v>580</v>
      </c>
      <c r="T6" s="2153" t="s">
        <v>7599</v>
      </c>
      <c r="U6" s="2153" t="s">
        <v>7600</v>
      </c>
      <c r="V6" s="2155" t="s">
        <v>7002</v>
      </c>
      <c r="W6" s="2153" t="s">
        <v>710</v>
      </c>
      <c r="X6" s="2154" t="s">
        <v>587</v>
      </c>
      <c r="Y6" s="2155" t="s">
        <v>594</v>
      </c>
      <c r="Z6" s="2153" t="s">
        <v>7601</v>
      </c>
      <c r="AA6" s="2153" t="s">
        <v>7602</v>
      </c>
      <c r="AB6" s="2153" t="s">
        <v>608</v>
      </c>
      <c r="AC6" s="2153" t="s">
        <v>615</v>
      </c>
      <c r="AD6" s="2153" t="s">
        <v>622</v>
      </c>
      <c r="AE6" s="2153" t="s">
        <v>629</v>
      </c>
      <c r="AF6" s="2153" t="s">
        <v>636</v>
      </c>
      <c r="AG6" s="2153" t="s">
        <v>7603</v>
      </c>
      <c r="AH6" s="2153" t="s">
        <v>7604</v>
      </c>
    </row>
    <row r="7" spans="1:34" ht="22.5" customHeight="1" thickTop="1" x14ac:dyDescent="0.2">
      <c r="A7" s="15"/>
      <c r="B7" s="20"/>
      <c r="C7" s="20"/>
      <c r="D7" s="303"/>
      <c r="E7" s="232" t="s">
        <v>7605</v>
      </c>
      <c r="F7" s="235" t="s">
        <v>7606</v>
      </c>
      <c r="G7" s="235" t="s">
        <v>7607</v>
      </c>
      <c r="H7" s="370" t="s">
        <v>539</v>
      </c>
      <c r="I7" s="370" t="s">
        <v>545</v>
      </c>
      <c r="J7" s="358" t="s">
        <v>602</v>
      </c>
      <c r="K7" s="361" t="s">
        <v>7608</v>
      </c>
      <c r="L7" s="327"/>
      <c r="M7" s="340"/>
      <c r="N7" s="202" t="s">
        <v>7609</v>
      </c>
      <c r="O7" s="299" t="s">
        <v>7610</v>
      </c>
      <c r="P7" s="361" t="s">
        <v>7611</v>
      </c>
      <c r="Q7" s="327"/>
      <c r="R7" s="340"/>
      <c r="S7" s="364" t="s">
        <v>7612</v>
      </c>
      <c r="T7" s="345"/>
      <c r="U7" s="330"/>
      <c r="V7" s="357" t="s">
        <v>7613</v>
      </c>
      <c r="W7" s="327"/>
      <c r="X7" s="346"/>
      <c r="Y7" s="361" t="s">
        <v>7614</v>
      </c>
      <c r="Z7" s="327"/>
      <c r="AA7" s="340"/>
      <c r="AB7" s="202" t="s">
        <v>7615</v>
      </c>
      <c r="AC7" s="202" t="s">
        <v>616</v>
      </c>
      <c r="AD7" s="202" t="s">
        <v>623</v>
      </c>
      <c r="AE7" s="202" t="s">
        <v>7616</v>
      </c>
      <c r="AF7" s="202" t="s">
        <v>7617</v>
      </c>
      <c r="AG7" s="202" t="s">
        <v>7618</v>
      </c>
      <c r="AH7" s="294" t="s">
        <v>7619</v>
      </c>
    </row>
    <row r="8" spans="1:34" ht="45" x14ac:dyDescent="0.2">
      <c r="A8" s="15"/>
      <c r="B8" s="20"/>
      <c r="C8" s="20"/>
      <c r="D8" s="303"/>
      <c r="E8" s="233"/>
      <c r="F8" s="237"/>
      <c r="G8" s="237"/>
      <c r="H8" s="371"/>
      <c r="I8" s="371"/>
      <c r="J8" s="359"/>
      <c r="K8" s="362"/>
      <c r="L8" s="204" t="s">
        <v>697</v>
      </c>
      <c r="M8" s="236" t="s">
        <v>7620</v>
      </c>
      <c r="N8" s="203"/>
      <c r="O8" s="298"/>
      <c r="P8" s="362"/>
      <c r="Q8" s="204" t="s">
        <v>704</v>
      </c>
      <c r="R8" s="236" t="s">
        <v>7621</v>
      </c>
      <c r="S8" s="365"/>
      <c r="T8" s="296" t="s">
        <v>7622</v>
      </c>
      <c r="U8" s="204" t="s">
        <v>7623</v>
      </c>
      <c r="V8" s="367"/>
      <c r="W8" s="204" t="s">
        <v>7624</v>
      </c>
      <c r="X8" s="236" t="s">
        <v>7625</v>
      </c>
      <c r="Y8" s="362"/>
      <c r="Z8" s="204" t="s">
        <v>7626</v>
      </c>
      <c r="AA8" s="236" t="s">
        <v>7627</v>
      </c>
      <c r="AB8" s="353"/>
      <c r="AC8" s="353"/>
      <c r="AD8" s="353"/>
      <c r="AE8" s="353"/>
      <c r="AF8" s="353"/>
      <c r="AG8" s="353"/>
      <c r="AH8" s="355"/>
    </row>
    <row r="9" spans="1:34" x14ac:dyDescent="0.2">
      <c r="A9" s="215" t="s">
        <v>7235</v>
      </c>
      <c r="B9" s="20"/>
      <c r="C9" s="20"/>
      <c r="D9" s="303"/>
      <c r="E9" s="234"/>
      <c r="F9" s="369"/>
      <c r="G9" s="369"/>
      <c r="H9" s="372"/>
      <c r="I9" s="372"/>
      <c r="J9" s="360"/>
      <c r="K9" s="363"/>
      <c r="L9" s="205"/>
      <c r="M9" s="201"/>
      <c r="N9" s="206"/>
      <c r="O9" s="297"/>
      <c r="P9" s="363"/>
      <c r="Q9" s="205"/>
      <c r="R9" s="201"/>
      <c r="S9" s="366"/>
      <c r="T9" s="295"/>
      <c r="U9" s="205"/>
      <c r="V9" s="368"/>
      <c r="W9" s="205"/>
      <c r="X9" s="201"/>
      <c r="Y9" s="363"/>
      <c r="Z9" s="205"/>
      <c r="AA9" s="201"/>
      <c r="AB9" s="354"/>
      <c r="AC9" s="354"/>
      <c r="AD9" s="354"/>
      <c r="AE9" s="354"/>
      <c r="AF9" s="354"/>
      <c r="AG9" s="354"/>
      <c r="AH9" s="356"/>
    </row>
    <row r="10" spans="1:34" ht="13.5" thickBot="1" x14ac:dyDescent="0.25">
      <c r="B10" s="251"/>
      <c r="C10" s="251"/>
      <c r="D10" s="304"/>
      <c r="E10" s="253" t="s">
        <v>7239</v>
      </c>
      <c r="F10" s="254" t="s">
        <v>7240</v>
      </c>
      <c r="G10" s="254" t="s">
        <v>7241</v>
      </c>
      <c r="H10" s="254" t="s">
        <v>7242</v>
      </c>
      <c r="I10" s="254" t="s">
        <v>7243</v>
      </c>
      <c r="J10" s="254" t="s">
        <v>7244</v>
      </c>
      <c r="K10" s="341" t="s">
        <v>7245</v>
      </c>
      <c r="L10" s="254" t="s">
        <v>7246</v>
      </c>
      <c r="M10" s="342" t="s">
        <v>7247</v>
      </c>
      <c r="N10" s="253" t="s">
        <v>7248</v>
      </c>
      <c r="O10" s="254" t="s">
        <v>7249</v>
      </c>
      <c r="P10" s="341" t="s">
        <v>7250</v>
      </c>
      <c r="Q10" s="254" t="s">
        <v>7251</v>
      </c>
      <c r="R10" s="342" t="s">
        <v>7252</v>
      </c>
      <c r="S10" s="253" t="s">
        <v>7253</v>
      </c>
      <c r="T10" s="347" t="s">
        <v>7254</v>
      </c>
      <c r="U10" s="328" t="s">
        <v>7255</v>
      </c>
      <c r="V10" s="329" t="s">
        <v>7628</v>
      </c>
      <c r="W10" s="253" t="s">
        <v>7629</v>
      </c>
      <c r="X10" s="342" t="s">
        <v>7630</v>
      </c>
      <c r="Y10" s="349" t="s">
        <v>7631</v>
      </c>
      <c r="Z10" s="254" t="s">
        <v>7632</v>
      </c>
      <c r="AA10" s="342" t="s">
        <v>7633</v>
      </c>
      <c r="AB10" s="253" t="s">
        <v>7634</v>
      </c>
      <c r="AC10" s="254" t="s">
        <v>7635</v>
      </c>
      <c r="AD10" s="254" t="s">
        <v>7636</v>
      </c>
      <c r="AE10" s="254" t="s">
        <v>7637</v>
      </c>
      <c r="AF10" s="254" t="s">
        <v>7638</v>
      </c>
      <c r="AG10" s="254" t="s">
        <v>7639</v>
      </c>
      <c r="AH10" s="255" t="s">
        <v>7640</v>
      </c>
    </row>
    <row r="11" spans="1:34" ht="12.6" customHeight="1" thickTop="1" x14ac:dyDescent="0.2">
      <c r="A11" s="20" t="s">
        <v>7641</v>
      </c>
      <c r="B11" s="311" t="s">
        <v>7642</v>
      </c>
      <c r="C11" s="306"/>
      <c r="D11" s="318" t="s">
        <v>7643</v>
      </c>
      <c r="E11" s="1922"/>
      <c r="F11" s="1922"/>
      <c r="G11" s="1922"/>
      <c r="H11" s="1922"/>
      <c r="I11" s="1922"/>
      <c r="J11" s="1923"/>
      <c r="K11" s="1556"/>
      <c r="L11" s="1924"/>
      <c r="M11" s="1925"/>
      <c r="N11" s="1922"/>
      <c r="O11" s="1923"/>
      <c r="P11" s="1556"/>
      <c r="Q11" s="1924"/>
      <c r="R11" s="1925"/>
      <c r="S11" s="1926"/>
      <c r="T11" s="1926"/>
      <c r="U11" s="1923"/>
      <c r="V11" s="1927"/>
      <c r="W11" s="1922"/>
      <c r="X11" s="1928"/>
      <c r="Y11" s="1556"/>
      <c r="Z11" s="1924"/>
      <c r="AA11" s="1925"/>
      <c r="AB11" s="1922"/>
      <c r="AC11" s="1924"/>
      <c r="AD11" s="1924"/>
      <c r="AE11" s="1924"/>
      <c r="AF11" s="1924"/>
      <c r="AG11" s="1924"/>
      <c r="AH11" s="1512"/>
    </row>
    <row r="12" spans="1:34" ht="12.2" customHeight="1" x14ac:dyDescent="0.2">
      <c r="A12" s="20" t="s">
        <v>7644</v>
      </c>
      <c r="B12" s="312" t="s">
        <v>7645</v>
      </c>
      <c r="C12" s="307"/>
      <c r="D12" s="319" t="s">
        <v>7646</v>
      </c>
      <c r="E12" s="1929"/>
      <c r="F12" s="1930"/>
      <c r="G12" s="1518"/>
      <c r="H12" s="1518"/>
      <c r="I12" s="1518"/>
      <c r="J12" s="1534"/>
      <c r="K12" s="1515"/>
      <c r="L12" s="1518"/>
      <c r="M12" s="1520"/>
      <c r="N12" s="1513"/>
      <c r="O12" s="1534"/>
      <c r="P12" s="1515"/>
      <c r="Q12" s="1518"/>
      <c r="R12" s="1520"/>
      <c r="S12" s="1514"/>
      <c r="T12" s="1517"/>
      <c r="U12" s="1534"/>
      <c r="V12" s="1535"/>
      <c r="W12" s="1513"/>
      <c r="X12" s="1516"/>
      <c r="Y12" s="1515"/>
      <c r="Z12" s="1518"/>
      <c r="AA12" s="1520"/>
      <c r="AB12" s="1513"/>
      <c r="AC12" s="1518"/>
      <c r="AD12" s="1518"/>
      <c r="AE12" s="1518"/>
      <c r="AF12" s="1518"/>
      <c r="AG12" s="1518"/>
      <c r="AH12" s="1521"/>
    </row>
    <row r="13" spans="1:34" ht="12.2" customHeight="1" x14ac:dyDescent="0.2">
      <c r="A13" s="20" t="s">
        <v>7647</v>
      </c>
      <c r="B13" s="312" t="s">
        <v>7648</v>
      </c>
      <c r="C13" s="307"/>
      <c r="D13" s="319" t="s">
        <v>7649</v>
      </c>
      <c r="E13" s="1929"/>
      <c r="F13" s="1930"/>
      <c r="G13" s="1518"/>
      <c r="H13" s="1518"/>
      <c r="I13" s="1518"/>
      <c r="J13" s="1534"/>
      <c r="K13" s="1515"/>
      <c r="L13" s="1518"/>
      <c r="M13" s="1520"/>
      <c r="N13" s="1513"/>
      <c r="O13" s="1534"/>
      <c r="P13" s="1515"/>
      <c r="Q13" s="1518"/>
      <c r="R13" s="1520"/>
      <c r="S13" s="1514"/>
      <c r="T13" s="1517"/>
      <c r="U13" s="1534"/>
      <c r="V13" s="1535"/>
      <c r="W13" s="1513"/>
      <c r="X13" s="1516"/>
      <c r="Y13" s="1515"/>
      <c r="Z13" s="1518"/>
      <c r="AA13" s="1520"/>
      <c r="AB13" s="1513"/>
      <c r="AC13" s="1518"/>
      <c r="AD13" s="1518"/>
      <c r="AE13" s="1518"/>
      <c r="AF13" s="1518"/>
      <c r="AG13" s="1518"/>
      <c r="AH13" s="1521"/>
    </row>
    <row r="14" spans="1:34" ht="12.2" customHeight="1" x14ac:dyDescent="0.2">
      <c r="A14" s="20" t="s">
        <v>7650</v>
      </c>
      <c r="B14" s="312" t="s">
        <v>7651</v>
      </c>
      <c r="C14" s="307"/>
      <c r="D14" s="319" t="s">
        <v>7652</v>
      </c>
      <c r="E14" s="1929"/>
      <c r="F14" s="1929"/>
      <c r="G14" s="1518"/>
      <c r="H14" s="1518"/>
      <c r="I14" s="1518"/>
      <c r="J14" s="1534"/>
      <c r="K14" s="1515"/>
      <c r="L14" s="1518"/>
      <c r="M14" s="1520"/>
      <c r="N14" s="1513"/>
      <c r="O14" s="1534"/>
      <c r="P14" s="1515"/>
      <c r="Q14" s="1518"/>
      <c r="R14" s="1520"/>
      <c r="S14" s="1514"/>
      <c r="T14" s="1517"/>
      <c r="U14" s="1534"/>
      <c r="V14" s="1535"/>
      <c r="W14" s="1513"/>
      <c r="X14" s="1516"/>
      <c r="Y14" s="1515"/>
      <c r="Z14" s="1518"/>
      <c r="AA14" s="1520"/>
      <c r="AB14" s="1513"/>
      <c r="AC14" s="1518"/>
      <c r="AD14" s="1518"/>
      <c r="AE14" s="1518"/>
      <c r="AF14" s="1518"/>
      <c r="AG14" s="1518"/>
      <c r="AH14" s="1521"/>
    </row>
    <row r="15" spans="1:34" ht="12.2" customHeight="1" x14ac:dyDescent="0.2">
      <c r="A15" s="20" t="s">
        <v>7263</v>
      </c>
      <c r="B15" s="312" t="s">
        <v>7364</v>
      </c>
      <c r="C15" s="307"/>
      <c r="D15" s="319" t="s">
        <v>7653</v>
      </c>
      <c r="E15" s="1931"/>
      <c r="F15" s="1931"/>
      <c r="G15" s="1930"/>
      <c r="H15" s="1518"/>
      <c r="I15" s="1518"/>
      <c r="J15" s="1534"/>
      <c r="K15" s="1515"/>
      <c r="L15" s="1518"/>
      <c r="M15" s="1520"/>
      <c r="N15" s="1513"/>
      <c r="O15" s="1534"/>
      <c r="P15" s="1515"/>
      <c r="Q15" s="1518"/>
      <c r="R15" s="1520"/>
      <c r="S15" s="1514"/>
      <c r="T15" s="1517"/>
      <c r="U15" s="1534"/>
      <c r="V15" s="1535"/>
      <c r="W15" s="1513"/>
      <c r="X15" s="1516"/>
      <c r="Y15" s="1515"/>
      <c r="Z15" s="1518"/>
      <c r="AA15" s="1520"/>
      <c r="AB15" s="1513"/>
      <c r="AC15" s="1518"/>
      <c r="AD15" s="1518"/>
      <c r="AE15" s="1518"/>
      <c r="AF15" s="1518"/>
      <c r="AG15" s="1518"/>
      <c r="AH15" s="1521"/>
    </row>
    <row r="16" spans="1:34" ht="12.2" customHeight="1" x14ac:dyDescent="0.2">
      <c r="A16" s="20" t="s">
        <v>7265</v>
      </c>
      <c r="B16" s="312" t="s">
        <v>7365</v>
      </c>
      <c r="C16" s="307"/>
      <c r="D16" s="319" t="s">
        <v>7654</v>
      </c>
      <c r="E16" s="1931"/>
      <c r="F16" s="1931"/>
      <c r="G16" s="1930"/>
      <c r="H16" s="1518"/>
      <c r="I16" s="1518"/>
      <c r="J16" s="1534"/>
      <c r="K16" s="1515"/>
      <c r="L16" s="1518"/>
      <c r="M16" s="1520"/>
      <c r="N16" s="1513"/>
      <c r="O16" s="1534"/>
      <c r="P16" s="1515"/>
      <c r="Q16" s="1518"/>
      <c r="R16" s="1520"/>
      <c r="S16" s="1514"/>
      <c r="T16" s="1517"/>
      <c r="U16" s="1534"/>
      <c r="V16" s="1535"/>
      <c r="W16" s="1513"/>
      <c r="X16" s="1516"/>
      <c r="Y16" s="1515"/>
      <c r="Z16" s="1518"/>
      <c r="AA16" s="1520"/>
      <c r="AB16" s="1513"/>
      <c r="AC16" s="1518"/>
      <c r="AD16" s="1518"/>
      <c r="AE16" s="1518"/>
      <c r="AF16" s="1518"/>
      <c r="AG16" s="1518"/>
      <c r="AH16" s="1521"/>
    </row>
    <row r="17" spans="1:34" ht="12.2" customHeight="1" x14ac:dyDescent="0.2">
      <c r="A17" s="20" t="s">
        <v>7267</v>
      </c>
      <c r="B17" s="312" t="s">
        <v>891</v>
      </c>
      <c r="C17" s="307"/>
      <c r="D17" s="319" t="s">
        <v>7655</v>
      </c>
      <c r="E17" s="1929"/>
      <c r="F17" s="1930"/>
      <c r="G17" s="1518"/>
      <c r="H17" s="1518"/>
      <c r="I17" s="1518"/>
      <c r="J17" s="1534"/>
      <c r="K17" s="1515"/>
      <c r="L17" s="1518"/>
      <c r="M17" s="1520"/>
      <c r="N17" s="1513"/>
      <c r="O17" s="1534"/>
      <c r="P17" s="1515"/>
      <c r="Q17" s="1518"/>
      <c r="R17" s="1520"/>
      <c r="S17" s="1514"/>
      <c r="T17" s="1517"/>
      <c r="U17" s="1534"/>
      <c r="V17" s="1535"/>
      <c r="W17" s="1513"/>
      <c r="X17" s="1516"/>
      <c r="Y17" s="1515"/>
      <c r="Z17" s="1518"/>
      <c r="AA17" s="1520"/>
      <c r="AB17" s="1513"/>
      <c r="AC17" s="1518"/>
      <c r="AD17" s="1518"/>
      <c r="AE17" s="1518"/>
      <c r="AF17" s="1518"/>
      <c r="AG17" s="1518"/>
      <c r="AH17" s="1521"/>
    </row>
    <row r="18" spans="1:34" ht="12.2" customHeight="1" x14ac:dyDescent="0.2">
      <c r="A18" s="20" t="s">
        <v>7656</v>
      </c>
      <c r="B18" s="312" t="s">
        <v>7657</v>
      </c>
      <c r="C18" s="307"/>
      <c r="D18" s="319" t="s">
        <v>7658</v>
      </c>
      <c r="E18" s="1513"/>
      <c r="F18" s="1518"/>
      <c r="G18" s="1518"/>
      <c r="H18" s="1518"/>
      <c r="I18" s="1518"/>
      <c r="J18" s="1534"/>
      <c r="K18" s="1515"/>
      <c r="L18" s="1518"/>
      <c r="M18" s="1520"/>
      <c r="N18" s="1513"/>
      <c r="O18" s="1534"/>
      <c r="P18" s="1515"/>
      <c r="Q18" s="1518"/>
      <c r="R18" s="1520"/>
      <c r="S18" s="1514"/>
      <c r="T18" s="1517"/>
      <c r="U18" s="1534"/>
      <c r="V18" s="1535"/>
      <c r="W18" s="1513"/>
      <c r="X18" s="1516"/>
      <c r="Y18" s="1515"/>
      <c r="Z18" s="1518"/>
      <c r="AA18" s="1520"/>
      <c r="AB18" s="1513"/>
      <c r="AC18" s="1518"/>
      <c r="AD18" s="1518"/>
      <c r="AE18" s="1518"/>
      <c r="AF18" s="1518"/>
      <c r="AG18" s="1518"/>
      <c r="AH18" s="1521"/>
    </row>
    <row r="19" spans="1:34" ht="12.2" customHeight="1" x14ac:dyDescent="0.2">
      <c r="A19" s="20" t="s">
        <v>7567</v>
      </c>
      <c r="B19" s="312" t="s">
        <v>7568</v>
      </c>
      <c r="C19" s="307"/>
      <c r="D19" s="319" t="s">
        <v>7659</v>
      </c>
      <c r="E19" s="1929"/>
      <c r="F19" s="1930"/>
      <c r="G19" s="1518"/>
      <c r="H19" s="1518"/>
      <c r="I19" s="1518"/>
      <c r="J19" s="1534"/>
      <c r="K19" s="1515"/>
      <c r="L19" s="1518"/>
      <c r="M19" s="1520"/>
      <c r="N19" s="1513"/>
      <c r="O19" s="1534"/>
      <c r="P19" s="1515"/>
      <c r="Q19" s="1518"/>
      <c r="R19" s="1520"/>
      <c r="S19" s="1514"/>
      <c r="T19" s="1517"/>
      <c r="U19" s="1534"/>
      <c r="V19" s="1535"/>
      <c r="W19" s="1513"/>
      <c r="X19" s="1516"/>
      <c r="Y19" s="1515"/>
      <c r="Z19" s="1518"/>
      <c r="AA19" s="1520"/>
      <c r="AB19" s="1513"/>
      <c r="AC19" s="1518"/>
      <c r="AD19" s="1518"/>
      <c r="AE19" s="1518"/>
      <c r="AF19" s="1518"/>
      <c r="AG19" s="1518"/>
      <c r="AH19" s="1521"/>
    </row>
    <row r="20" spans="1:34" ht="12.2" customHeight="1" x14ac:dyDescent="0.2">
      <c r="A20" s="20" t="s">
        <v>7268</v>
      </c>
      <c r="B20" s="312" t="s">
        <v>905</v>
      </c>
      <c r="C20" s="307"/>
      <c r="D20" s="319" t="s">
        <v>7660</v>
      </c>
      <c r="E20" s="1931"/>
      <c r="F20" s="1932"/>
      <c r="G20" s="1518"/>
      <c r="H20" s="1518"/>
      <c r="I20" s="1518"/>
      <c r="J20" s="1534"/>
      <c r="K20" s="1515"/>
      <c r="L20" s="1518"/>
      <c r="M20" s="1520"/>
      <c r="N20" s="1513"/>
      <c r="O20" s="1534"/>
      <c r="P20" s="1515"/>
      <c r="Q20" s="1518"/>
      <c r="R20" s="1520"/>
      <c r="S20" s="1514"/>
      <c r="T20" s="1517"/>
      <c r="U20" s="1534"/>
      <c r="V20" s="1535"/>
      <c r="W20" s="1513"/>
      <c r="X20" s="1516"/>
      <c r="Y20" s="1515"/>
      <c r="Z20" s="1518"/>
      <c r="AA20" s="1520"/>
      <c r="AB20" s="1513"/>
      <c r="AC20" s="1518"/>
      <c r="AD20" s="1518"/>
      <c r="AE20" s="1518"/>
      <c r="AF20" s="1518"/>
      <c r="AG20" s="1518"/>
      <c r="AH20" s="1521"/>
    </row>
    <row r="21" spans="1:34" ht="12.2" customHeight="1" x14ac:dyDescent="0.2">
      <c r="A21" s="20" t="s">
        <v>7661</v>
      </c>
      <c r="B21" s="312" t="s">
        <v>7662</v>
      </c>
      <c r="C21" s="307"/>
      <c r="D21" s="319" t="s">
        <v>7582</v>
      </c>
      <c r="E21" s="1933"/>
      <c r="F21" s="1933"/>
      <c r="G21" s="1934"/>
      <c r="H21" s="1934"/>
      <c r="I21" s="1934"/>
      <c r="J21" s="1935"/>
      <c r="K21" s="1936"/>
      <c r="L21" s="1934"/>
      <c r="M21" s="1937"/>
      <c r="N21" s="1933"/>
      <c r="O21" s="1935"/>
      <c r="P21" s="1936"/>
      <c r="Q21" s="1934"/>
      <c r="R21" s="1937"/>
      <c r="S21" s="1938"/>
      <c r="T21" s="1939"/>
      <c r="U21" s="1938"/>
      <c r="V21" s="1940"/>
      <c r="W21" s="1933"/>
      <c r="X21" s="1937"/>
      <c r="Y21" s="1936"/>
      <c r="Z21" s="1934"/>
      <c r="AA21" s="1937"/>
      <c r="AB21" s="1933"/>
      <c r="AC21" s="1934"/>
      <c r="AD21" s="1934"/>
      <c r="AE21" s="1934"/>
      <c r="AF21" s="1934"/>
      <c r="AG21" s="1934"/>
      <c r="AH21" s="1521"/>
    </row>
    <row r="22" spans="1:34" ht="12.2" customHeight="1" x14ac:dyDescent="0.2">
      <c r="A22" s="20" t="s">
        <v>198</v>
      </c>
      <c r="B22" s="312" t="s">
        <v>7272</v>
      </c>
      <c r="C22" s="307"/>
      <c r="D22" s="319" t="s">
        <v>7663</v>
      </c>
      <c r="E22" s="1929"/>
      <c r="F22" s="1929"/>
      <c r="G22" s="1941"/>
      <c r="H22" s="1941"/>
      <c r="I22" s="1941"/>
      <c r="J22" s="1942"/>
      <c r="K22" s="1943"/>
      <c r="L22" s="1941"/>
      <c r="M22" s="1944"/>
      <c r="N22" s="1945"/>
      <c r="O22" s="1942"/>
      <c r="P22" s="1943"/>
      <c r="Q22" s="1941"/>
      <c r="R22" s="1944"/>
      <c r="S22" s="1946"/>
      <c r="T22" s="1947"/>
      <c r="U22" s="1946"/>
      <c r="V22" s="1948"/>
      <c r="W22" s="1945"/>
      <c r="X22" s="1944"/>
      <c r="Y22" s="1943"/>
      <c r="Z22" s="1941"/>
      <c r="AA22" s="1944"/>
      <c r="AB22" s="1945"/>
      <c r="AC22" s="1941"/>
      <c r="AD22" s="1941"/>
      <c r="AE22" s="1941"/>
      <c r="AF22" s="1941"/>
      <c r="AG22" s="1941"/>
      <c r="AH22" s="1521"/>
    </row>
    <row r="23" spans="1:34" ht="12.2" customHeight="1" thickBot="1" x14ac:dyDescent="0.25">
      <c r="A23" s="20" t="s">
        <v>7664</v>
      </c>
      <c r="B23" s="313" t="s">
        <v>7665</v>
      </c>
      <c r="C23" s="308"/>
      <c r="D23" s="339" t="s">
        <v>7666</v>
      </c>
      <c r="E23" s="1949"/>
      <c r="F23" s="1950"/>
      <c r="G23" s="1950"/>
      <c r="H23" s="1950"/>
      <c r="I23" s="1950"/>
      <c r="J23" s="1951"/>
      <c r="K23" s="1952"/>
      <c r="L23" s="1950"/>
      <c r="M23" s="1953"/>
      <c r="N23" s="1949"/>
      <c r="O23" s="1951"/>
      <c r="P23" s="1952"/>
      <c r="Q23" s="1950"/>
      <c r="R23" s="1953"/>
      <c r="S23" s="1954"/>
      <c r="T23" s="1955"/>
      <c r="U23" s="1954"/>
      <c r="V23" s="1956"/>
      <c r="W23" s="1949"/>
      <c r="X23" s="1953"/>
      <c r="Y23" s="1952"/>
      <c r="Z23" s="1950"/>
      <c r="AA23" s="1953"/>
      <c r="AB23" s="1949"/>
      <c r="AC23" s="1950"/>
      <c r="AD23" s="1950"/>
      <c r="AE23" s="1950"/>
      <c r="AF23" s="1950"/>
      <c r="AG23" s="1950"/>
      <c r="AH23" s="1571"/>
    </row>
    <row r="24" spans="1:34" ht="16.5" customHeight="1" thickTop="1" thickBot="1" x14ac:dyDescent="0.25">
      <c r="B24" s="314" t="s">
        <v>7586</v>
      </c>
      <c r="C24" s="309"/>
      <c r="D24" s="320"/>
      <c r="E24" s="1957"/>
      <c r="F24" s="1957"/>
      <c r="G24" s="1957"/>
      <c r="H24" s="1957"/>
      <c r="I24" s="1957"/>
      <c r="J24" s="1957"/>
      <c r="K24" s="1957"/>
      <c r="L24" s="1957"/>
      <c r="M24" s="1957"/>
      <c r="N24" s="1957"/>
      <c r="O24" s="1957"/>
      <c r="P24" s="1957"/>
      <c r="Q24" s="1957"/>
      <c r="R24" s="1957"/>
      <c r="S24" s="1957"/>
      <c r="T24" s="1957"/>
      <c r="U24" s="1957"/>
      <c r="V24" s="1957"/>
      <c r="W24" s="1957"/>
      <c r="X24" s="1957"/>
      <c r="Y24" s="1957"/>
      <c r="Z24" s="1957"/>
      <c r="AA24" s="1957"/>
      <c r="AB24" s="1957"/>
      <c r="AC24" s="1957"/>
      <c r="AD24" s="1957"/>
      <c r="AE24" s="1957"/>
      <c r="AF24" s="1957"/>
      <c r="AG24" s="1957"/>
      <c r="AH24" s="1957"/>
    </row>
    <row r="25" spans="1:34" ht="12.2" customHeight="1" thickTop="1" thickBot="1" x14ac:dyDescent="0.25">
      <c r="A25" s="20" t="s">
        <v>7369</v>
      </c>
      <c r="B25" s="278" t="s">
        <v>7370</v>
      </c>
      <c r="C25" s="317"/>
      <c r="D25" s="321">
        <v>14</v>
      </c>
      <c r="E25" s="1958"/>
      <c r="F25" s="1959"/>
      <c r="G25" s="1960"/>
      <c r="H25" s="1960"/>
      <c r="I25" s="1960"/>
      <c r="J25" s="1961"/>
      <c r="K25" s="1962"/>
      <c r="L25" s="1960"/>
      <c r="M25" s="1963"/>
      <c r="N25" s="1964"/>
      <c r="O25" s="1961"/>
      <c r="P25" s="1962"/>
      <c r="Q25" s="1960"/>
      <c r="R25" s="1963"/>
      <c r="S25" s="1965"/>
      <c r="T25" s="1966"/>
      <c r="U25" s="1961"/>
      <c r="V25" s="1927"/>
      <c r="W25" s="1964"/>
      <c r="X25" s="1967"/>
      <c r="Y25" s="1962"/>
      <c r="Z25" s="1960"/>
      <c r="AA25" s="1963"/>
      <c r="AB25" s="1964"/>
      <c r="AC25" s="1960"/>
      <c r="AD25" s="1960"/>
      <c r="AE25" s="1960"/>
      <c r="AF25" s="1960"/>
      <c r="AG25" s="1960"/>
      <c r="AH25" s="1555"/>
    </row>
    <row r="26" spans="1:34" ht="12.2" customHeight="1" thickTop="1" thickBot="1" x14ac:dyDescent="0.25">
      <c r="A26" s="20" t="s">
        <v>7371</v>
      </c>
      <c r="B26" s="325" t="s">
        <v>7372</v>
      </c>
      <c r="C26" s="326"/>
      <c r="D26" s="322">
        <v>15</v>
      </c>
      <c r="E26" s="1968"/>
      <c r="F26" s="1969"/>
      <c r="G26" s="1566"/>
      <c r="H26" s="1566"/>
      <c r="I26" s="1566"/>
      <c r="J26" s="1564"/>
      <c r="K26" s="1962"/>
      <c r="L26" s="1566"/>
      <c r="M26" s="1567"/>
      <c r="N26" s="1563"/>
      <c r="O26" s="1564"/>
      <c r="P26" s="1565"/>
      <c r="Q26" s="1566"/>
      <c r="R26" s="1567"/>
      <c r="S26" s="1568"/>
      <c r="T26" s="1569"/>
      <c r="U26" s="1564"/>
      <c r="V26" s="1570"/>
      <c r="W26" s="1563"/>
      <c r="X26" s="1970"/>
      <c r="Y26" s="1565"/>
      <c r="Z26" s="1566"/>
      <c r="AA26" s="1567"/>
      <c r="AB26" s="1563"/>
      <c r="AC26" s="1566"/>
      <c r="AD26" s="1566"/>
      <c r="AE26" s="1566"/>
      <c r="AF26" s="1566"/>
      <c r="AG26" s="1566"/>
      <c r="AH26" s="1571"/>
    </row>
    <row r="27" spans="1:34" ht="17.100000000000001" customHeight="1" thickTop="1" thickBot="1" x14ac:dyDescent="0.25">
      <c r="A27" s="20"/>
      <c r="B27" s="314" t="s">
        <v>7667</v>
      </c>
      <c r="C27" s="309"/>
      <c r="D27" s="320"/>
      <c r="E27" s="1957"/>
      <c r="F27" s="1957"/>
      <c r="G27" s="1957"/>
      <c r="H27" s="1957"/>
      <c r="I27" s="1957"/>
      <c r="J27" s="1957"/>
      <c r="K27" s="1957"/>
      <c r="L27" s="1957"/>
      <c r="M27" s="1957"/>
      <c r="N27" s="1957"/>
      <c r="O27" s="1957"/>
      <c r="P27" s="1957"/>
      <c r="Q27" s="1957"/>
      <c r="R27" s="1957"/>
      <c r="S27" s="1957"/>
      <c r="T27" s="1957"/>
      <c r="U27" s="1957"/>
      <c r="V27" s="1957"/>
      <c r="W27" s="1957"/>
      <c r="X27" s="1957"/>
      <c r="Y27" s="1957"/>
      <c r="Z27" s="1957"/>
      <c r="AA27" s="1957"/>
      <c r="AB27" s="1957"/>
      <c r="AC27" s="1957"/>
      <c r="AD27" s="1957"/>
      <c r="AE27" s="1957"/>
      <c r="AF27" s="1957"/>
      <c r="AG27" s="1957"/>
      <c r="AH27" s="1957"/>
    </row>
    <row r="28" spans="1:34" ht="12.2" customHeight="1" thickTop="1" x14ac:dyDescent="0.2">
      <c r="A28" s="20" t="s">
        <v>7668</v>
      </c>
      <c r="B28" s="278" t="s">
        <v>7669</v>
      </c>
      <c r="C28" s="317"/>
      <c r="D28" s="321">
        <v>16</v>
      </c>
      <c r="E28" s="1971"/>
      <c r="F28" s="1972"/>
      <c r="G28" s="1960"/>
      <c r="H28" s="1960"/>
      <c r="I28" s="1960"/>
      <c r="J28" s="1961"/>
      <c r="K28" s="1962"/>
      <c r="L28" s="1960"/>
      <c r="M28" s="1963"/>
      <c r="N28" s="1964"/>
      <c r="O28" s="1961"/>
      <c r="P28" s="1962"/>
      <c r="Q28" s="1960"/>
      <c r="R28" s="1963"/>
      <c r="S28" s="1965"/>
      <c r="T28" s="1966"/>
      <c r="U28" s="1961"/>
      <c r="V28" s="1927"/>
      <c r="W28" s="1960"/>
      <c r="X28" s="1963"/>
      <c r="Y28" s="1962"/>
      <c r="Z28" s="1960"/>
      <c r="AA28" s="1963"/>
      <c r="AB28" s="1964"/>
      <c r="AC28" s="1960"/>
      <c r="AD28" s="1960"/>
      <c r="AE28" s="1960"/>
      <c r="AF28" s="1960"/>
      <c r="AG28" s="1960"/>
      <c r="AH28" s="1555"/>
    </row>
    <row r="29" spans="1:34" ht="12.2" customHeight="1" x14ac:dyDescent="0.2">
      <c r="A29" s="20" t="s">
        <v>7670</v>
      </c>
      <c r="B29" s="316" t="s">
        <v>7671</v>
      </c>
      <c r="C29" s="315"/>
      <c r="D29" s="323">
        <v>17</v>
      </c>
      <c r="E29" s="1929"/>
      <c r="F29" s="1930"/>
      <c r="G29" s="1518"/>
      <c r="H29" s="1518"/>
      <c r="I29" s="1518"/>
      <c r="J29" s="1534"/>
      <c r="K29" s="1515"/>
      <c r="L29" s="1518"/>
      <c r="M29" s="1520"/>
      <c r="N29" s="1513"/>
      <c r="O29" s="1534"/>
      <c r="P29" s="1515"/>
      <c r="Q29" s="1518"/>
      <c r="R29" s="1520"/>
      <c r="S29" s="1514"/>
      <c r="T29" s="1517"/>
      <c r="U29" s="1534"/>
      <c r="V29" s="1535"/>
      <c r="W29" s="1518"/>
      <c r="X29" s="1520"/>
      <c r="Y29" s="1515"/>
      <c r="Z29" s="1518"/>
      <c r="AA29" s="1520"/>
      <c r="AB29" s="1513"/>
      <c r="AC29" s="1518"/>
      <c r="AD29" s="1518"/>
      <c r="AE29" s="1518"/>
      <c r="AF29" s="1518"/>
      <c r="AG29" s="1518"/>
      <c r="AH29" s="1521"/>
    </row>
    <row r="30" spans="1:34" ht="12.2" customHeight="1" thickBot="1" x14ac:dyDescent="0.25">
      <c r="A30" s="20" t="s">
        <v>7672</v>
      </c>
      <c r="B30" s="586" t="s">
        <v>7673</v>
      </c>
      <c r="C30" s="331"/>
      <c r="D30" s="332">
        <v>18</v>
      </c>
      <c r="E30" s="1968"/>
      <c r="F30" s="1969"/>
      <c r="G30" s="1524"/>
      <c r="H30" s="1524"/>
      <c r="I30" s="1524"/>
      <c r="J30" s="1559"/>
      <c r="K30" s="1565"/>
      <c r="L30" s="1566"/>
      <c r="M30" s="1567"/>
      <c r="N30" s="1558"/>
      <c r="O30" s="1559"/>
      <c r="P30" s="1565"/>
      <c r="Q30" s="1566"/>
      <c r="R30" s="1567"/>
      <c r="S30" s="1522"/>
      <c r="T30" s="1569"/>
      <c r="U30" s="1564"/>
      <c r="V30" s="1570"/>
      <c r="W30" s="1563"/>
      <c r="X30" s="1970"/>
      <c r="Y30" s="1565"/>
      <c r="Z30" s="1566"/>
      <c r="AA30" s="1567"/>
      <c r="AB30" s="1558"/>
      <c r="AC30" s="1524"/>
      <c r="AD30" s="1524"/>
      <c r="AE30" s="1524"/>
      <c r="AF30" s="1524"/>
      <c r="AG30" s="1524"/>
      <c r="AH30" s="1973"/>
    </row>
    <row r="31" spans="1:34" ht="12.2" customHeight="1" thickTop="1" thickBot="1" x14ac:dyDescent="0.25">
      <c r="B31" s="333" t="s">
        <v>7674</v>
      </c>
      <c r="C31" s="334"/>
      <c r="D31" s="335"/>
      <c r="E31" s="1974"/>
      <c r="F31" s="1974"/>
      <c r="G31" s="1975"/>
      <c r="H31" s="1975"/>
      <c r="I31" s="1975"/>
      <c r="J31" s="1975"/>
      <c r="K31" s="1975"/>
      <c r="L31" s="1975"/>
      <c r="M31" s="1975"/>
      <c r="N31" s="1975"/>
      <c r="O31" s="1975"/>
      <c r="P31" s="1975"/>
      <c r="Q31" s="1975"/>
      <c r="R31" s="1975"/>
      <c r="S31" s="1975"/>
      <c r="T31" s="1975"/>
      <c r="U31" s="1975"/>
      <c r="V31" s="1974"/>
      <c r="W31" s="1975"/>
      <c r="X31" s="1975"/>
      <c r="Y31" s="1975"/>
      <c r="Z31" s="1975"/>
      <c r="AA31" s="1975"/>
      <c r="AB31" s="1975"/>
      <c r="AC31" s="1975"/>
      <c r="AD31" s="1975"/>
      <c r="AE31" s="1975"/>
      <c r="AF31" s="1975"/>
      <c r="AG31" s="1975"/>
      <c r="AH31" s="1976"/>
    </row>
    <row r="32" spans="1:34" ht="12.2" customHeight="1" thickTop="1" thickBot="1" x14ac:dyDescent="0.25">
      <c r="A32" s="20" t="s">
        <v>7675</v>
      </c>
      <c r="B32" s="270" t="s">
        <v>7676</v>
      </c>
      <c r="C32" s="336"/>
      <c r="D32" s="321">
        <v>19</v>
      </c>
      <c r="E32" s="1960"/>
      <c r="F32" s="1960"/>
      <c r="G32" s="1960"/>
      <c r="H32" s="1960"/>
      <c r="I32" s="1960"/>
      <c r="J32" s="1961"/>
      <c r="K32" s="1962"/>
      <c r="L32" s="1960"/>
      <c r="M32" s="1963"/>
      <c r="N32" s="1964"/>
      <c r="O32" s="1961"/>
      <c r="P32" s="1962"/>
      <c r="Q32" s="1960"/>
      <c r="R32" s="1963"/>
      <c r="S32" s="1965"/>
      <c r="T32" s="1966"/>
      <c r="U32" s="1961"/>
      <c r="V32" s="1927"/>
      <c r="W32" s="1964"/>
      <c r="X32" s="1967"/>
      <c r="Y32" s="1962"/>
      <c r="Z32" s="1960"/>
      <c r="AA32" s="1963"/>
      <c r="AB32" s="1964"/>
      <c r="AC32" s="1960"/>
      <c r="AD32" s="1960"/>
      <c r="AE32" s="1960"/>
      <c r="AF32" s="1960"/>
      <c r="AG32" s="1960"/>
      <c r="AH32" s="1977"/>
    </row>
    <row r="33" spans="1:34" ht="12.2" customHeight="1" thickTop="1" thickBot="1" x14ac:dyDescent="0.25">
      <c r="A33" s="20" t="s">
        <v>7592</v>
      </c>
      <c r="B33" s="337" t="s">
        <v>7677</v>
      </c>
      <c r="C33" s="338"/>
      <c r="D33" s="324">
        <v>20</v>
      </c>
      <c r="E33" s="1968"/>
      <c r="F33" s="1969"/>
      <c r="G33" s="1541"/>
      <c r="H33" s="1541"/>
      <c r="I33" s="1541"/>
      <c r="J33" s="1539"/>
      <c r="K33" s="1540"/>
      <c r="L33" s="1541"/>
      <c r="M33" s="1542"/>
      <c r="N33" s="1538"/>
      <c r="O33" s="1539"/>
      <c r="P33" s="1540"/>
      <c r="Q33" s="1541"/>
      <c r="R33" s="1542"/>
      <c r="S33" s="1543"/>
      <c r="T33" s="1978"/>
      <c r="U33" s="1539"/>
      <c r="V33" s="1545"/>
      <c r="W33" s="1979"/>
      <c r="X33" s="1980"/>
      <c r="Y33" s="1540"/>
      <c r="Z33" s="1541"/>
      <c r="AA33" s="1542"/>
      <c r="AB33" s="1538"/>
      <c r="AC33" s="1541"/>
      <c r="AD33" s="1541"/>
      <c r="AE33" s="1541"/>
      <c r="AF33" s="1541"/>
      <c r="AG33" s="1981"/>
      <c r="AH33" s="1982"/>
    </row>
    <row r="34" spans="1:34" ht="12.2" customHeight="1" thickTop="1" x14ac:dyDescent="0.2"/>
    <row r="35" spans="1:34" ht="12.2" customHeight="1" x14ac:dyDescent="0.2"/>
    <row r="36" spans="1:34" ht="12.2" customHeight="1" x14ac:dyDescent="0.2"/>
    <row r="37" spans="1:34" ht="12.2" customHeight="1" x14ac:dyDescent="0.2"/>
    <row r="38" spans="1:34" ht="12" customHeight="1" x14ac:dyDescent="0.2"/>
    <row r="39" spans="1:34" ht="12" customHeight="1" x14ac:dyDescent="0.2"/>
    <row r="40" spans="1:34" ht="12.2" customHeight="1" x14ac:dyDescent="0.2"/>
    <row r="41" spans="1:34" ht="12.2" customHeight="1" x14ac:dyDescent="0.2"/>
    <row r="42" spans="1:34" ht="12.2" customHeight="1" x14ac:dyDescent="0.2"/>
    <row r="43" spans="1:34" ht="12.2" customHeight="1" x14ac:dyDescent="0.2"/>
    <row r="44" spans="1:34" ht="12.2" customHeight="1" x14ac:dyDescent="0.2"/>
    <row r="45" spans="1:34" ht="12.2" customHeight="1" x14ac:dyDescent="0.2"/>
    <row r="46" spans="1:34" ht="12.2" customHeight="1" x14ac:dyDescent="0.2"/>
    <row r="47" spans="1:34" ht="11.45" customHeight="1" x14ac:dyDescent="0.2"/>
  </sheetData>
  <phoneticPr fontId="36" type="noConversion"/>
  <dataValidations count="2">
    <dataValidation type="decimal" operator="greaterThanOrEqual" allowBlank="1" showInputMessage="1" showErrorMessage="1" error="Positive whole numbers only / Nombres entiers positifs uniquement" sqref="AH25:AH26 M11 E11:K11 E28:AH29 X25:Y26 K12:K19 E21:AH23 F18 W11:AH17 L19:AH19 E12:J17 L12:V17 E19:J19 E25:V26" xr:uid="{00000000-0002-0000-1800-000000000000}">
      <formula1>0</formula1>
    </dataValidation>
    <dataValidation type="decimal" operator="greaterThanOrEqual" allowBlank="1" showInputMessage="1" showErrorMessage="1" error="Whole numbers only / Nombres entiers uniquement" sqref="E18 E20:AH20 L11 E30:AH30 N11:V11 G18:J18 L18:AH18" xr:uid="{00000000-0002-0000-1800-000001000000}">
      <formula1>-1000000000000</formula1>
    </dataValidation>
  </dataValidations>
  <pageMargins left="0.75" right="0.75" top="1" bottom="1" header="0.5" footer="0.5"/>
  <headerFooter alignWithMargins="0"/>
  <legacy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FF6600"/>
  </sheetPr>
  <dimension ref="A1:AH64"/>
  <sheetViews>
    <sheetView workbookViewId="0">
      <pane xSplit="4" ySplit="10" topLeftCell="E11" activePane="bottomRight" state="frozen"/>
      <selection pane="topRight"/>
      <selection pane="bottomLeft"/>
      <selection pane="bottomRight" activeCell="E6" sqref="E6"/>
    </sheetView>
  </sheetViews>
  <sheetFormatPr defaultColWidth="11.42578125" defaultRowHeight="12.75" x14ac:dyDescent="0.2"/>
  <cols>
    <col min="1" max="1" width="13.140625" hidden="1" customWidth="1"/>
    <col min="2" max="2" width="39.42578125" customWidth="1"/>
    <col min="3" max="3" width="1.85546875" customWidth="1"/>
    <col min="4" max="4" width="3.7109375" customWidth="1"/>
    <col min="5" max="11" width="8.7109375" style="1432" customWidth="1"/>
    <col min="12" max="12" width="9.7109375" style="1432" customWidth="1"/>
    <col min="13" max="23" width="8.7109375" style="1432" customWidth="1"/>
    <col min="24" max="24" width="9.140625" style="1432" customWidth="1"/>
    <col min="25" max="25" width="9.28515625" style="1432" customWidth="1"/>
    <col min="26" max="26" width="9.85546875" style="1432" customWidth="1"/>
    <col min="27" max="27" width="10.42578125" style="1432" customWidth="1"/>
    <col min="28" max="33" width="8.7109375" style="1432" customWidth="1"/>
    <col min="34" max="34" width="9.85546875" style="1432" customWidth="1"/>
    <col min="35" max="35" width="3.85546875" style="1432" customWidth="1"/>
    <col min="36" max="37" width="12.140625" style="1432" customWidth="1"/>
    <col min="38" max="56" width="11.42578125" style="1432" customWidth="1"/>
    <col min="57" max="160" width="0" style="1432" hidden="1" customWidth="1"/>
    <col min="161" max="16384" width="11.42578125" style="1432"/>
  </cols>
  <sheetData>
    <row r="1" spans="1:34" customFormat="1" ht="30" customHeight="1" x14ac:dyDescent="0.2">
      <c r="A1" s="239"/>
      <c r="B1" t="s">
        <v>7678</v>
      </c>
      <c r="C1" s="45"/>
      <c r="I1" s="310" t="s">
        <v>7679</v>
      </c>
      <c r="U1" s="310"/>
      <c r="V1" s="310" t="s">
        <v>7679</v>
      </c>
      <c r="AB1" s="310"/>
      <c r="AD1" s="310" t="s">
        <v>7679</v>
      </c>
    </row>
    <row r="2" spans="1:34" customFormat="1" x14ac:dyDescent="0.2">
      <c r="A2" s="277" t="s">
        <v>7234</v>
      </c>
      <c r="B2" s="2061">
        <f>DataYear</f>
        <v>2019</v>
      </c>
      <c r="C2" s="45"/>
    </row>
    <row r="3" spans="1:34" customFormat="1" x14ac:dyDescent="0.2">
      <c r="A3" s="20" t="s">
        <v>7393</v>
      </c>
      <c r="B3" s="2060" t="str">
        <f>CountryName</f>
        <v>South Africa</v>
      </c>
      <c r="C3" s="45"/>
      <c r="G3" s="45"/>
    </row>
    <row r="4" spans="1:34" customFormat="1" ht="11.25" customHeight="1" x14ac:dyDescent="0.2">
      <c r="C4" s="45"/>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row>
    <row r="5" spans="1:34" customFormat="1" ht="12.75" hidden="1" customHeight="1" thickBot="1" x14ac:dyDescent="0.25">
      <c r="D5" s="225"/>
      <c r="S5" s="269" t="s">
        <v>7598</v>
      </c>
      <c r="U5" s="421"/>
      <c r="AA5" s="269" t="s">
        <v>7598</v>
      </c>
      <c r="AH5" s="269" t="s">
        <v>7598</v>
      </c>
    </row>
    <row r="6" spans="1:34" customFormat="1" ht="13.5" customHeight="1" thickBot="1" x14ac:dyDescent="0.25">
      <c r="A6" s="276" t="s">
        <v>7233</v>
      </c>
      <c r="C6" s="45"/>
      <c r="E6" s="2153" t="s">
        <v>493</v>
      </c>
      <c r="F6" s="2153" t="s">
        <v>500</v>
      </c>
      <c r="G6" s="2153" t="s">
        <v>531</v>
      </c>
      <c r="H6" s="2153" t="s">
        <v>538</v>
      </c>
      <c r="I6" s="2153" t="s">
        <v>545</v>
      </c>
      <c r="J6" s="2153" t="s">
        <v>601</v>
      </c>
      <c r="K6" s="2153" t="s">
        <v>7000</v>
      </c>
      <c r="L6" s="2153" t="s">
        <v>696</v>
      </c>
      <c r="M6" s="2154" t="s">
        <v>552</v>
      </c>
      <c r="N6" s="2153" t="s">
        <v>559</v>
      </c>
      <c r="O6" s="2153" t="s">
        <v>566</v>
      </c>
      <c r="P6" s="2153" t="s">
        <v>7001</v>
      </c>
      <c r="Q6" s="2153" t="s">
        <v>703</v>
      </c>
      <c r="R6" s="2153" t="s">
        <v>573</v>
      </c>
      <c r="S6" s="2153" t="s">
        <v>580</v>
      </c>
      <c r="T6" s="2154" t="s">
        <v>7599</v>
      </c>
      <c r="U6" s="2153" t="s">
        <v>7600</v>
      </c>
      <c r="V6" s="2155" t="s">
        <v>7002</v>
      </c>
      <c r="W6" s="2154" t="s">
        <v>710</v>
      </c>
      <c r="X6" s="2154" t="s">
        <v>587</v>
      </c>
      <c r="Y6" s="2155" t="s">
        <v>594</v>
      </c>
      <c r="Z6" s="2153" t="s">
        <v>7601</v>
      </c>
      <c r="AA6" s="2153" t="s">
        <v>7602</v>
      </c>
      <c r="AB6" s="2153" t="s">
        <v>608</v>
      </c>
      <c r="AC6" s="2153" t="s">
        <v>615</v>
      </c>
      <c r="AD6" s="2153" t="s">
        <v>622</v>
      </c>
      <c r="AE6" s="2153" t="s">
        <v>629</v>
      </c>
      <c r="AF6" s="2153" t="s">
        <v>636</v>
      </c>
      <c r="AG6" s="2153" t="s">
        <v>7603</v>
      </c>
      <c r="AH6" s="2153" t="s">
        <v>7604</v>
      </c>
    </row>
    <row r="7" spans="1:34" customFormat="1" ht="18.75" customHeight="1" thickTop="1" x14ac:dyDescent="0.2">
      <c r="B7" s="20"/>
      <c r="C7" s="20"/>
      <c r="D7" s="247"/>
      <c r="E7" s="2353" t="s">
        <v>7605</v>
      </c>
      <c r="F7" s="2356" t="s">
        <v>7606</v>
      </c>
      <c r="G7" s="2356" t="s">
        <v>7607</v>
      </c>
      <c r="H7" s="2356" t="s">
        <v>539</v>
      </c>
      <c r="I7" s="2356" t="s">
        <v>545</v>
      </c>
      <c r="J7" s="2332" t="s">
        <v>602</v>
      </c>
      <c r="K7" s="2339" t="s">
        <v>7608</v>
      </c>
      <c r="L7" s="327"/>
      <c r="M7" s="340"/>
      <c r="N7" s="2350" t="s">
        <v>7609</v>
      </c>
      <c r="O7" s="2332" t="s">
        <v>7610</v>
      </c>
      <c r="P7" s="2339" t="s">
        <v>7611</v>
      </c>
      <c r="Q7" s="327"/>
      <c r="R7" s="340"/>
      <c r="S7" s="2342" t="s">
        <v>7612</v>
      </c>
      <c r="T7" s="345"/>
      <c r="U7" s="330"/>
      <c r="V7" s="2345" t="s">
        <v>7613</v>
      </c>
      <c r="W7" s="327"/>
      <c r="X7" s="346"/>
      <c r="Y7" s="2339" t="s">
        <v>7614</v>
      </c>
      <c r="Z7" s="327"/>
      <c r="AA7" s="340"/>
      <c r="AB7" s="2350" t="s">
        <v>7615</v>
      </c>
      <c r="AC7" s="2356" t="s">
        <v>616</v>
      </c>
      <c r="AD7" s="2356" t="s">
        <v>623</v>
      </c>
      <c r="AE7" s="2356" t="s">
        <v>7616</v>
      </c>
      <c r="AF7" s="2356" t="s">
        <v>7617</v>
      </c>
      <c r="AG7" s="2356" t="s">
        <v>7618</v>
      </c>
      <c r="AH7" s="2359" t="s">
        <v>7619</v>
      </c>
    </row>
    <row r="8" spans="1:34" customFormat="1" ht="12.75" customHeight="1" x14ac:dyDescent="0.2">
      <c r="A8" s="215" t="s">
        <v>7235</v>
      </c>
      <c r="B8" s="20"/>
      <c r="C8" s="20"/>
      <c r="D8" s="247"/>
      <c r="E8" s="2354"/>
      <c r="F8" s="2357"/>
      <c r="G8" s="2357"/>
      <c r="H8" s="2357"/>
      <c r="I8" s="2357"/>
      <c r="J8" s="2333"/>
      <c r="K8" s="2340"/>
      <c r="L8" s="2348" t="s">
        <v>697</v>
      </c>
      <c r="M8" s="2335" t="s">
        <v>7620</v>
      </c>
      <c r="N8" s="2351"/>
      <c r="O8" s="2333"/>
      <c r="P8" s="2340"/>
      <c r="Q8" s="2348" t="s">
        <v>704</v>
      </c>
      <c r="R8" s="2335" t="s">
        <v>7621</v>
      </c>
      <c r="S8" s="2343"/>
      <c r="T8" s="2337" t="s">
        <v>7622</v>
      </c>
      <c r="U8" s="2348" t="s">
        <v>7623</v>
      </c>
      <c r="V8" s="2346"/>
      <c r="W8" s="2348" t="s">
        <v>7624</v>
      </c>
      <c r="X8" s="2335" t="s">
        <v>7625</v>
      </c>
      <c r="Y8" s="2340"/>
      <c r="Z8" s="2348" t="s">
        <v>7626</v>
      </c>
      <c r="AA8" s="2335" t="s">
        <v>7627</v>
      </c>
      <c r="AB8" s="2351"/>
      <c r="AC8" s="2357"/>
      <c r="AD8" s="2357"/>
      <c r="AE8" s="2357"/>
      <c r="AF8" s="2357"/>
      <c r="AG8" s="2357"/>
      <c r="AH8" s="2360"/>
    </row>
    <row r="9" spans="1:34" customFormat="1" ht="41.25" customHeight="1" x14ac:dyDescent="0.2">
      <c r="B9" s="20"/>
      <c r="C9" s="20"/>
      <c r="D9" s="247"/>
      <c r="E9" s="2355"/>
      <c r="F9" s="2358"/>
      <c r="G9" s="2358"/>
      <c r="H9" s="2358"/>
      <c r="I9" s="2358"/>
      <c r="J9" s="2334"/>
      <c r="K9" s="2341"/>
      <c r="L9" s="2349"/>
      <c r="M9" s="2336"/>
      <c r="N9" s="2352"/>
      <c r="O9" s="2334"/>
      <c r="P9" s="2341"/>
      <c r="Q9" s="2349"/>
      <c r="R9" s="2336"/>
      <c r="S9" s="2344"/>
      <c r="T9" s="2338"/>
      <c r="U9" s="2349"/>
      <c r="V9" s="2347"/>
      <c r="W9" s="2349"/>
      <c r="X9" s="2336"/>
      <c r="Y9" s="2341"/>
      <c r="Z9" s="2349"/>
      <c r="AA9" s="2336"/>
      <c r="AB9" s="2352"/>
      <c r="AC9" s="2358"/>
      <c r="AD9" s="2358"/>
      <c r="AE9" s="2358"/>
      <c r="AF9" s="2358"/>
      <c r="AG9" s="2358"/>
      <c r="AH9" s="2361"/>
    </row>
    <row r="10" spans="1:34" customFormat="1" ht="13.5" thickBot="1" x14ac:dyDescent="0.25">
      <c r="A10" s="20"/>
      <c r="B10" s="251"/>
      <c r="C10" s="251"/>
      <c r="D10" s="252"/>
      <c r="E10" s="253" t="s">
        <v>7239</v>
      </c>
      <c r="F10" s="254" t="s">
        <v>7240</v>
      </c>
      <c r="G10" s="254" t="s">
        <v>7241</v>
      </c>
      <c r="H10" s="254" t="s">
        <v>7242</v>
      </c>
      <c r="I10" s="254" t="s">
        <v>7243</v>
      </c>
      <c r="J10" s="254" t="s">
        <v>7244</v>
      </c>
      <c r="K10" s="341" t="s">
        <v>7245</v>
      </c>
      <c r="L10" s="254" t="s">
        <v>7246</v>
      </c>
      <c r="M10" s="342" t="s">
        <v>7247</v>
      </c>
      <c r="N10" s="253" t="s">
        <v>7248</v>
      </c>
      <c r="O10" s="254" t="s">
        <v>7249</v>
      </c>
      <c r="P10" s="341" t="s">
        <v>7250</v>
      </c>
      <c r="Q10" s="254" t="s">
        <v>7251</v>
      </c>
      <c r="R10" s="342" t="s">
        <v>7252</v>
      </c>
      <c r="S10" s="253" t="s">
        <v>7253</v>
      </c>
      <c r="T10" s="347" t="s">
        <v>7254</v>
      </c>
      <c r="U10" s="328" t="s">
        <v>7255</v>
      </c>
      <c r="V10" s="329" t="s">
        <v>7628</v>
      </c>
      <c r="W10" s="253" t="s">
        <v>7629</v>
      </c>
      <c r="X10" s="342" t="s">
        <v>7630</v>
      </c>
      <c r="Y10" s="349" t="s">
        <v>7631</v>
      </c>
      <c r="Z10" s="254" t="s">
        <v>7632</v>
      </c>
      <c r="AA10" s="342" t="s">
        <v>7633</v>
      </c>
      <c r="AB10" s="253" t="s">
        <v>7634</v>
      </c>
      <c r="AC10" s="254" t="s">
        <v>7635</v>
      </c>
      <c r="AD10" s="254" t="s">
        <v>7636</v>
      </c>
      <c r="AE10" s="254" t="s">
        <v>7637</v>
      </c>
      <c r="AF10" s="254" t="s">
        <v>7638</v>
      </c>
      <c r="AG10" s="254" t="s">
        <v>7639</v>
      </c>
      <c r="AH10" s="255" t="s">
        <v>7640</v>
      </c>
    </row>
    <row r="11" spans="1:34" ht="14.25" thickTop="1" thickBot="1" x14ac:dyDescent="0.25">
      <c r="A11" s="402" t="s">
        <v>7680</v>
      </c>
      <c r="B11" s="1418" t="s">
        <v>7681</v>
      </c>
      <c r="C11" s="380"/>
      <c r="D11" s="396">
        <v>1</v>
      </c>
      <c r="E11" s="1423"/>
      <c r="F11" s="1423"/>
      <c r="G11" s="1423"/>
      <c r="H11" s="1423"/>
      <c r="I11" s="1423"/>
      <c r="J11" s="1424"/>
      <c r="K11" s="1425"/>
      <c r="L11" s="1423"/>
      <c r="M11" s="1426"/>
      <c r="N11" s="1427"/>
      <c r="O11" s="1424"/>
      <c r="P11" s="1425"/>
      <c r="Q11" s="1423"/>
      <c r="R11" s="1426"/>
      <c r="S11" s="1428"/>
      <c r="T11" s="1429"/>
      <c r="U11" s="1423"/>
      <c r="V11" s="1430"/>
      <c r="W11" s="1423"/>
      <c r="X11" s="1426"/>
      <c r="Y11" s="1425"/>
      <c r="Z11" s="1423"/>
      <c r="AA11" s="1426"/>
      <c r="AB11" s="1427"/>
      <c r="AC11" s="1423"/>
      <c r="AD11" s="1423"/>
      <c r="AE11" s="1423"/>
      <c r="AF11" s="1423"/>
      <c r="AG11" s="1423"/>
      <c r="AH11" s="1431"/>
    </row>
    <row r="12" spans="1:34" x14ac:dyDescent="0.2">
      <c r="A12" s="402" t="s">
        <v>7682</v>
      </c>
      <c r="B12" s="1419" t="s">
        <v>7399</v>
      </c>
      <c r="C12" s="382"/>
      <c r="D12" s="397">
        <v>2</v>
      </c>
      <c r="E12" s="1433"/>
      <c r="F12" s="1434"/>
      <c r="G12" s="1434"/>
      <c r="H12" s="1434"/>
      <c r="I12" s="1434"/>
      <c r="J12" s="1435"/>
      <c r="K12" s="1436"/>
      <c r="L12" s="1434"/>
      <c r="M12" s="1437"/>
      <c r="N12" s="1433"/>
      <c r="O12" s="1435"/>
      <c r="P12" s="1436"/>
      <c r="Q12" s="1434"/>
      <c r="R12" s="1437"/>
      <c r="S12" s="1438"/>
      <c r="T12" s="1439"/>
      <c r="U12" s="1434"/>
      <c r="V12" s="1440"/>
      <c r="W12" s="1434"/>
      <c r="X12" s="1437"/>
      <c r="Y12" s="1436"/>
      <c r="Z12" s="1434"/>
      <c r="AA12" s="1437"/>
      <c r="AB12" s="1433"/>
      <c r="AC12" s="1434"/>
      <c r="AD12" s="1434"/>
      <c r="AE12" s="1434"/>
      <c r="AF12" s="1434"/>
      <c r="AG12" s="1434"/>
      <c r="AH12" s="1415"/>
    </row>
    <row r="13" spans="1:34" x14ac:dyDescent="0.2">
      <c r="A13" s="402" t="s">
        <v>7683</v>
      </c>
      <c r="B13" s="312" t="s">
        <v>7278</v>
      </c>
      <c r="C13" s="256"/>
      <c r="D13" s="374">
        <v>3</v>
      </c>
      <c r="E13" s="1441"/>
      <c r="F13" s="1441"/>
      <c r="G13" s="1441"/>
      <c r="H13" s="1441"/>
      <c r="I13" s="1441"/>
      <c r="J13" s="1442"/>
      <c r="K13" s="1443"/>
      <c r="L13" s="1441"/>
      <c r="M13" s="1444"/>
      <c r="N13" s="1441"/>
      <c r="O13" s="1442"/>
      <c r="P13" s="1443"/>
      <c r="Q13" s="1441"/>
      <c r="R13" s="1444"/>
      <c r="S13" s="1442"/>
      <c r="T13" s="1445"/>
      <c r="U13" s="1387"/>
      <c r="V13" s="1446"/>
      <c r="W13" s="1387"/>
      <c r="X13" s="1444"/>
      <c r="Y13" s="1443"/>
      <c r="Z13" s="1387"/>
      <c r="AA13" s="1447"/>
      <c r="AB13" s="1441"/>
      <c r="AC13" s="1387"/>
      <c r="AD13" s="1387"/>
      <c r="AE13" s="1387"/>
      <c r="AF13" s="1387"/>
      <c r="AG13" s="1387"/>
      <c r="AH13" s="1388"/>
    </row>
    <row r="14" spans="1:34" x14ac:dyDescent="0.2">
      <c r="A14" s="402" t="s">
        <v>7684</v>
      </c>
      <c r="B14" s="312" t="s">
        <v>7281</v>
      </c>
      <c r="C14" s="256"/>
      <c r="D14" s="374">
        <v>4</v>
      </c>
      <c r="E14" s="1441"/>
      <c r="F14" s="1441"/>
      <c r="G14" s="1441"/>
      <c r="H14" s="1441"/>
      <c r="I14" s="1441"/>
      <c r="J14" s="1442"/>
      <c r="K14" s="1443"/>
      <c r="L14" s="1441"/>
      <c r="M14" s="1444"/>
      <c r="N14" s="1441"/>
      <c r="O14" s="1442"/>
      <c r="P14" s="1443"/>
      <c r="Q14" s="1441"/>
      <c r="R14" s="1444"/>
      <c r="S14" s="1442"/>
      <c r="T14" s="1445"/>
      <c r="U14" s="1387"/>
      <c r="V14" s="1446"/>
      <c r="W14" s="1387"/>
      <c r="X14" s="1444"/>
      <c r="Y14" s="1443"/>
      <c r="Z14" s="1387"/>
      <c r="AA14" s="1447"/>
      <c r="AB14" s="1441"/>
      <c r="AC14" s="1387"/>
      <c r="AD14" s="1387"/>
      <c r="AE14" s="1387"/>
      <c r="AF14" s="1387"/>
      <c r="AG14" s="1387"/>
      <c r="AH14" s="1388"/>
    </row>
    <row r="15" spans="1:34" x14ac:dyDescent="0.2">
      <c r="A15" s="402" t="s">
        <v>7685</v>
      </c>
      <c r="B15" s="312" t="s">
        <v>7279</v>
      </c>
      <c r="C15" s="256"/>
      <c r="D15" s="374">
        <v>5</v>
      </c>
      <c r="E15" s="1441"/>
      <c r="F15" s="1441"/>
      <c r="G15" s="1441"/>
      <c r="H15" s="1441"/>
      <c r="I15" s="1441"/>
      <c r="J15" s="1442"/>
      <c r="K15" s="1443"/>
      <c r="L15" s="1441"/>
      <c r="M15" s="1444"/>
      <c r="N15" s="1441"/>
      <c r="O15" s="1442"/>
      <c r="P15" s="1443"/>
      <c r="Q15" s="1441"/>
      <c r="R15" s="1444"/>
      <c r="S15" s="1442"/>
      <c r="T15" s="1445"/>
      <c r="U15" s="1387"/>
      <c r="V15" s="1446"/>
      <c r="W15" s="1387"/>
      <c r="X15" s="1444"/>
      <c r="Y15" s="1443"/>
      <c r="Z15" s="1387"/>
      <c r="AA15" s="1447"/>
      <c r="AB15" s="1441"/>
      <c r="AC15" s="1387"/>
      <c r="AD15" s="1387"/>
      <c r="AE15" s="1387"/>
      <c r="AF15" s="1387"/>
      <c r="AG15" s="1387"/>
      <c r="AH15" s="1388"/>
    </row>
    <row r="16" spans="1:34" x14ac:dyDescent="0.2">
      <c r="A16" s="402" t="s">
        <v>7686</v>
      </c>
      <c r="B16" s="312" t="s">
        <v>7282</v>
      </c>
      <c r="C16" s="256"/>
      <c r="D16" s="374">
        <v>6</v>
      </c>
      <c r="E16" s="1441"/>
      <c r="F16" s="1441"/>
      <c r="G16" s="1441"/>
      <c r="H16" s="1441"/>
      <c r="I16" s="1441"/>
      <c r="J16" s="1442"/>
      <c r="K16" s="1443"/>
      <c r="L16" s="1441"/>
      <c r="M16" s="1444"/>
      <c r="N16" s="1441"/>
      <c r="O16" s="1442"/>
      <c r="P16" s="1443"/>
      <c r="Q16" s="1441"/>
      <c r="R16" s="1444"/>
      <c r="S16" s="1442"/>
      <c r="T16" s="1445"/>
      <c r="U16" s="1387"/>
      <c r="V16" s="1446"/>
      <c r="W16" s="1387"/>
      <c r="X16" s="1444"/>
      <c r="Y16" s="1443"/>
      <c r="Z16" s="1387"/>
      <c r="AA16" s="1447"/>
      <c r="AB16" s="1441"/>
      <c r="AC16" s="1387"/>
      <c r="AD16" s="1387"/>
      <c r="AE16" s="1387"/>
      <c r="AF16" s="1387"/>
      <c r="AG16" s="1387"/>
      <c r="AH16" s="1388"/>
    </row>
    <row r="17" spans="1:34" x14ac:dyDescent="0.2">
      <c r="A17" s="402" t="s">
        <v>7687</v>
      </c>
      <c r="B17" s="312" t="s">
        <v>7280</v>
      </c>
      <c r="C17" s="256"/>
      <c r="D17" s="374">
        <v>7</v>
      </c>
      <c r="E17" s="1441"/>
      <c r="F17" s="1441"/>
      <c r="G17" s="1441"/>
      <c r="H17" s="1441"/>
      <c r="I17" s="1441"/>
      <c r="J17" s="1442"/>
      <c r="K17" s="1443"/>
      <c r="L17" s="1441"/>
      <c r="M17" s="1444"/>
      <c r="N17" s="1441"/>
      <c r="O17" s="1442"/>
      <c r="P17" s="1443"/>
      <c r="Q17" s="1441"/>
      <c r="R17" s="1444"/>
      <c r="S17" s="1442"/>
      <c r="T17" s="1445"/>
      <c r="U17" s="1387"/>
      <c r="V17" s="1446"/>
      <c r="W17" s="1387"/>
      <c r="X17" s="1444"/>
      <c r="Y17" s="1443"/>
      <c r="Z17" s="1387"/>
      <c r="AA17" s="1447"/>
      <c r="AB17" s="1441"/>
      <c r="AC17" s="1387"/>
      <c r="AD17" s="1387"/>
      <c r="AE17" s="1387"/>
      <c r="AF17" s="1387"/>
      <c r="AG17" s="1387"/>
      <c r="AH17" s="1388"/>
    </row>
    <row r="18" spans="1:34" x14ac:dyDescent="0.2">
      <c r="A18" s="402" t="s">
        <v>7688</v>
      </c>
      <c r="B18" s="312" t="s">
        <v>7283</v>
      </c>
      <c r="C18" s="256"/>
      <c r="D18" s="374">
        <v>8</v>
      </c>
      <c r="E18" s="1441"/>
      <c r="F18" s="1441"/>
      <c r="G18" s="1441"/>
      <c r="H18" s="1441"/>
      <c r="I18" s="1441"/>
      <c r="J18" s="1442"/>
      <c r="K18" s="1443"/>
      <c r="L18" s="1441"/>
      <c r="M18" s="1444"/>
      <c r="N18" s="1441"/>
      <c r="O18" s="1442"/>
      <c r="P18" s="1443"/>
      <c r="Q18" s="1441"/>
      <c r="R18" s="1444"/>
      <c r="S18" s="1442"/>
      <c r="T18" s="1445"/>
      <c r="U18" s="1387"/>
      <c r="V18" s="1446"/>
      <c r="W18" s="1387"/>
      <c r="X18" s="1444"/>
      <c r="Y18" s="1443"/>
      <c r="Z18" s="1387"/>
      <c r="AA18" s="1447"/>
      <c r="AB18" s="1441"/>
      <c r="AC18" s="1387"/>
      <c r="AD18" s="1387"/>
      <c r="AE18" s="1387"/>
      <c r="AF18" s="1387"/>
      <c r="AG18" s="1387"/>
      <c r="AH18" s="1388"/>
    </row>
    <row r="19" spans="1:34" x14ac:dyDescent="0.2">
      <c r="A19" s="402" t="s">
        <v>7689</v>
      </c>
      <c r="B19" s="312" t="s">
        <v>7287</v>
      </c>
      <c r="C19" s="256"/>
      <c r="D19" s="374">
        <v>9</v>
      </c>
      <c r="E19" s="1441"/>
      <c r="F19" s="1441"/>
      <c r="G19" s="1441"/>
      <c r="H19" s="1441"/>
      <c r="I19" s="1441"/>
      <c r="J19" s="1442"/>
      <c r="K19" s="1443"/>
      <c r="L19" s="1441"/>
      <c r="M19" s="1444"/>
      <c r="N19" s="1441"/>
      <c r="O19" s="1442"/>
      <c r="P19" s="1443"/>
      <c r="Q19" s="1441"/>
      <c r="R19" s="1444"/>
      <c r="S19" s="1442"/>
      <c r="T19" s="1445"/>
      <c r="U19" s="1387"/>
      <c r="V19" s="1446"/>
      <c r="W19" s="1387"/>
      <c r="X19" s="1444"/>
      <c r="Y19" s="1443"/>
      <c r="Z19" s="1387"/>
      <c r="AA19" s="1447"/>
      <c r="AB19" s="1441"/>
      <c r="AC19" s="1387"/>
      <c r="AD19" s="1387"/>
      <c r="AE19" s="1387"/>
      <c r="AF19" s="1387"/>
      <c r="AG19" s="1387"/>
      <c r="AH19" s="1388"/>
    </row>
    <row r="20" spans="1:34" x14ac:dyDescent="0.2">
      <c r="A20" s="402" t="s">
        <v>7690</v>
      </c>
      <c r="B20" s="312" t="s">
        <v>1059</v>
      </c>
      <c r="C20" s="256"/>
      <c r="D20" s="374">
        <v>10</v>
      </c>
      <c r="E20" s="1441"/>
      <c r="F20" s="1441"/>
      <c r="G20" s="1441"/>
      <c r="H20" s="1441"/>
      <c r="I20" s="1441"/>
      <c r="J20" s="1442"/>
      <c r="K20" s="1443"/>
      <c r="L20" s="1441"/>
      <c r="M20" s="1444"/>
      <c r="N20" s="1441"/>
      <c r="O20" s="1442"/>
      <c r="P20" s="1443"/>
      <c r="Q20" s="1441"/>
      <c r="R20" s="1444"/>
      <c r="S20" s="1442"/>
      <c r="T20" s="1445"/>
      <c r="U20" s="1387"/>
      <c r="V20" s="1446"/>
      <c r="W20" s="1387"/>
      <c r="X20" s="1444"/>
      <c r="Y20" s="1443"/>
      <c r="Z20" s="1387"/>
      <c r="AA20" s="1447"/>
      <c r="AB20" s="1441"/>
      <c r="AC20" s="1387"/>
      <c r="AD20" s="1387"/>
      <c r="AE20" s="1387"/>
      <c r="AF20" s="1387"/>
      <c r="AG20" s="1387"/>
      <c r="AH20" s="1388"/>
    </row>
    <row r="21" spans="1:34" x14ac:dyDescent="0.2">
      <c r="A21" s="402" t="s">
        <v>7691</v>
      </c>
      <c r="B21" s="312" t="s">
        <v>7285</v>
      </c>
      <c r="C21" s="256"/>
      <c r="D21" s="374">
        <v>11</v>
      </c>
      <c r="E21" s="1441"/>
      <c r="F21" s="1441"/>
      <c r="G21" s="1441"/>
      <c r="H21" s="1441"/>
      <c r="I21" s="1441"/>
      <c r="J21" s="1442"/>
      <c r="K21" s="1443"/>
      <c r="L21" s="1441"/>
      <c r="M21" s="1444"/>
      <c r="N21" s="1441"/>
      <c r="O21" s="1442"/>
      <c r="P21" s="1443"/>
      <c r="Q21" s="1441"/>
      <c r="R21" s="1444"/>
      <c r="S21" s="1442"/>
      <c r="T21" s="1445"/>
      <c r="U21" s="1387"/>
      <c r="V21" s="1446"/>
      <c r="W21" s="1387"/>
      <c r="X21" s="1444"/>
      <c r="Y21" s="1443"/>
      <c r="Z21" s="1387"/>
      <c r="AA21" s="1447"/>
      <c r="AB21" s="1441"/>
      <c r="AC21" s="1387"/>
      <c r="AD21" s="1387"/>
      <c r="AE21" s="1387"/>
      <c r="AF21" s="1387"/>
      <c r="AG21" s="1387"/>
      <c r="AH21" s="1388"/>
    </row>
    <row r="22" spans="1:34" x14ac:dyDescent="0.2">
      <c r="A22" s="402" t="s">
        <v>7692</v>
      </c>
      <c r="B22" s="312" t="s">
        <v>7288</v>
      </c>
      <c r="C22" s="256"/>
      <c r="D22" s="374">
        <v>12</v>
      </c>
      <c r="E22" s="1441"/>
      <c r="F22" s="1441"/>
      <c r="G22" s="1441"/>
      <c r="H22" s="1441"/>
      <c r="I22" s="1441"/>
      <c r="J22" s="1442"/>
      <c r="K22" s="1443"/>
      <c r="L22" s="1441"/>
      <c r="M22" s="1444"/>
      <c r="N22" s="1441"/>
      <c r="O22" s="1442"/>
      <c r="P22" s="1443"/>
      <c r="Q22" s="1441"/>
      <c r="R22" s="1444"/>
      <c r="S22" s="1442"/>
      <c r="T22" s="1445"/>
      <c r="U22" s="1387"/>
      <c r="V22" s="1446"/>
      <c r="W22" s="1387"/>
      <c r="X22" s="1444"/>
      <c r="Y22" s="1443"/>
      <c r="Z22" s="1387"/>
      <c r="AA22" s="1447"/>
      <c r="AB22" s="1441"/>
      <c r="AC22" s="1387"/>
      <c r="AD22" s="1387"/>
      <c r="AE22" s="1387"/>
      <c r="AF22" s="1387"/>
      <c r="AG22" s="1387"/>
      <c r="AH22" s="1388"/>
    </row>
    <row r="23" spans="1:34" x14ac:dyDescent="0.2">
      <c r="A23" s="402" t="s">
        <v>7693</v>
      </c>
      <c r="B23" s="312" t="s">
        <v>7694</v>
      </c>
      <c r="C23" s="256"/>
      <c r="D23" s="374">
        <v>13</v>
      </c>
      <c r="E23" s="1441"/>
      <c r="F23" s="1441"/>
      <c r="G23" s="1441"/>
      <c r="H23" s="1441"/>
      <c r="I23" s="1441"/>
      <c r="J23" s="1442"/>
      <c r="K23" s="1443"/>
      <c r="L23" s="1441"/>
      <c r="M23" s="1444"/>
      <c r="N23" s="1441"/>
      <c r="O23" s="1442"/>
      <c r="P23" s="1443"/>
      <c r="Q23" s="1441"/>
      <c r="R23" s="1444"/>
      <c r="S23" s="1442"/>
      <c r="T23" s="1445"/>
      <c r="U23" s="1387"/>
      <c r="V23" s="1446"/>
      <c r="W23" s="1387"/>
      <c r="X23" s="1444"/>
      <c r="Y23" s="1443"/>
      <c r="Z23" s="1387"/>
      <c r="AA23" s="1447"/>
      <c r="AB23" s="1441"/>
      <c r="AC23" s="1387"/>
      <c r="AD23" s="1387"/>
      <c r="AE23" s="1387"/>
      <c r="AF23" s="1387"/>
      <c r="AG23" s="1387"/>
      <c r="AH23" s="1388"/>
    </row>
    <row r="24" spans="1:34" x14ac:dyDescent="0.2">
      <c r="A24" s="402" t="s">
        <v>7695</v>
      </c>
      <c r="B24" s="1420" t="s">
        <v>7284</v>
      </c>
      <c r="C24" s="386"/>
      <c r="D24" s="374">
        <v>14</v>
      </c>
      <c r="E24" s="1441"/>
      <c r="F24" s="1441"/>
      <c r="G24" s="1441"/>
      <c r="H24" s="1441"/>
      <c r="I24" s="1441"/>
      <c r="J24" s="1442"/>
      <c r="K24" s="1443"/>
      <c r="L24" s="1441"/>
      <c r="M24" s="1444"/>
      <c r="N24" s="1441"/>
      <c r="O24" s="1442"/>
      <c r="P24" s="1443"/>
      <c r="Q24" s="1441"/>
      <c r="R24" s="1444"/>
      <c r="S24" s="1448"/>
      <c r="T24" s="1449"/>
      <c r="U24" s="1450"/>
      <c r="V24" s="1446"/>
      <c r="W24" s="1387"/>
      <c r="X24" s="1444"/>
      <c r="Y24" s="1443"/>
      <c r="Z24" s="1387"/>
      <c r="AA24" s="1447"/>
      <c r="AB24" s="1441"/>
      <c r="AC24" s="1387"/>
      <c r="AD24" s="1387"/>
      <c r="AE24" s="1387"/>
      <c r="AF24" s="1387"/>
      <c r="AG24" s="1387"/>
      <c r="AH24" s="1388"/>
    </row>
    <row r="25" spans="1:34" ht="13.5" thickBot="1" x14ac:dyDescent="0.25">
      <c r="A25" s="402" t="s">
        <v>7696</v>
      </c>
      <c r="B25" s="1421" t="s">
        <v>7290</v>
      </c>
      <c r="C25" s="388"/>
      <c r="D25" s="398">
        <v>15</v>
      </c>
      <c r="E25" s="1451"/>
      <c r="F25" s="1452"/>
      <c r="G25" s="1452"/>
      <c r="H25" s="1452"/>
      <c r="I25" s="1452"/>
      <c r="J25" s="1453"/>
      <c r="K25" s="1454"/>
      <c r="L25" s="1452"/>
      <c r="M25" s="1455"/>
      <c r="N25" s="1452"/>
      <c r="O25" s="1453"/>
      <c r="P25" s="1454"/>
      <c r="Q25" s="1452"/>
      <c r="R25" s="1455"/>
      <c r="S25" s="1453"/>
      <c r="T25" s="1456"/>
      <c r="U25" s="1457"/>
      <c r="V25" s="1458"/>
      <c r="W25" s="1457"/>
      <c r="X25" s="1455"/>
      <c r="Y25" s="1454"/>
      <c r="Z25" s="1457"/>
      <c r="AA25" s="1459"/>
      <c r="AB25" s="1452"/>
      <c r="AC25" s="1457"/>
      <c r="AD25" s="1457"/>
      <c r="AE25" s="1457"/>
      <c r="AF25" s="1457"/>
      <c r="AG25" s="1457"/>
      <c r="AH25" s="1460"/>
    </row>
    <row r="26" spans="1:34" x14ac:dyDescent="0.2">
      <c r="A26" s="402" t="s">
        <v>7697</v>
      </c>
      <c r="B26" s="1419" t="s">
        <v>7436</v>
      </c>
      <c r="C26" s="382"/>
      <c r="D26" s="397">
        <v>16</v>
      </c>
      <c r="E26" s="1433"/>
      <c r="F26" s="1434"/>
      <c r="G26" s="1434"/>
      <c r="H26" s="1434"/>
      <c r="I26" s="1434"/>
      <c r="J26" s="1435"/>
      <c r="K26" s="1436"/>
      <c r="L26" s="1434"/>
      <c r="M26" s="1437"/>
      <c r="N26" s="1433"/>
      <c r="O26" s="1435"/>
      <c r="P26" s="1436"/>
      <c r="Q26" s="1434"/>
      <c r="R26" s="1437"/>
      <c r="S26" s="1438"/>
      <c r="T26" s="1439"/>
      <c r="U26" s="1434"/>
      <c r="V26" s="1440"/>
      <c r="W26" s="1434"/>
      <c r="X26" s="1437"/>
      <c r="Y26" s="1436"/>
      <c r="Z26" s="1434"/>
      <c r="AA26" s="1437"/>
      <c r="AB26" s="1433"/>
      <c r="AC26" s="1434"/>
      <c r="AD26" s="1434"/>
      <c r="AE26" s="1434"/>
      <c r="AF26" s="1434"/>
      <c r="AG26" s="1434"/>
      <c r="AH26" s="1415"/>
    </row>
    <row r="27" spans="1:34" x14ac:dyDescent="0.2">
      <c r="A27" s="402" t="s">
        <v>7698</v>
      </c>
      <c r="B27" s="312" t="s">
        <v>1090</v>
      </c>
      <c r="C27" s="256"/>
      <c r="D27" s="374">
        <v>17</v>
      </c>
      <c r="E27" s="1441"/>
      <c r="F27" s="1387"/>
      <c r="G27" s="1387"/>
      <c r="H27" s="1387"/>
      <c r="I27" s="1387"/>
      <c r="J27" s="1461"/>
      <c r="K27" s="1443"/>
      <c r="L27" s="1387"/>
      <c r="M27" s="1447"/>
      <c r="N27" s="1441"/>
      <c r="O27" s="1461"/>
      <c r="P27" s="1443"/>
      <c r="Q27" s="1387"/>
      <c r="R27" s="1447"/>
      <c r="S27" s="1442"/>
      <c r="T27" s="1445"/>
      <c r="U27" s="1387"/>
      <c r="V27" s="1462"/>
      <c r="W27" s="1387"/>
      <c r="X27" s="1447"/>
      <c r="Y27" s="1443"/>
      <c r="Z27" s="1387"/>
      <c r="AA27" s="1447"/>
      <c r="AB27" s="1441"/>
      <c r="AC27" s="1387"/>
      <c r="AD27" s="1387"/>
      <c r="AE27" s="1387"/>
      <c r="AF27" s="1387"/>
      <c r="AG27" s="1387"/>
      <c r="AH27" s="1388"/>
    </row>
    <row r="28" spans="1:34" x14ac:dyDescent="0.2">
      <c r="A28" s="402" t="s">
        <v>7699</v>
      </c>
      <c r="B28" s="312" t="s">
        <v>1097</v>
      </c>
      <c r="C28" s="256"/>
      <c r="D28" s="374">
        <v>18</v>
      </c>
      <c r="E28" s="1441"/>
      <c r="F28" s="1387"/>
      <c r="G28" s="1387"/>
      <c r="H28" s="1387"/>
      <c r="I28" s="1387"/>
      <c r="J28" s="1461"/>
      <c r="K28" s="1443"/>
      <c r="L28" s="1387"/>
      <c r="M28" s="1447"/>
      <c r="N28" s="1441"/>
      <c r="O28" s="1461"/>
      <c r="P28" s="1443"/>
      <c r="Q28" s="1387"/>
      <c r="R28" s="1447"/>
      <c r="S28" s="1442"/>
      <c r="T28" s="1445"/>
      <c r="U28" s="1387"/>
      <c r="V28" s="1462"/>
      <c r="W28" s="1387"/>
      <c r="X28" s="1447"/>
      <c r="Y28" s="1443"/>
      <c r="Z28" s="1387"/>
      <c r="AA28" s="1447"/>
      <c r="AB28" s="1441"/>
      <c r="AC28" s="1387"/>
      <c r="AD28" s="1387"/>
      <c r="AE28" s="1387"/>
      <c r="AF28" s="1387"/>
      <c r="AG28" s="1387"/>
      <c r="AH28" s="1388"/>
    </row>
    <row r="29" spans="1:34" x14ac:dyDescent="0.2">
      <c r="A29" s="402" t="s">
        <v>7700</v>
      </c>
      <c r="B29" s="312" t="s">
        <v>7295</v>
      </c>
      <c r="C29" s="256"/>
      <c r="D29" s="374">
        <v>19</v>
      </c>
      <c r="E29" s="1441"/>
      <c r="F29" s="1387"/>
      <c r="G29" s="1387"/>
      <c r="H29" s="1387"/>
      <c r="I29" s="1387"/>
      <c r="J29" s="1461"/>
      <c r="K29" s="1443"/>
      <c r="L29" s="1387"/>
      <c r="M29" s="1447"/>
      <c r="N29" s="1441"/>
      <c r="O29" s="1461"/>
      <c r="P29" s="1443"/>
      <c r="Q29" s="1387"/>
      <c r="R29" s="1447"/>
      <c r="S29" s="1442"/>
      <c r="T29" s="1445"/>
      <c r="U29" s="1387"/>
      <c r="V29" s="1462"/>
      <c r="W29" s="1387"/>
      <c r="X29" s="1447"/>
      <c r="Y29" s="1443"/>
      <c r="Z29" s="1387"/>
      <c r="AA29" s="1447"/>
      <c r="AB29" s="1441"/>
      <c r="AC29" s="1387"/>
      <c r="AD29" s="1387"/>
      <c r="AE29" s="1387"/>
      <c r="AF29" s="1387"/>
      <c r="AG29" s="1387"/>
      <c r="AH29" s="1388"/>
    </row>
    <row r="30" spans="1:34" x14ac:dyDescent="0.2">
      <c r="A30" s="402" t="s">
        <v>7701</v>
      </c>
      <c r="B30" s="312" t="s">
        <v>7298</v>
      </c>
      <c r="C30" s="256"/>
      <c r="D30" s="374">
        <v>20</v>
      </c>
      <c r="E30" s="1441"/>
      <c r="F30" s="1387"/>
      <c r="G30" s="1387"/>
      <c r="H30" s="1387"/>
      <c r="I30" s="1387"/>
      <c r="J30" s="1461"/>
      <c r="K30" s="1443"/>
      <c r="L30" s="1387"/>
      <c r="M30" s="1447"/>
      <c r="N30" s="1441"/>
      <c r="O30" s="1461"/>
      <c r="P30" s="1443"/>
      <c r="Q30" s="1387"/>
      <c r="R30" s="1447"/>
      <c r="S30" s="1442"/>
      <c r="T30" s="1445"/>
      <c r="U30" s="1387"/>
      <c r="V30" s="1462"/>
      <c r="W30" s="1387"/>
      <c r="X30" s="1447"/>
      <c r="Y30" s="1443"/>
      <c r="Z30" s="1387"/>
      <c r="AA30" s="1447"/>
      <c r="AB30" s="1441"/>
      <c r="AC30" s="1387"/>
      <c r="AD30" s="1387"/>
      <c r="AE30" s="1387"/>
      <c r="AF30" s="1387"/>
      <c r="AG30" s="1387"/>
      <c r="AH30" s="1388"/>
    </row>
    <row r="31" spans="1:34" x14ac:dyDescent="0.2">
      <c r="A31" s="402" t="s">
        <v>7702</v>
      </c>
      <c r="B31" s="312" t="s">
        <v>7297</v>
      </c>
      <c r="C31" s="256"/>
      <c r="D31" s="374">
        <v>21</v>
      </c>
      <c r="E31" s="1441"/>
      <c r="F31" s="1387"/>
      <c r="G31" s="1387"/>
      <c r="H31" s="1387"/>
      <c r="I31" s="1387"/>
      <c r="J31" s="1461"/>
      <c r="K31" s="1443"/>
      <c r="L31" s="1387"/>
      <c r="M31" s="1447"/>
      <c r="N31" s="1441"/>
      <c r="O31" s="1461"/>
      <c r="P31" s="1443"/>
      <c r="Q31" s="1387"/>
      <c r="R31" s="1447"/>
      <c r="S31" s="1442"/>
      <c r="T31" s="1445"/>
      <c r="U31" s="1387"/>
      <c r="V31" s="1462"/>
      <c r="W31" s="1387"/>
      <c r="X31" s="1447"/>
      <c r="Y31" s="1443"/>
      <c r="Z31" s="1387"/>
      <c r="AA31" s="1447"/>
      <c r="AB31" s="1441"/>
      <c r="AC31" s="1387"/>
      <c r="AD31" s="1387"/>
      <c r="AE31" s="1387"/>
      <c r="AF31" s="1387"/>
      <c r="AG31" s="1387"/>
      <c r="AH31" s="1388"/>
    </row>
    <row r="32" spans="1:34" x14ac:dyDescent="0.2">
      <c r="A32" s="402" t="s">
        <v>7703</v>
      </c>
      <c r="B32" s="312" t="s">
        <v>7704</v>
      </c>
      <c r="C32" s="256"/>
      <c r="D32" s="374">
        <v>22</v>
      </c>
      <c r="E32" s="1441"/>
      <c r="F32" s="1387"/>
      <c r="G32" s="1387"/>
      <c r="H32" s="1387"/>
      <c r="I32" s="1387"/>
      <c r="J32" s="1461"/>
      <c r="K32" s="1443"/>
      <c r="L32" s="1387"/>
      <c r="M32" s="1447"/>
      <c r="N32" s="1441"/>
      <c r="O32" s="1461"/>
      <c r="P32" s="1443"/>
      <c r="Q32" s="1387"/>
      <c r="R32" s="1447"/>
      <c r="S32" s="1442"/>
      <c r="T32" s="1445"/>
      <c r="U32" s="1387"/>
      <c r="V32" s="1462"/>
      <c r="W32" s="1387"/>
      <c r="X32" s="1447"/>
      <c r="Y32" s="1443"/>
      <c r="Z32" s="1387"/>
      <c r="AA32" s="1447"/>
      <c r="AB32" s="1441"/>
      <c r="AC32" s="1387"/>
      <c r="AD32" s="1387"/>
      <c r="AE32" s="1387"/>
      <c r="AF32" s="1387"/>
      <c r="AG32" s="1387"/>
      <c r="AH32" s="1388"/>
    </row>
    <row r="33" spans="1:34" ht="13.5" thickBot="1" x14ac:dyDescent="0.25">
      <c r="A33" s="402" t="s">
        <v>7705</v>
      </c>
      <c r="B33" s="1421" t="s">
        <v>7460</v>
      </c>
      <c r="C33" s="388"/>
      <c r="D33" s="398">
        <v>23</v>
      </c>
      <c r="E33" s="1452"/>
      <c r="F33" s="1457"/>
      <c r="G33" s="1457"/>
      <c r="H33" s="1457"/>
      <c r="I33" s="1457"/>
      <c r="J33" s="1463"/>
      <c r="K33" s="1454"/>
      <c r="L33" s="1457"/>
      <c r="M33" s="1459"/>
      <c r="N33" s="1452"/>
      <c r="O33" s="1463"/>
      <c r="P33" s="1454"/>
      <c r="Q33" s="1457"/>
      <c r="R33" s="1459"/>
      <c r="S33" s="1453"/>
      <c r="T33" s="1456"/>
      <c r="U33" s="1457"/>
      <c r="V33" s="1464"/>
      <c r="W33" s="1457"/>
      <c r="X33" s="1459"/>
      <c r="Y33" s="1454"/>
      <c r="Z33" s="1457"/>
      <c r="AA33" s="1459"/>
      <c r="AB33" s="1452"/>
      <c r="AC33" s="1457"/>
      <c r="AD33" s="1457"/>
      <c r="AE33" s="1457"/>
      <c r="AF33" s="1457"/>
      <c r="AG33" s="1457"/>
      <c r="AH33" s="1460"/>
    </row>
    <row r="34" spans="1:34" ht="13.5" thickBot="1" x14ac:dyDescent="0.25">
      <c r="A34" s="402" t="s">
        <v>7706</v>
      </c>
      <c r="B34" s="337" t="s">
        <v>7465</v>
      </c>
      <c r="C34" s="251"/>
      <c r="D34" s="399">
        <v>24</v>
      </c>
      <c r="E34" s="1465"/>
      <c r="F34" s="1399"/>
      <c r="G34" s="1399"/>
      <c r="H34" s="1399"/>
      <c r="I34" s="1399"/>
      <c r="J34" s="1466"/>
      <c r="K34" s="1467"/>
      <c r="L34" s="1399"/>
      <c r="M34" s="1468"/>
      <c r="N34" s="1465"/>
      <c r="O34" s="1466"/>
      <c r="P34" s="1467"/>
      <c r="Q34" s="1399"/>
      <c r="R34" s="1468"/>
      <c r="S34" s="1469"/>
      <c r="T34" s="1470"/>
      <c r="U34" s="1399"/>
      <c r="V34" s="1471"/>
      <c r="W34" s="1399"/>
      <c r="X34" s="1468"/>
      <c r="Y34" s="1467"/>
      <c r="Z34" s="1399"/>
      <c r="AA34" s="1468"/>
      <c r="AB34" s="1465"/>
      <c r="AC34" s="1399"/>
      <c r="AD34" s="1399"/>
      <c r="AE34" s="1399"/>
      <c r="AF34" s="1399"/>
      <c r="AG34" s="1399"/>
      <c r="AH34" s="1400"/>
    </row>
    <row r="35" spans="1:34" ht="13.5" thickTop="1" x14ac:dyDescent="0.2">
      <c r="A35" s="402" t="s">
        <v>7707</v>
      </c>
      <c r="B35" s="1422" t="s">
        <v>7708</v>
      </c>
      <c r="C35" s="390"/>
      <c r="D35" s="375">
        <v>25</v>
      </c>
      <c r="E35" s="1472"/>
      <c r="F35" s="1473"/>
      <c r="G35" s="1473"/>
      <c r="H35" s="1473"/>
      <c r="I35" s="1473"/>
      <c r="J35" s="1474"/>
      <c r="K35" s="1475"/>
      <c r="L35" s="1473"/>
      <c r="M35" s="1476"/>
      <c r="N35" s="1477"/>
      <c r="O35" s="1474"/>
      <c r="P35" s="1475"/>
      <c r="Q35" s="1473"/>
      <c r="R35" s="1476"/>
      <c r="S35" s="1478"/>
      <c r="T35" s="1479"/>
      <c r="U35" s="1473"/>
      <c r="V35" s="1480"/>
      <c r="W35" s="1473"/>
      <c r="X35" s="1476"/>
      <c r="Y35" s="1475"/>
      <c r="Z35" s="1473"/>
      <c r="AA35" s="1476"/>
      <c r="AB35" s="1477"/>
      <c r="AC35" s="1473"/>
      <c r="AD35" s="1473"/>
      <c r="AE35" s="1473"/>
      <c r="AF35" s="1473"/>
      <c r="AG35" s="1473"/>
      <c r="AH35" s="1384"/>
    </row>
    <row r="36" spans="1:34" x14ac:dyDescent="0.2">
      <c r="A36" s="402" t="s">
        <v>7709</v>
      </c>
      <c r="B36" s="1419" t="s">
        <v>7494</v>
      </c>
      <c r="C36" s="382"/>
      <c r="D36" s="397">
        <v>26</v>
      </c>
      <c r="E36" s="1434"/>
      <c r="F36" s="1434"/>
      <c r="G36" s="1434"/>
      <c r="H36" s="1434"/>
      <c r="I36" s="1434"/>
      <c r="J36" s="1435"/>
      <c r="K36" s="1436"/>
      <c r="L36" s="1434"/>
      <c r="M36" s="1437"/>
      <c r="N36" s="1433"/>
      <c r="O36" s="1435"/>
      <c r="P36" s="1436"/>
      <c r="Q36" s="1434"/>
      <c r="R36" s="1437"/>
      <c r="S36" s="1438"/>
      <c r="T36" s="1439"/>
      <c r="U36" s="1434"/>
      <c r="V36" s="1440"/>
      <c r="W36" s="1434"/>
      <c r="X36" s="1437"/>
      <c r="Y36" s="1436"/>
      <c r="Z36" s="1434"/>
      <c r="AA36" s="1437"/>
      <c r="AB36" s="1433"/>
      <c r="AC36" s="1434"/>
      <c r="AD36" s="1434"/>
      <c r="AE36" s="1434"/>
      <c r="AF36" s="1434"/>
      <c r="AG36" s="1434"/>
      <c r="AH36" s="1415"/>
    </row>
    <row r="37" spans="1:34" x14ac:dyDescent="0.2">
      <c r="A37" s="402" t="s">
        <v>7710</v>
      </c>
      <c r="B37" s="312" t="s">
        <v>7711</v>
      </c>
      <c r="C37" s="32"/>
      <c r="D37" s="397">
        <v>27</v>
      </c>
      <c r="E37" s="1481"/>
      <c r="F37" s="1387"/>
      <c r="G37" s="1387"/>
      <c r="H37" s="1387"/>
      <c r="I37" s="1387"/>
      <c r="J37" s="1461"/>
      <c r="K37" s="1443"/>
      <c r="L37" s="1387"/>
      <c r="M37" s="1447"/>
      <c r="N37" s="1441"/>
      <c r="O37" s="1461"/>
      <c r="P37" s="1443"/>
      <c r="Q37" s="1387"/>
      <c r="R37" s="1447"/>
      <c r="S37" s="1442"/>
      <c r="T37" s="1445"/>
      <c r="U37" s="1387"/>
      <c r="V37" s="1462"/>
      <c r="W37" s="1387"/>
      <c r="X37" s="1447"/>
      <c r="Y37" s="1443"/>
      <c r="Z37" s="1387"/>
      <c r="AA37" s="1447"/>
      <c r="AB37" s="1441"/>
      <c r="AC37" s="1387"/>
      <c r="AD37" s="1387"/>
      <c r="AE37" s="1387"/>
      <c r="AF37" s="1387"/>
      <c r="AG37" s="1387"/>
      <c r="AH37" s="1388"/>
    </row>
    <row r="38" spans="1:34" x14ac:dyDescent="0.2">
      <c r="A38" s="402" t="s">
        <v>7712</v>
      </c>
      <c r="B38" s="312" t="s">
        <v>1305</v>
      </c>
      <c r="C38" s="32"/>
      <c r="D38" s="397">
        <v>28</v>
      </c>
      <c r="E38" s="1481"/>
      <c r="F38" s="1387"/>
      <c r="G38" s="1387"/>
      <c r="H38" s="1387"/>
      <c r="I38" s="1387"/>
      <c r="J38" s="1461"/>
      <c r="K38" s="1443"/>
      <c r="L38" s="1387"/>
      <c r="M38" s="1447"/>
      <c r="N38" s="1441"/>
      <c r="O38" s="1461"/>
      <c r="P38" s="1443"/>
      <c r="Q38" s="1387"/>
      <c r="R38" s="1447"/>
      <c r="S38" s="1442"/>
      <c r="T38" s="1445"/>
      <c r="U38" s="1387"/>
      <c r="V38" s="1462"/>
      <c r="W38" s="1387"/>
      <c r="X38" s="1447"/>
      <c r="Y38" s="1443"/>
      <c r="Z38" s="1387"/>
      <c r="AA38" s="1447"/>
      <c r="AB38" s="1441"/>
      <c r="AC38" s="1387"/>
      <c r="AD38" s="1387"/>
      <c r="AE38" s="1387"/>
      <c r="AF38" s="1387"/>
      <c r="AG38" s="1387"/>
      <c r="AH38" s="1388"/>
    </row>
    <row r="39" spans="1:34" x14ac:dyDescent="0.2">
      <c r="A39" s="402" t="s">
        <v>7713</v>
      </c>
      <c r="B39" s="312" t="s">
        <v>1312</v>
      </c>
      <c r="C39" s="32"/>
      <c r="D39" s="397">
        <v>29</v>
      </c>
      <c r="E39" s="1481"/>
      <c r="F39" s="1387"/>
      <c r="G39" s="1387"/>
      <c r="H39" s="1387"/>
      <c r="I39" s="1387"/>
      <c r="J39" s="1461"/>
      <c r="K39" s="1443"/>
      <c r="L39" s="1387"/>
      <c r="M39" s="1447"/>
      <c r="N39" s="1441"/>
      <c r="O39" s="1461"/>
      <c r="P39" s="1443"/>
      <c r="Q39" s="1387"/>
      <c r="R39" s="1447"/>
      <c r="S39" s="1442"/>
      <c r="T39" s="1445"/>
      <c r="U39" s="1387"/>
      <c r="V39" s="1462"/>
      <c r="W39" s="1387"/>
      <c r="X39" s="1447"/>
      <c r="Y39" s="1443"/>
      <c r="Z39" s="1387"/>
      <c r="AA39" s="1447"/>
      <c r="AB39" s="1441"/>
      <c r="AC39" s="1387"/>
      <c r="AD39" s="1387"/>
      <c r="AE39" s="1387"/>
      <c r="AF39" s="1387"/>
      <c r="AG39" s="1387"/>
      <c r="AH39" s="1388"/>
    </row>
    <row r="40" spans="1:34" x14ac:dyDescent="0.2">
      <c r="A40" s="402" t="s">
        <v>7714</v>
      </c>
      <c r="B40" s="312" t="s">
        <v>1319</v>
      </c>
      <c r="C40" s="32"/>
      <c r="D40" s="397">
        <v>30</v>
      </c>
      <c r="E40" s="1481"/>
      <c r="F40" s="1387"/>
      <c r="G40" s="1387"/>
      <c r="H40" s="1387"/>
      <c r="I40" s="1387"/>
      <c r="J40" s="1461"/>
      <c r="K40" s="1443"/>
      <c r="L40" s="1441"/>
      <c r="M40" s="1444"/>
      <c r="N40" s="1441"/>
      <c r="O40" s="1461"/>
      <c r="P40" s="1443"/>
      <c r="Q40" s="1441"/>
      <c r="R40" s="1444"/>
      <c r="S40" s="1442"/>
      <c r="T40" s="1445"/>
      <c r="U40" s="1387"/>
      <c r="V40" s="1462"/>
      <c r="W40" s="1387"/>
      <c r="X40" s="1444"/>
      <c r="Y40" s="1443"/>
      <c r="Z40" s="1387"/>
      <c r="AA40" s="1447"/>
      <c r="AB40" s="1441"/>
      <c r="AC40" s="1387"/>
      <c r="AD40" s="1387"/>
      <c r="AE40" s="1387"/>
      <c r="AF40" s="1387"/>
      <c r="AG40" s="1387"/>
      <c r="AH40" s="1388"/>
    </row>
    <row r="41" spans="1:34" x14ac:dyDescent="0.2">
      <c r="A41" s="402" t="s">
        <v>7715</v>
      </c>
      <c r="B41" s="312" t="s">
        <v>1333</v>
      </c>
      <c r="C41" s="32"/>
      <c r="D41" s="397">
        <v>31</v>
      </c>
      <c r="E41" s="1481"/>
      <c r="F41" s="1387"/>
      <c r="G41" s="1387"/>
      <c r="H41" s="1387"/>
      <c r="I41" s="1387"/>
      <c r="J41" s="1461"/>
      <c r="K41" s="1482"/>
      <c r="L41" s="1387"/>
      <c r="M41" s="1447"/>
      <c r="N41" s="1441"/>
      <c r="O41" s="1461"/>
      <c r="P41" s="1482"/>
      <c r="Q41" s="1387"/>
      <c r="R41" s="1447"/>
      <c r="S41" s="1442"/>
      <c r="T41" s="1445"/>
      <c r="U41" s="1387"/>
      <c r="V41" s="1483"/>
      <c r="W41" s="1387"/>
      <c r="X41" s="1447"/>
      <c r="Y41" s="1482"/>
      <c r="Z41" s="1387"/>
      <c r="AA41" s="1447"/>
      <c r="AB41" s="1441"/>
      <c r="AC41" s="1387"/>
      <c r="AD41" s="1387"/>
      <c r="AE41" s="1387"/>
      <c r="AF41" s="1387"/>
      <c r="AG41" s="1387"/>
      <c r="AH41" s="1388"/>
    </row>
    <row r="42" spans="1:34" x14ac:dyDescent="0.2">
      <c r="A42" s="402" t="s">
        <v>7716</v>
      </c>
      <c r="B42" s="312" t="s">
        <v>1326</v>
      </c>
      <c r="C42" s="32"/>
      <c r="D42" s="397">
        <v>32</v>
      </c>
      <c r="E42" s="1481"/>
      <c r="F42" s="1387"/>
      <c r="G42" s="1387"/>
      <c r="H42" s="1387"/>
      <c r="I42" s="1387"/>
      <c r="J42" s="1461"/>
      <c r="K42" s="1443"/>
      <c r="L42" s="1387"/>
      <c r="M42" s="1447"/>
      <c r="N42" s="1441"/>
      <c r="O42" s="1461"/>
      <c r="P42" s="1443"/>
      <c r="Q42" s="1387"/>
      <c r="R42" s="1447"/>
      <c r="S42" s="1442"/>
      <c r="T42" s="1445"/>
      <c r="U42" s="1387"/>
      <c r="V42" s="1462"/>
      <c r="W42" s="1387"/>
      <c r="X42" s="1447"/>
      <c r="Y42" s="1443"/>
      <c r="Z42" s="1387"/>
      <c r="AA42" s="1447"/>
      <c r="AB42" s="1441"/>
      <c r="AC42" s="1387"/>
      <c r="AD42" s="1387"/>
      <c r="AE42" s="1387"/>
      <c r="AF42" s="1387"/>
      <c r="AG42" s="1387"/>
      <c r="AH42" s="1388"/>
    </row>
    <row r="43" spans="1:34" ht="13.5" thickBot="1" x14ac:dyDescent="0.25">
      <c r="A43" s="402" t="s">
        <v>7717</v>
      </c>
      <c r="B43" s="1421" t="s">
        <v>7313</v>
      </c>
      <c r="C43" s="393"/>
      <c r="D43" s="396">
        <v>33</v>
      </c>
      <c r="E43" s="1451"/>
      <c r="F43" s="1457"/>
      <c r="G43" s="1457"/>
      <c r="H43" s="1457"/>
      <c r="I43" s="1457"/>
      <c r="J43" s="1463"/>
      <c r="K43" s="1454"/>
      <c r="L43" s="1457"/>
      <c r="M43" s="1459"/>
      <c r="N43" s="1452"/>
      <c r="O43" s="1463"/>
      <c r="P43" s="1454"/>
      <c r="Q43" s="1457"/>
      <c r="R43" s="1459"/>
      <c r="S43" s="1453"/>
      <c r="T43" s="1456"/>
      <c r="U43" s="1457"/>
      <c r="V43" s="1464"/>
      <c r="W43" s="1457"/>
      <c r="X43" s="1459"/>
      <c r="Y43" s="1454"/>
      <c r="Z43" s="1457"/>
      <c r="AA43" s="1459"/>
      <c r="AB43" s="1452"/>
      <c r="AC43" s="1457"/>
      <c r="AD43" s="1457"/>
      <c r="AE43" s="1457"/>
      <c r="AF43" s="1457"/>
      <c r="AG43" s="1457"/>
      <c r="AH43" s="1460"/>
    </row>
    <row r="44" spans="1:34" x14ac:dyDescent="0.2">
      <c r="A44" s="402" t="s">
        <v>7718</v>
      </c>
      <c r="B44" s="1419" t="s">
        <v>7507</v>
      </c>
      <c r="C44" s="382"/>
      <c r="D44" s="397">
        <v>34</v>
      </c>
      <c r="E44" s="1484"/>
      <c r="F44" s="1434"/>
      <c r="G44" s="1434"/>
      <c r="H44" s="1434"/>
      <c r="I44" s="1434"/>
      <c r="J44" s="1435"/>
      <c r="K44" s="1436"/>
      <c r="L44" s="1434"/>
      <c r="M44" s="1437"/>
      <c r="N44" s="1433"/>
      <c r="O44" s="1435"/>
      <c r="P44" s="1436"/>
      <c r="Q44" s="1434"/>
      <c r="R44" s="1437"/>
      <c r="S44" s="1438"/>
      <c r="T44" s="1439"/>
      <c r="U44" s="1434"/>
      <c r="V44" s="1440"/>
      <c r="W44" s="1434"/>
      <c r="X44" s="1437"/>
      <c r="Y44" s="1436"/>
      <c r="Z44" s="1434"/>
      <c r="AA44" s="1437"/>
      <c r="AB44" s="1433"/>
      <c r="AC44" s="1434"/>
      <c r="AD44" s="1434"/>
      <c r="AE44" s="1434"/>
      <c r="AF44" s="1434"/>
      <c r="AG44" s="1434"/>
      <c r="AH44" s="1415"/>
    </row>
    <row r="45" spans="1:34" x14ac:dyDescent="0.2">
      <c r="A45" s="402" t="s">
        <v>7719</v>
      </c>
      <c r="B45" s="312" t="s">
        <v>1207</v>
      </c>
      <c r="C45" s="32"/>
      <c r="D45" s="397">
        <v>35</v>
      </c>
      <c r="E45" s="1481"/>
      <c r="F45" s="1387"/>
      <c r="G45" s="1387"/>
      <c r="H45" s="1387"/>
      <c r="I45" s="1387"/>
      <c r="J45" s="1461"/>
      <c r="K45" s="1443"/>
      <c r="L45" s="1387"/>
      <c r="M45" s="1447"/>
      <c r="N45" s="1441"/>
      <c r="O45" s="1461"/>
      <c r="P45" s="1443"/>
      <c r="Q45" s="1387"/>
      <c r="R45" s="1447"/>
      <c r="S45" s="1442"/>
      <c r="T45" s="1445"/>
      <c r="U45" s="1387"/>
      <c r="V45" s="1462"/>
      <c r="W45" s="1387"/>
      <c r="X45" s="1447"/>
      <c r="Y45" s="1443"/>
      <c r="Z45" s="1387"/>
      <c r="AA45" s="1447"/>
      <c r="AB45" s="1441"/>
      <c r="AC45" s="1387"/>
      <c r="AD45" s="1387"/>
      <c r="AE45" s="1387"/>
      <c r="AF45" s="1387"/>
      <c r="AG45" s="1387"/>
      <c r="AH45" s="1388"/>
    </row>
    <row r="46" spans="1:34" x14ac:dyDescent="0.2">
      <c r="A46" s="402" t="s">
        <v>7720</v>
      </c>
      <c r="B46" s="312" t="s">
        <v>7721</v>
      </c>
      <c r="C46" s="32"/>
      <c r="D46" s="397">
        <v>36</v>
      </c>
      <c r="E46" s="1481"/>
      <c r="F46" s="1387"/>
      <c r="G46" s="1387"/>
      <c r="H46" s="1387"/>
      <c r="I46" s="1387"/>
      <c r="J46" s="1461"/>
      <c r="K46" s="1443"/>
      <c r="L46" s="1387"/>
      <c r="M46" s="1447"/>
      <c r="N46" s="1441"/>
      <c r="O46" s="1461"/>
      <c r="P46" s="1443"/>
      <c r="Q46" s="1387"/>
      <c r="R46" s="1447"/>
      <c r="S46" s="1442"/>
      <c r="T46" s="1445"/>
      <c r="U46" s="1387"/>
      <c r="V46" s="1462"/>
      <c r="W46" s="1387"/>
      <c r="X46" s="1447"/>
      <c r="Y46" s="1443"/>
      <c r="Z46" s="1387"/>
      <c r="AA46" s="1447"/>
      <c r="AB46" s="1441"/>
      <c r="AC46" s="1387"/>
      <c r="AD46" s="1387"/>
      <c r="AE46" s="1387"/>
      <c r="AF46" s="1387"/>
      <c r="AG46" s="1387"/>
      <c r="AH46" s="1388"/>
    </row>
    <row r="47" spans="1:34" x14ac:dyDescent="0.2">
      <c r="A47" s="402" t="s">
        <v>7722</v>
      </c>
      <c r="B47" s="312" t="s">
        <v>1221</v>
      </c>
      <c r="C47" s="32"/>
      <c r="D47" s="397">
        <v>37</v>
      </c>
      <c r="E47" s="1481"/>
      <c r="F47" s="1387"/>
      <c r="G47" s="1387"/>
      <c r="H47" s="1387"/>
      <c r="I47" s="1387"/>
      <c r="J47" s="1461"/>
      <c r="K47" s="1443"/>
      <c r="L47" s="1387"/>
      <c r="M47" s="1447"/>
      <c r="N47" s="1441"/>
      <c r="O47" s="1461"/>
      <c r="P47" s="1443"/>
      <c r="Q47" s="1387"/>
      <c r="R47" s="1447"/>
      <c r="S47" s="1442"/>
      <c r="T47" s="1445"/>
      <c r="U47" s="1387"/>
      <c r="V47" s="1462"/>
      <c r="W47" s="1387"/>
      <c r="X47" s="1447"/>
      <c r="Y47" s="1443"/>
      <c r="Z47" s="1387"/>
      <c r="AA47" s="1447"/>
      <c r="AB47" s="1441"/>
      <c r="AC47" s="1387"/>
      <c r="AD47" s="1387"/>
      <c r="AE47" s="1387"/>
      <c r="AF47" s="1387"/>
      <c r="AG47" s="1387"/>
      <c r="AH47" s="1388"/>
    </row>
    <row r="48" spans="1:34" x14ac:dyDescent="0.2">
      <c r="A48" s="402" t="s">
        <v>7723</v>
      </c>
      <c r="B48" s="312" t="s">
        <v>1228</v>
      </c>
      <c r="C48" s="32"/>
      <c r="D48" s="397">
        <v>38</v>
      </c>
      <c r="E48" s="1481"/>
      <c r="F48" s="1387"/>
      <c r="G48" s="1387"/>
      <c r="H48" s="1387"/>
      <c r="I48" s="1387"/>
      <c r="J48" s="1461"/>
      <c r="K48" s="1443"/>
      <c r="L48" s="1387"/>
      <c r="M48" s="1447"/>
      <c r="N48" s="1441"/>
      <c r="O48" s="1461"/>
      <c r="P48" s="1443"/>
      <c r="Q48" s="1387"/>
      <c r="R48" s="1447"/>
      <c r="S48" s="1442"/>
      <c r="T48" s="1445"/>
      <c r="U48" s="1387"/>
      <c r="V48" s="1462"/>
      <c r="W48" s="1387"/>
      <c r="X48" s="1447"/>
      <c r="Y48" s="1443"/>
      <c r="Z48" s="1387"/>
      <c r="AA48" s="1447"/>
      <c r="AB48" s="1441"/>
      <c r="AC48" s="1387"/>
      <c r="AD48" s="1387"/>
      <c r="AE48" s="1387"/>
      <c r="AF48" s="1387"/>
      <c r="AG48" s="1387"/>
      <c r="AH48" s="1388"/>
    </row>
    <row r="49" spans="1:34" x14ac:dyDescent="0.2">
      <c r="A49" s="402" t="s">
        <v>7724</v>
      </c>
      <c r="B49" s="312" t="s">
        <v>1235</v>
      </c>
      <c r="C49" s="32"/>
      <c r="D49" s="397">
        <v>39</v>
      </c>
      <c r="E49" s="1481"/>
      <c r="F49" s="1387"/>
      <c r="G49" s="1387"/>
      <c r="H49" s="1387"/>
      <c r="I49" s="1387"/>
      <c r="J49" s="1461"/>
      <c r="K49" s="1443"/>
      <c r="L49" s="1387"/>
      <c r="M49" s="1447"/>
      <c r="N49" s="1441"/>
      <c r="O49" s="1461"/>
      <c r="P49" s="1443"/>
      <c r="Q49" s="1387"/>
      <c r="R49" s="1447"/>
      <c r="S49" s="1442"/>
      <c r="T49" s="1445"/>
      <c r="U49" s="1387"/>
      <c r="V49" s="1462"/>
      <c r="W49" s="1387"/>
      <c r="X49" s="1447"/>
      <c r="Y49" s="1443"/>
      <c r="Z49" s="1387"/>
      <c r="AA49" s="1447"/>
      <c r="AB49" s="1441"/>
      <c r="AC49" s="1387"/>
      <c r="AD49" s="1387"/>
      <c r="AE49" s="1387"/>
      <c r="AF49" s="1387"/>
      <c r="AG49" s="1387"/>
      <c r="AH49" s="1388"/>
    </row>
    <row r="50" spans="1:34" x14ac:dyDescent="0.2">
      <c r="A50" s="402" t="s">
        <v>7725</v>
      </c>
      <c r="B50" s="312" t="s">
        <v>1242</v>
      </c>
      <c r="C50" s="32"/>
      <c r="D50" s="397">
        <v>40</v>
      </c>
      <c r="E50" s="1481"/>
      <c r="F50" s="1387"/>
      <c r="G50" s="1387"/>
      <c r="H50" s="1387"/>
      <c r="I50" s="1387"/>
      <c r="J50" s="1461"/>
      <c r="K50" s="1443"/>
      <c r="L50" s="1387"/>
      <c r="M50" s="1447"/>
      <c r="N50" s="1441"/>
      <c r="O50" s="1461"/>
      <c r="P50" s="1443"/>
      <c r="Q50" s="1387"/>
      <c r="R50" s="1447"/>
      <c r="S50" s="1442"/>
      <c r="T50" s="1445"/>
      <c r="U50" s="1387"/>
      <c r="V50" s="1462"/>
      <c r="W50" s="1387"/>
      <c r="X50" s="1447"/>
      <c r="Y50" s="1443"/>
      <c r="Z50" s="1387"/>
      <c r="AA50" s="1447"/>
      <c r="AB50" s="1441"/>
      <c r="AC50" s="1387"/>
      <c r="AD50" s="1387"/>
      <c r="AE50" s="1387"/>
      <c r="AF50" s="1387"/>
      <c r="AG50" s="1387"/>
      <c r="AH50" s="1388"/>
    </row>
    <row r="51" spans="1:34" x14ac:dyDescent="0.2">
      <c r="A51" s="402" t="s">
        <v>7726</v>
      </c>
      <c r="B51" s="312" t="s">
        <v>1249</v>
      </c>
      <c r="C51" s="32"/>
      <c r="D51" s="397">
        <v>41</v>
      </c>
      <c r="E51" s="1481"/>
      <c r="F51" s="1387"/>
      <c r="G51" s="1387"/>
      <c r="H51" s="1387"/>
      <c r="I51" s="1387"/>
      <c r="J51" s="1461"/>
      <c r="K51" s="1443"/>
      <c r="L51" s="1387"/>
      <c r="M51" s="1447"/>
      <c r="N51" s="1441"/>
      <c r="O51" s="1461"/>
      <c r="P51" s="1443"/>
      <c r="Q51" s="1387"/>
      <c r="R51" s="1447"/>
      <c r="S51" s="1442"/>
      <c r="T51" s="1445"/>
      <c r="U51" s="1387"/>
      <c r="V51" s="1462"/>
      <c r="W51" s="1387"/>
      <c r="X51" s="1447"/>
      <c r="Y51" s="1443"/>
      <c r="Z51" s="1387"/>
      <c r="AA51" s="1447"/>
      <c r="AB51" s="1441"/>
      <c r="AC51" s="1387"/>
      <c r="AD51" s="1387"/>
      <c r="AE51" s="1387"/>
      <c r="AF51" s="1387"/>
      <c r="AG51" s="1387"/>
      <c r="AH51" s="1388"/>
    </row>
    <row r="52" spans="1:34" x14ac:dyDescent="0.2">
      <c r="A52" s="402" t="s">
        <v>7727</v>
      </c>
      <c r="B52" s="312" t="s">
        <v>1256</v>
      </c>
      <c r="C52" s="32"/>
      <c r="D52" s="397">
        <v>42</v>
      </c>
      <c r="E52" s="1481"/>
      <c r="F52" s="1387"/>
      <c r="G52" s="1387"/>
      <c r="H52" s="1387"/>
      <c r="I52" s="1387"/>
      <c r="J52" s="1461"/>
      <c r="K52" s="1443"/>
      <c r="L52" s="1387"/>
      <c r="M52" s="1447"/>
      <c r="N52" s="1441"/>
      <c r="O52" s="1461"/>
      <c r="P52" s="1443"/>
      <c r="Q52" s="1387"/>
      <c r="R52" s="1447"/>
      <c r="S52" s="1442"/>
      <c r="T52" s="1445"/>
      <c r="U52" s="1387"/>
      <c r="V52" s="1462"/>
      <c r="W52" s="1387"/>
      <c r="X52" s="1447"/>
      <c r="Y52" s="1443"/>
      <c r="Z52" s="1387"/>
      <c r="AA52" s="1447"/>
      <c r="AB52" s="1441"/>
      <c r="AC52" s="1387"/>
      <c r="AD52" s="1387"/>
      <c r="AE52" s="1387"/>
      <c r="AF52" s="1387"/>
      <c r="AG52" s="1387"/>
      <c r="AH52" s="1388"/>
    </row>
    <row r="53" spans="1:34" x14ac:dyDescent="0.2">
      <c r="A53" s="402" t="s">
        <v>7728</v>
      </c>
      <c r="B53" s="312" t="s">
        <v>7056</v>
      </c>
      <c r="C53" s="32"/>
      <c r="D53" s="397">
        <v>43</v>
      </c>
      <c r="E53" s="1481"/>
      <c r="F53" s="1387"/>
      <c r="G53" s="1387"/>
      <c r="H53" s="1387"/>
      <c r="I53" s="1387"/>
      <c r="J53" s="1461"/>
      <c r="K53" s="1443"/>
      <c r="L53" s="1387"/>
      <c r="M53" s="1447"/>
      <c r="N53" s="1441"/>
      <c r="O53" s="1461"/>
      <c r="P53" s="1443"/>
      <c r="Q53" s="1387"/>
      <c r="R53" s="1447"/>
      <c r="S53" s="1442"/>
      <c r="T53" s="1445"/>
      <c r="U53" s="1387"/>
      <c r="V53" s="1462"/>
      <c r="W53" s="1387"/>
      <c r="X53" s="1447"/>
      <c r="Y53" s="1443"/>
      <c r="Z53" s="1387"/>
      <c r="AA53" s="1447"/>
      <c r="AB53" s="1441"/>
      <c r="AC53" s="1387"/>
      <c r="AD53" s="1387"/>
      <c r="AE53" s="1387"/>
      <c r="AF53" s="1387"/>
      <c r="AG53" s="1387"/>
      <c r="AH53" s="1388"/>
    </row>
    <row r="54" spans="1:34" x14ac:dyDescent="0.2">
      <c r="A54" s="402" t="s">
        <v>7729</v>
      </c>
      <c r="B54" s="312" t="s">
        <v>1270</v>
      </c>
      <c r="C54" s="32"/>
      <c r="D54" s="397">
        <v>44</v>
      </c>
      <c r="E54" s="1481"/>
      <c r="F54" s="1387"/>
      <c r="G54" s="1387"/>
      <c r="H54" s="1387"/>
      <c r="I54" s="1387"/>
      <c r="J54" s="1461"/>
      <c r="K54" s="1443"/>
      <c r="L54" s="1387"/>
      <c r="M54" s="1447"/>
      <c r="N54" s="1441"/>
      <c r="O54" s="1461"/>
      <c r="P54" s="1443"/>
      <c r="Q54" s="1387"/>
      <c r="R54" s="1447"/>
      <c r="S54" s="1442"/>
      <c r="T54" s="1445"/>
      <c r="U54" s="1387"/>
      <c r="V54" s="1462"/>
      <c r="W54" s="1387"/>
      <c r="X54" s="1447"/>
      <c r="Y54" s="1443"/>
      <c r="Z54" s="1387"/>
      <c r="AA54" s="1447"/>
      <c r="AB54" s="1441"/>
      <c r="AC54" s="1387"/>
      <c r="AD54" s="1387"/>
      <c r="AE54" s="1387"/>
      <c r="AF54" s="1387"/>
      <c r="AG54" s="1387"/>
      <c r="AH54" s="1388"/>
    </row>
    <row r="55" spans="1:34" x14ac:dyDescent="0.2">
      <c r="A55" s="402" t="s">
        <v>7730</v>
      </c>
      <c r="B55" s="312" t="s">
        <v>1277</v>
      </c>
      <c r="C55" s="32"/>
      <c r="D55" s="397">
        <v>45</v>
      </c>
      <c r="E55" s="1481"/>
      <c r="F55" s="1387"/>
      <c r="G55" s="1387"/>
      <c r="H55" s="1387"/>
      <c r="I55" s="1387"/>
      <c r="J55" s="1461"/>
      <c r="K55" s="1443"/>
      <c r="L55" s="1387"/>
      <c r="M55" s="1447"/>
      <c r="N55" s="1441"/>
      <c r="O55" s="1461"/>
      <c r="P55" s="1443"/>
      <c r="Q55" s="1387"/>
      <c r="R55" s="1447"/>
      <c r="S55" s="1442"/>
      <c r="T55" s="1445"/>
      <c r="U55" s="1387"/>
      <c r="V55" s="1462"/>
      <c r="W55" s="1387"/>
      <c r="X55" s="1447"/>
      <c r="Y55" s="1443"/>
      <c r="Z55" s="1387"/>
      <c r="AA55" s="1447"/>
      <c r="AB55" s="1441"/>
      <c r="AC55" s="1387"/>
      <c r="AD55" s="1387"/>
      <c r="AE55" s="1387"/>
      <c r="AF55" s="1387"/>
      <c r="AG55" s="1387"/>
      <c r="AH55" s="1388"/>
    </row>
    <row r="56" spans="1:34" x14ac:dyDescent="0.2">
      <c r="A56" s="402" t="s">
        <v>7731</v>
      </c>
      <c r="B56" s="312" t="s">
        <v>1284</v>
      </c>
      <c r="C56" s="32"/>
      <c r="D56" s="397">
        <v>46</v>
      </c>
      <c r="E56" s="1481"/>
      <c r="F56" s="1387"/>
      <c r="G56" s="1387"/>
      <c r="H56" s="1387"/>
      <c r="I56" s="1387"/>
      <c r="J56" s="1461"/>
      <c r="K56" s="1443"/>
      <c r="L56" s="1387"/>
      <c r="M56" s="1447"/>
      <c r="N56" s="1441"/>
      <c r="O56" s="1461"/>
      <c r="P56" s="1443"/>
      <c r="Q56" s="1387"/>
      <c r="R56" s="1447"/>
      <c r="S56" s="1442"/>
      <c r="T56" s="1445"/>
      <c r="U56" s="1387"/>
      <c r="V56" s="1462"/>
      <c r="W56" s="1387"/>
      <c r="X56" s="1447"/>
      <c r="Y56" s="1443"/>
      <c r="Z56" s="1387"/>
      <c r="AA56" s="1447"/>
      <c r="AB56" s="1441"/>
      <c r="AC56" s="1387"/>
      <c r="AD56" s="1387"/>
      <c r="AE56" s="1387"/>
      <c r="AF56" s="1387"/>
      <c r="AG56" s="1387"/>
      <c r="AH56" s="1388"/>
    </row>
    <row r="57" spans="1:34" ht="13.5" thickBot="1" x14ac:dyDescent="0.25">
      <c r="A57" s="402" t="s">
        <v>7732</v>
      </c>
      <c r="B57" s="1421" t="s">
        <v>7311</v>
      </c>
      <c r="C57" s="388"/>
      <c r="D57" s="398">
        <v>47</v>
      </c>
      <c r="E57" s="1451"/>
      <c r="F57" s="1457"/>
      <c r="G57" s="1457"/>
      <c r="H57" s="1457"/>
      <c r="I57" s="1457"/>
      <c r="J57" s="1463"/>
      <c r="K57" s="1454"/>
      <c r="L57" s="1457"/>
      <c r="M57" s="1459"/>
      <c r="N57" s="1452"/>
      <c r="O57" s="1463"/>
      <c r="P57" s="1454"/>
      <c r="Q57" s="1457"/>
      <c r="R57" s="1459"/>
      <c r="S57" s="1453"/>
      <c r="T57" s="1456"/>
      <c r="U57" s="1457"/>
      <c r="V57" s="1464"/>
      <c r="W57" s="1457"/>
      <c r="X57" s="1459"/>
      <c r="Y57" s="1454"/>
      <c r="Z57" s="1457"/>
      <c r="AA57" s="1459"/>
      <c r="AB57" s="1452"/>
      <c r="AC57" s="1457"/>
      <c r="AD57" s="1457"/>
      <c r="AE57" s="1457"/>
      <c r="AF57" s="1457"/>
      <c r="AG57" s="1457"/>
      <c r="AH57" s="1460"/>
    </row>
    <row r="58" spans="1:34" x14ac:dyDescent="0.2">
      <c r="A58" s="402" t="s">
        <v>7733</v>
      </c>
      <c r="B58" s="1419" t="s">
        <v>7529</v>
      </c>
      <c r="C58" s="382"/>
      <c r="D58" s="397">
        <v>48</v>
      </c>
      <c r="E58" s="1433"/>
      <c r="F58" s="1434"/>
      <c r="G58" s="1434"/>
      <c r="H58" s="1434"/>
      <c r="I58" s="1434"/>
      <c r="J58" s="1435"/>
      <c r="K58" s="1436"/>
      <c r="L58" s="1434"/>
      <c r="M58" s="1437"/>
      <c r="N58" s="1433"/>
      <c r="O58" s="1435"/>
      <c r="P58" s="1436"/>
      <c r="Q58" s="1434"/>
      <c r="R58" s="1437"/>
      <c r="S58" s="1438"/>
      <c r="T58" s="1439"/>
      <c r="U58" s="1434"/>
      <c r="V58" s="1440"/>
      <c r="W58" s="1434"/>
      <c r="X58" s="1437"/>
      <c r="Y58" s="1436"/>
      <c r="Z58" s="1434"/>
      <c r="AA58" s="1437"/>
      <c r="AB58" s="1433"/>
      <c r="AC58" s="1434"/>
      <c r="AD58" s="1434"/>
      <c r="AE58" s="1434"/>
      <c r="AF58" s="1434"/>
      <c r="AG58" s="1434"/>
      <c r="AH58" s="1415"/>
    </row>
    <row r="59" spans="1:34" x14ac:dyDescent="0.2">
      <c r="A59" s="402" t="s">
        <v>7734</v>
      </c>
      <c r="B59" s="312" t="s">
        <v>1361</v>
      </c>
      <c r="C59" s="32"/>
      <c r="D59" s="397">
        <v>49</v>
      </c>
      <c r="E59" s="1441"/>
      <c r="F59" s="1387"/>
      <c r="G59" s="1387"/>
      <c r="H59" s="1387"/>
      <c r="I59" s="1387"/>
      <c r="J59" s="1461"/>
      <c r="K59" s="1443"/>
      <c r="L59" s="1387"/>
      <c r="M59" s="1447"/>
      <c r="N59" s="1441"/>
      <c r="O59" s="1461"/>
      <c r="P59" s="1443"/>
      <c r="Q59" s="1387"/>
      <c r="R59" s="1447"/>
      <c r="S59" s="1442"/>
      <c r="T59" s="1445"/>
      <c r="U59" s="1387"/>
      <c r="V59" s="1462"/>
      <c r="W59" s="1387"/>
      <c r="X59" s="1447"/>
      <c r="Y59" s="1443"/>
      <c r="Z59" s="1387"/>
      <c r="AA59" s="1447"/>
      <c r="AB59" s="1441"/>
      <c r="AC59" s="1387"/>
      <c r="AD59" s="1387"/>
      <c r="AE59" s="1387"/>
      <c r="AF59" s="1387"/>
      <c r="AG59" s="1387"/>
      <c r="AH59" s="1388"/>
    </row>
    <row r="60" spans="1:34" x14ac:dyDescent="0.2">
      <c r="A60" s="402" t="s">
        <v>7735</v>
      </c>
      <c r="B60" s="312" t="s">
        <v>1354</v>
      </c>
      <c r="C60" s="32"/>
      <c r="D60" s="397">
        <v>50</v>
      </c>
      <c r="E60" s="1441"/>
      <c r="F60" s="1387"/>
      <c r="G60" s="1387"/>
      <c r="H60" s="1387"/>
      <c r="I60" s="1387"/>
      <c r="J60" s="1461"/>
      <c r="K60" s="1443"/>
      <c r="L60" s="1387"/>
      <c r="M60" s="1447"/>
      <c r="N60" s="1441"/>
      <c r="O60" s="1461"/>
      <c r="P60" s="1443"/>
      <c r="Q60" s="1387"/>
      <c r="R60" s="1447"/>
      <c r="S60" s="1442"/>
      <c r="T60" s="1445"/>
      <c r="U60" s="1387"/>
      <c r="V60" s="1462"/>
      <c r="W60" s="1387"/>
      <c r="X60" s="1447"/>
      <c r="Y60" s="1443"/>
      <c r="Z60" s="1387"/>
      <c r="AA60" s="1447"/>
      <c r="AB60" s="1441"/>
      <c r="AC60" s="1387"/>
      <c r="AD60" s="1387"/>
      <c r="AE60" s="1387"/>
      <c r="AF60" s="1387"/>
      <c r="AG60" s="1387"/>
      <c r="AH60" s="1388"/>
    </row>
    <row r="61" spans="1:34" x14ac:dyDescent="0.2">
      <c r="A61" s="402" t="s">
        <v>7736</v>
      </c>
      <c r="B61" s="312" t="s">
        <v>1368</v>
      </c>
      <c r="C61" s="32"/>
      <c r="D61" s="397">
        <v>51</v>
      </c>
      <c r="E61" s="1441"/>
      <c r="F61" s="1387"/>
      <c r="G61" s="1387"/>
      <c r="H61" s="1387"/>
      <c r="I61" s="1387"/>
      <c r="J61" s="1461"/>
      <c r="K61" s="1443"/>
      <c r="L61" s="1387"/>
      <c r="M61" s="1447"/>
      <c r="N61" s="1441"/>
      <c r="O61" s="1461"/>
      <c r="P61" s="1443"/>
      <c r="Q61" s="1387"/>
      <c r="R61" s="1447"/>
      <c r="S61" s="1442"/>
      <c r="T61" s="1445"/>
      <c r="U61" s="1387"/>
      <c r="V61" s="1462"/>
      <c r="W61" s="1387"/>
      <c r="X61" s="1447"/>
      <c r="Y61" s="1443"/>
      <c r="Z61" s="1387"/>
      <c r="AA61" s="1447"/>
      <c r="AB61" s="1441"/>
      <c r="AC61" s="1387"/>
      <c r="AD61" s="1387"/>
      <c r="AE61" s="1387"/>
      <c r="AF61" s="1387"/>
      <c r="AG61" s="1387"/>
      <c r="AH61" s="1388"/>
    </row>
    <row r="62" spans="1:34" x14ac:dyDescent="0.2">
      <c r="A62" s="402" t="s">
        <v>7737</v>
      </c>
      <c r="B62" s="1420" t="s">
        <v>1375</v>
      </c>
      <c r="C62" s="20"/>
      <c r="D62" s="400">
        <v>52</v>
      </c>
      <c r="E62" s="1485"/>
      <c r="F62" s="1450"/>
      <c r="G62" s="1450"/>
      <c r="H62" s="1450"/>
      <c r="I62" s="1450"/>
      <c r="J62" s="1486"/>
      <c r="K62" s="1487"/>
      <c r="L62" s="1450"/>
      <c r="M62" s="1488"/>
      <c r="N62" s="1485"/>
      <c r="O62" s="1486"/>
      <c r="P62" s="1487"/>
      <c r="Q62" s="1450"/>
      <c r="R62" s="1488"/>
      <c r="S62" s="1448"/>
      <c r="T62" s="1449"/>
      <c r="U62" s="1450"/>
      <c r="V62" s="1489"/>
      <c r="W62" s="1450"/>
      <c r="X62" s="1488"/>
      <c r="Y62" s="1487"/>
      <c r="Z62" s="1450"/>
      <c r="AA62" s="1488"/>
      <c r="AB62" s="1485"/>
      <c r="AC62" s="1450"/>
      <c r="AD62" s="1450"/>
      <c r="AE62" s="1450"/>
      <c r="AF62" s="1450"/>
      <c r="AG62" s="1450"/>
      <c r="AH62" s="1388"/>
    </row>
    <row r="63" spans="1:34" ht="13.5" thickBot="1" x14ac:dyDescent="0.25">
      <c r="A63" s="402" t="s">
        <v>7738</v>
      </c>
      <c r="B63" s="313" t="s">
        <v>7316</v>
      </c>
      <c r="C63" s="257"/>
      <c r="D63" s="401">
        <v>53</v>
      </c>
      <c r="E63" s="1403"/>
      <c r="F63" s="1404"/>
      <c r="G63" s="1404"/>
      <c r="H63" s="1404"/>
      <c r="I63" s="1404"/>
      <c r="J63" s="1410"/>
      <c r="K63" s="1490"/>
      <c r="L63" s="1404"/>
      <c r="M63" s="1491"/>
      <c r="N63" s="1403"/>
      <c r="O63" s="1410"/>
      <c r="P63" s="1490"/>
      <c r="Q63" s="1404"/>
      <c r="R63" s="1491"/>
      <c r="S63" s="1492"/>
      <c r="T63" s="1493"/>
      <c r="U63" s="1404"/>
      <c r="V63" s="1494"/>
      <c r="W63" s="1404"/>
      <c r="X63" s="1491"/>
      <c r="Y63" s="1490"/>
      <c r="Z63" s="1404"/>
      <c r="AA63" s="1491"/>
      <c r="AB63" s="1403"/>
      <c r="AC63" s="1404"/>
      <c r="AD63" s="1404"/>
      <c r="AE63" s="1404"/>
      <c r="AF63" s="1404"/>
      <c r="AG63" s="1404"/>
      <c r="AH63" s="1396"/>
    </row>
    <row r="64" spans="1:34" ht="13.5" thickTop="1" x14ac:dyDescent="0.2"/>
  </sheetData>
  <mergeCells count="30">
    <mergeCell ref="Y7:Y9"/>
    <mergeCell ref="Z8:Z9"/>
    <mergeCell ref="W8:W9"/>
    <mergeCell ref="AH7:AH9"/>
    <mergeCell ref="AD7:AD9"/>
    <mergeCell ref="AE7:AE9"/>
    <mergeCell ref="AF7:AF9"/>
    <mergeCell ref="AA8:AA9"/>
    <mergeCell ref="AB7:AB9"/>
    <mergeCell ref="AC7:AC9"/>
    <mergeCell ref="AG7:AG9"/>
    <mergeCell ref="E7:E9"/>
    <mergeCell ref="F7:F9"/>
    <mergeCell ref="G7:G9"/>
    <mergeCell ref="H7:H9"/>
    <mergeCell ref="I7:I9"/>
    <mergeCell ref="J7:J9"/>
    <mergeCell ref="R8:R9"/>
    <mergeCell ref="T8:T9"/>
    <mergeCell ref="X8:X9"/>
    <mergeCell ref="P7:P9"/>
    <mergeCell ref="S7:S9"/>
    <mergeCell ref="V7:V9"/>
    <mergeCell ref="L8:L9"/>
    <mergeCell ref="M8:M9"/>
    <mergeCell ref="Q8:Q9"/>
    <mergeCell ref="N7:N9"/>
    <mergeCell ref="O7:O9"/>
    <mergeCell ref="U8:U9"/>
    <mergeCell ref="K7:K9"/>
  </mergeCells>
  <phoneticPr fontId="36" type="noConversion"/>
  <dataValidations count="1">
    <dataValidation type="whole" operator="greaterThanOrEqual" allowBlank="1" showInputMessage="1" showErrorMessage="1" error="Positive whole numbers only / Nombres entiers positifs uniquement" sqref="Y45:AG57 W37:W43 Y37:AG43 Y27:AG33 Y13:AG25 Y59:AG63 E27:W33 E13:W25 E59:W63 E45:W57" xr:uid="{00000000-0002-0000-1900-000000000000}">
      <formula1>0</formula1>
    </dataValidation>
  </dataValidations>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1">
    <tabColor rgb="FFFF6600"/>
  </sheetPr>
  <dimension ref="A1:AH64"/>
  <sheetViews>
    <sheetView workbookViewId="0">
      <pane xSplit="4" ySplit="10" topLeftCell="E11" activePane="bottomRight" state="frozen"/>
      <selection pane="topRight"/>
      <selection pane="bottomLeft"/>
      <selection pane="bottomRight" activeCell="E12" sqref="E12"/>
    </sheetView>
  </sheetViews>
  <sheetFormatPr defaultColWidth="11.42578125" defaultRowHeight="12.75" x14ac:dyDescent="0.2"/>
  <cols>
    <col min="1" max="1" width="13.140625" hidden="1" customWidth="1"/>
    <col min="2" max="2" width="39.42578125" customWidth="1"/>
    <col min="3" max="3" width="1.85546875" customWidth="1"/>
    <col min="4" max="4" width="3.7109375" customWidth="1"/>
    <col min="5" max="11" width="8.7109375" customWidth="1"/>
    <col min="12" max="13" width="9.7109375" customWidth="1"/>
    <col min="14" max="23" width="8.7109375" customWidth="1"/>
    <col min="24" max="24" width="9.140625" customWidth="1"/>
    <col min="25" max="25" width="9.28515625" customWidth="1"/>
    <col min="26" max="26" width="9.85546875" customWidth="1"/>
    <col min="27" max="27" width="10.42578125" customWidth="1"/>
    <col min="28" max="33" width="8.7109375" customWidth="1"/>
    <col min="34" max="34" width="9.85546875" customWidth="1"/>
    <col min="35" max="35" width="3.85546875" customWidth="1"/>
    <col min="36" max="37" width="12.140625" customWidth="1"/>
    <col min="38" max="160" width="11.42578125" customWidth="1"/>
  </cols>
  <sheetData>
    <row r="1" spans="1:34" ht="30" customHeight="1" x14ac:dyDescent="0.2">
      <c r="A1" s="239"/>
      <c r="B1" s="15" t="s">
        <v>7739</v>
      </c>
      <c r="I1" s="310" t="s">
        <v>7740</v>
      </c>
      <c r="V1" s="310" t="s">
        <v>7740</v>
      </c>
      <c r="AB1" s="310"/>
      <c r="AD1" s="310" t="s">
        <v>7740</v>
      </c>
    </row>
    <row r="2" spans="1:34" x14ac:dyDescent="0.2">
      <c r="A2" s="277" t="s">
        <v>7234</v>
      </c>
      <c r="B2" s="2061">
        <f>DataYear</f>
        <v>2019</v>
      </c>
      <c r="G2" s="45"/>
    </row>
    <row r="3" spans="1:34" ht="11.25" customHeight="1" x14ac:dyDescent="0.2">
      <c r="A3" s="20" t="s">
        <v>7393</v>
      </c>
      <c r="B3" s="2060" t="str">
        <f>CountryName</f>
        <v>South Africa</v>
      </c>
      <c r="G3" s="45"/>
    </row>
    <row r="4" spans="1:34" ht="11.25" customHeight="1" x14ac:dyDescent="0.2">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row>
    <row r="5" spans="1:34" ht="12.75" hidden="1" customHeight="1" thickBot="1" x14ac:dyDescent="0.25">
      <c r="S5" s="269" t="s">
        <v>7598</v>
      </c>
      <c r="U5" s="269"/>
      <c r="AA5" s="269" t="s">
        <v>7598</v>
      </c>
      <c r="AH5" s="269" t="s">
        <v>7598</v>
      </c>
    </row>
    <row r="6" spans="1:34" ht="13.5" customHeight="1" thickBot="1" x14ac:dyDescent="0.25">
      <c r="A6" s="276" t="s">
        <v>7233</v>
      </c>
      <c r="E6" s="2153" t="s">
        <v>493</v>
      </c>
      <c r="F6" s="2153" t="s">
        <v>500</v>
      </c>
      <c r="G6" s="2153" t="s">
        <v>531</v>
      </c>
      <c r="H6" s="2153" t="s">
        <v>538</v>
      </c>
      <c r="I6" s="2153" t="s">
        <v>545</v>
      </c>
      <c r="J6" s="2153" t="s">
        <v>601</v>
      </c>
      <c r="K6" s="2153" t="s">
        <v>7000</v>
      </c>
      <c r="L6" s="2153" t="s">
        <v>696</v>
      </c>
      <c r="M6" s="2154" t="s">
        <v>552</v>
      </c>
      <c r="N6" s="2153" t="s">
        <v>559</v>
      </c>
      <c r="O6" s="2153" t="s">
        <v>566</v>
      </c>
      <c r="P6" s="2153" t="s">
        <v>7001</v>
      </c>
      <c r="Q6" s="2153" t="s">
        <v>703</v>
      </c>
      <c r="R6" s="2153" t="s">
        <v>573</v>
      </c>
      <c r="S6" s="2153" t="s">
        <v>580</v>
      </c>
      <c r="T6" s="2154" t="s">
        <v>7599</v>
      </c>
      <c r="U6" s="2153" t="s">
        <v>7600</v>
      </c>
      <c r="V6" s="2155" t="s">
        <v>7002</v>
      </c>
      <c r="W6" s="2154" t="s">
        <v>710</v>
      </c>
      <c r="X6" s="2154" t="s">
        <v>587</v>
      </c>
      <c r="Y6" s="2155" t="s">
        <v>594</v>
      </c>
      <c r="Z6" s="2153" t="s">
        <v>7601</v>
      </c>
      <c r="AA6" s="2153" t="s">
        <v>7602</v>
      </c>
      <c r="AB6" s="2153" t="s">
        <v>608</v>
      </c>
      <c r="AC6" s="2153" t="s">
        <v>615</v>
      </c>
      <c r="AD6" s="2153" t="s">
        <v>622</v>
      </c>
      <c r="AE6" s="2153" t="s">
        <v>629</v>
      </c>
      <c r="AF6" s="2153" t="s">
        <v>636</v>
      </c>
      <c r="AG6" s="2153" t="s">
        <v>7603</v>
      </c>
      <c r="AH6" s="2153" t="s">
        <v>7604</v>
      </c>
    </row>
    <row r="7" spans="1:34" ht="13.5" thickTop="1" x14ac:dyDescent="0.2">
      <c r="B7" s="20"/>
      <c r="C7" s="20"/>
      <c r="D7" s="247"/>
      <c r="E7" s="2353" t="s">
        <v>7605</v>
      </c>
      <c r="F7" s="2356" t="s">
        <v>7606</v>
      </c>
      <c r="G7" s="2356" t="s">
        <v>7607</v>
      </c>
      <c r="H7" s="2356" t="s">
        <v>539</v>
      </c>
      <c r="I7" s="2356" t="s">
        <v>545</v>
      </c>
      <c r="J7" s="2332" t="s">
        <v>602</v>
      </c>
      <c r="K7" s="2339" t="s">
        <v>7608</v>
      </c>
      <c r="L7" s="327"/>
      <c r="M7" s="340"/>
      <c r="N7" s="2350" t="s">
        <v>7609</v>
      </c>
      <c r="O7" s="2332" t="s">
        <v>7610</v>
      </c>
      <c r="P7" s="2339" t="s">
        <v>7611</v>
      </c>
      <c r="Q7" s="327"/>
      <c r="R7" s="340"/>
      <c r="S7" s="2342" t="s">
        <v>7612</v>
      </c>
      <c r="T7" s="345"/>
      <c r="U7" s="330"/>
      <c r="V7" s="2345" t="s">
        <v>7613</v>
      </c>
      <c r="W7" s="327"/>
      <c r="X7" s="346"/>
      <c r="Y7" s="2339" t="s">
        <v>7614</v>
      </c>
      <c r="Z7" s="327"/>
      <c r="AA7" s="340"/>
      <c r="AB7" s="2350" t="s">
        <v>7615</v>
      </c>
      <c r="AC7" s="2356" t="s">
        <v>616</v>
      </c>
      <c r="AD7" s="2356" t="s">
        <v>623</v>
      </c>
      <c r="AE7" s="2356" t="s">
        <v>7616</v>
      </c>
      <c r="AF7" s="2356" t="s">
        <v>7617</v>
      </c>
      <c r="AG7" s="2356" t="s">
        <v>7618</v>
      </c>
      <c r="AH7" s="2359" t="s">
        <v>7619</v>
      </c>
    </row>
    <row r="8" spans="1:34" x14ac:dyDescent="0.2">
      <c r="A8" s="215" t="s">
        <v>7235</v>
      </c>
      <c r="B8" s="20"/>
      <c r="C8" s="20"/>
      <c r="D8" s="247"/>
      <c r="E8" s="2354"/>
      <c r="F8" s="2357"/>
      <c r="G8" s="2357"/>
      <c r="H8" s="2357"/>
      <c r="I8" s="2357"/>
      <c r="J8" s="2333"/>
      <c r="K8" s="2340"/>
      <c r="L8" s="2348" t="s">
        <v>697</v>
      </c>
      <c r="M8" s="2335" t="s">
        <v>7620</v>
      </c>
      <c r="N8" s="2351"/>
      <c r="O8" s="2333"/>
      <c r="P8" s="2340"/>
      <c r="Q8" s="2348" t="s">
        <v>704</v>
      </c>
      <c r="R8" s="2335" t="s">
        <v>7621</v>
      </c>
      <c r="S8" s="2343"/>
      <c r="T8" s="2337" t="s">
        <v>7622</v>
      </c>
      <c r="U8" s="2348" t="s">
        <v>7623</v>
      </c>
      <c r="V8" s="2346"/>
      <c r="W8" s="2348" t="s">
        <v>7624</v>
      </c>
      <c r="X8" s="2335" t="s">
        <v>7625</v>
      </c>
      <c r="Y8" s="2340"/>
      <c r="Z8" s="2348" t="s">
        <v>7626</v>
      </c>
      <c r="AA8" s="2335" t="s">
        <v>7627</v>
      </c>
      <c r="AB8" s="2351"/>
      <c r="AC8" s="2357"/>
      <c r="AD8" s="2357"/>
      <c r="AE8" s="2357"/>
      <c r="AF8" s="2357"/>
      <c r="AG8" s="2357"/>
      <c r="AH8" s="2360"/>
    </row>
    <row r="9" spans="1:34" ht="32.25" customHeight="1" x14ac:dyDescent="0.2">
      <c r="B9" s="20"/>
      <c r="C9" s="20"/>
      <c r="D9" s="247"/>
      <c r="E9" s="2355"/>
      <c r="F9" s="2358"/>
      <c r="G9" s="2358"/>
      <c r="H9" s="2358"/>
      <c r="I9" s="2358"/>
      <c r="J9" s="2334"/>
      <c r="K9" s="2341"/>
      <c r="L9" s="2349"/>
      <c r="M9" s="2336"/>
      <c r="N9" s="2352"/>
      <c r="O9" s="2334"/>
      <c r="P9" s="2341"/>
      <c r="Q9" s="2349"/>
      <c r="R9" s="2336"/>
      <c r="S9" s="2344"/>
      <c r="T9" s="2338"/>
      <c r="U9" s="2349"/>
      <c r="V9" s="2347"/>
      <c r="W9" s="2349"/>
      <c r="X9" s="2336"/>
      <c r="Y9" s="2341"/>
      <c r="Z9" s="2349"/>
      <c r="AA9" s="2336"/>
      <c r="AB9" s="2352"/>
      <c r="AC9" s="2358"/>
      <c r="AD9" s="2358"/>
      <c r="AE9" s="2358"/>
      <c r="AF9" s="2358"/>
      <c r="AG9" s="2358"/>
      <c r="AH9" s="2361"/>
    </row>
    <row r="10" spans="1:34" ht="13.5" thickBot="1" x14ac:dyDescent="0.25">
      <c r="A10" s="20"/>
      <c r="B10" s="251"/>
      <c r="C10" s="251"/>
      <c r="D10" s="252"/>
      <c r="E10" s="253" t="s">
        <v>7239</v>
      </c>
      <c r="F10" s="254" t="s">
        <v>7240</v>
      </c>
      <c r="G10" s="254" t="s">
        <v>7241</v>
      </c>
      <c r="H10" s="254" t="s">
        <v>7242</v>
      </c>
      <c r="I10" s="254" t="s">
        <v>7243</v>
      </c>
      <c r="J10" s="254" t="s">
        <v>7244</v>
      </c>
      <c r="K10" s="341" t="s">
        <v>7245</v>
      </c>
      <c r="L10" s="254" t="s">
        <v>7246</v>
      </c>
      <c r="M10" s="342" t="s">
        <v>7247</v>
      </c>
      <c r="N10" s="253" t="s">
        <v>7248</v>
      </c>
      <c r="O10" s="254" t="s">
        <v>7249</v>
      </c>
      <c r="P10" s="341" t="s">
        <v>7250</v>
      </c>
      <c r="Q10" s="254" t="s">
        <v>7251</v>
      </c>
      <c r="R10" s="342" t="s">
        <v>7252</v>
      </c>
      <c r="S10" s="253" t="s">
        <v>7253</v>
      </c>
      <c r="T10" s="347" t="s">
        <v>7254</v>
      </c>
      <c r="U10" s="328" t="s">
        <v>7255</v>
      </c>
      <c r="V10" s="329" t="s">
        <v>7628</v>
      </c>
      <c r="W10" s="253" t="s">
        <v>7629</v>
      </c>
      <c r="X10" s="342" t="s">
        <v>7630</v>
      </c>
      <c r="Y10" s="349" t="s">
        <v>7631</v>
      </c>
      <c r="Z10" s="254" t="s">
        <v>7632</v>
      </c>
      <c r="AA10" s="342" t="s">
        <v>7633</v>
      </c>
      <c r="AB10" s="253" t="s">
        <v>7634</v>
      </c>
      <c r="AC10" s="254" t="s">
        <v>7635</v>
      </c>
      <c r="AD10" s="254" t="s">
        <v>7636</v>
      </c>
      <c r="AE10" s="254" t="s">
        <v>7637</v>
      </c>
      <c r="AF10" s="254" t="s">
        <v>7638</v>
      </c>
      <c r="AG10" s="254" t="s">
        <v>7639</v>
      </c>
      <c r="AH10" s="255" t="s">
        <v>7640</v>
      </c>
    </row>
    <row r="11" spans="1:34" ht="14.25" thickTop="1" thickBot="1" x14ac:dyDescent="0.25">
      <c r="A11" s="402" t="s">
        <v>7741</v>
      </c>
      <c r="B11" s="1418" t="s">
        <v>7742</v>
      </c>
      <c r="C11" s="380"/>
      <c r="D11" s="396">
        <v>1</v>
      </c>
      <c r="E11" s="381"/>
      <c r="F11" s="381"/>
      <c r="G11" s="381"/>
      <c r="H11" s="381"/>
      <c r="I11" s="381"/>
      <c r="J11" s="403"/>
      <c r="K11" s="410"/>
      <c r="L11" s="381"/>
      <c r="M11" s="411"/>
      <c r="N11" s="1495"/>
      <c r="O11" s="1496"/>
      <c r="P11" s="1497"/>
      <c r="Q11" s="1498"/>
      <c r="R11" s="1499"/>
      <c r="S11" s="1500"/>
      <c r="T11" s="1501"/>
      <c r="U11" s="1498"/>
      <c r="V11" s="1502"/>
      <c r="W11" s="1498"/>
      <c r="X11" s="1499"/>
      <c r="Y11" s="1497"/>
      <c r="Z11" s="1498"/>
      <c r="AA11" s="1499"/>
      <c r="AB11" s="1495"/>
      <c r="AC11" s="1498"/>
      <c r="AD11" s="1498"/>
      <c r="AE11" s="1498"/>
      <c r="AF11" s="1498"/>
      <c r="AG11" s="1498"/>
      <c r="AH11" s="1503"/>
    </row>
    <row r="12" spans="1:34" x14ac:dyDescent="0.2">
      <c r="A12" s="402" t="s">
        <v>7743</v>
      </c>
      <c r="B12" s="1419" t="s">
        <v>7399</v>
      </c>
      <c r="C12" s="382"/>
      <c r="D12" s="397">
        <v>2</v>
      </c>
      <c r="E12" s="383"/>
      <c r="F12" s="384"/>
      <c r="G12" s="384"/>
      <c r="H12" s="384"/>
      <c r="I12" s="384"/>
      <c r="J12" s="404"/>
      <c r="K12" s="412"/>
      <c r="L12" s="384"/>
      <c r="M12" s="413"/>
      <c r="N12" s="1504"/>
      <c r="O12" s="1505"/>
      <c r="P12" s="1506"/>
      <c r="Q12" s="1507"/>
      <c r="R12" s="1508"/>
      <c r="S12" s="1509"/>
      <c r="T12" s="1510"/>
      <c r="U12" s="1507"/>
      <c r="V12" s="1511"/>
      <c r="W12" s="1507"/>
      <c r="X12" s="1508"/>
      <c r="Y12" s="1506"/>
      <c r="Z12" s="1507"/>
      <c r="AA12" s="1508"/>
      <c r="AB12" s="1504"/>
      <c r="AC12" s="1507"/>
      <c r="AD12" s="1507"/>
      <c r="AE12" s="1507"/>
      <c r="AF12" s="1507"/>
      <c r="AG12" s="1507"/>
      <c r="AH12" s="1512"/>
    </row>
    <row r="13" spans="1:34" x14ac:dyDescent="0.2">
      <c r="A13" s="424" t="s">
        <v>7744</v>
      </c>
      <c r="B13" s="312" t="s">
        <v>7278</v>
      </c>
      <c r="C13" s="256"/>
      <c r="D13" s="374">
        <v>3</v>
      </c>
      <c r="E13" s="305"/>
      <c r="F13" s="305"/>
      <c r="G13" s="305"/>
      <c r="H13" s="305"/>
      <c r="I13" s="305"/>
      <c r="J13" s="344"/>
      <c r="K13" s="350"/>
      <c r="L13" s="305"/>
      <c r="M13" s="348"/>
      <c r="N13" s="1513"/>
      <c r="O13" s="1514"/>
      <c r="P13" s="1515"/>
      <c r="Q13" s="1513"/>
      <c r="R13" s="1516"/>
      <c r="S13" s="1514"/>
      <c r="T13" s="1517"/>
      <c r="U13" s="1518"/>
      <c r="V13" s="1519"/>
      <c r="W13" s="1518"/>
      <c r="X13" s="1516"/>
      <c r="Y13" s="1515"/>
      <c r="Z13" s="1518"/>
      <c r="AA13" s="1520"/>
      <c r="AB13" s="1513"/>
      <c r="AC13" s="1518"/>
      <c r="AD13" s="1518"/>
      <c r="AE13" s="1518"/>
      <c r="AF13" s="1518"/>
      <c r="AG13" s="1518"/>
      <c r="AH13" s="1521"/>
    </row>
    <row r="14" spans="1:34" x14ac:dyDescent="0.2">
      <c r="A14" s="424" t="s">
        <v>7745</v>
      </c>
      <c r="B14" s="312" t="s">
        <v>7281</v>
      </c>
      <c r="C14" s="256"/>
      <c r="D14" s="374">
        <v>4</v>
      </c>
      <c r="E14" s="305"/>
      <c r="F14" s="305"/>
      <c r="G14" s="305"/>
      <c r="H14" s="305"/>
      <c r="I14" s="305"/>
      <c r="J14" s="344"/>
      <c r="K14" s="350"/>
      <c r="L14" s="305"/>
      <c r="M14" s="348"/>
      <c r="N14" s="1513"/>
      <c r="O14" s="1514"/>
      <c r="P14" s="1515"/>
      <c r="Q14" s="1513"/>
      <c r="R14" s="1516"/>
      <c r="S14" s="1514"/>
      <c r="T14" s="1517"/>
      <c r="U14" s="1518"/>
      <c r="V14" s="1519"/>
      <c r="W14" s="1518"/>
      <c r="X14" s="1516"/>
      <c r="Y14" s="1515"/>
      <c r="Z14" s="1518"/>
      <c r="AA14" s="1520"/>
      <c r="AB14" s="1513"/>
      <c r="AC14" s="1518"/>
      <c r="AD14" s="1518"/>
      <c r="AE14" s="1518"/>
      <c r="AF14" s="1518"/>
      <c r="AG14" s="1518"/>
      <c r="AH14" s="1521"/>
    </row>
    <row r="15" spans="1:34" x14ac:dyDescent="0.2">
      <c r="A15" s="424" t="s">
        <v>7746</v>
      </c>
      <c r="B15" s="312" t="s">
        <v>7279</v>
      </c>
      <c r="C15" s="256"/>
      <c r="D15" s="374">
        <v>5</v>
      </c>
      <c r="E15" s="305"/>
      <c r="F15" s="305"/>
      <c r="G15" s="305"/>
      <c r="H15" s="305"/>
      <c r="I15" s="305"/>
      <c r="J15" s="344"/>
      <c r="K15" s="350"/>
      <c r="L15" s="305"/>
      <c r="M15" s="348"/>
      <c r="N15" s="1513"/>
      <c r="O15" s="1514"/>
      <c r="P15" s="1515"/>
      <c r="Q15" s="1513"/>
      <c r="R15" s="1516"/>
      <c r="S15" s="1514"/>
      <c r="T15" s="1517"/>
      <c r="U15" s="1518"/>
      <c r="V15" s="1519"/>
      <c r="W15" s="1518"/>
      <c r="X15" s="1516"/>
      <c r="Y15" s="1515"/>
      <c r="Z15" s="1518"/>
      <c r="AA15" s="1520"/>
      <c r="AB15" s="1513"/>
      <c r="AC15" s="1518"/>
      <c r="AD15" s="1518"/>
      <c r="AE15" s="1518"/>
      <c r="AF15" s="1518"/>
      <c r="AG15" s="1518"/>
      <c r="AH15" s="1521"/>
    </row>
    <row r="16" spans="1:34" x14ac:dyDescent="0.2">
      <c r="A16" s="424" t="s">
        <v>7747</v>
      </c>
      <c r="B16" s="312" t="s">
        <v>7282</v>
      </c>
      <c r="C16" s="256"/>
      <c r="D16" s="374">
        <v>6</v>
      </c>
      <c r="E16" s="305"/>
      <c r="F16" s="305"/>
      <c r="G16" s="305"/>
      <c r="H16" s="305"/>
      <c r="I16" s="305"/>
      <c r="J16" s="344"/>
      <c r="K16" s="350"/>
      <c r="L16" s="305"/>
      <c r="M16" s="348"/>
      <c r="N16" s="1513"/>
      <c r="O16" s="1514"/>
      <c r="P16" s="1515"/>
      <c r="Q16" s="1513"/>
      <c r="R16" s="1516"/>
      <c r="S16" s="1514"/>
      <c r="T16" s="1517"/>
      <c r="U16" s="1518"/>
      <c r="V16" s="1519"/>
      <c r="W16" s="1518"/>
      <c r="X16" s="1516"/>
      <c r="Y16" s="1515"/>
      <c r="Z16" s="1518"/>
      <c r="AA16" s="1520"/>
      <c r="AB16" s="1513"/>
      <c r="AC16" s="1518"/>
      <c r="AD16" s="1518"/>
      <c r="AE16" s="1518"/>
      <c r="AF16" s="1518"/>
      <c r="AG16" s="1518"/>
      <c r="AH16" s="1521"/>
    </row>
    <row r="17" spans="1:34" x14ac:dyDescent="0.2">
      <c r="A17" s="424" t="s">
        <v>7748</v>
      </c>
      <c r="B17" s="312" t="s">
        <v>7280</v>
      </c>
      <c r="C17" s="256"/>
      <c r="D17" s="374">
        <v>7</v>
      </c>
      <c r="E17" s="305"/>
      <c r="F17" s="305"/>
      <c r="G17" s="305"/>
      <c r="H17" s="305"/>
      <c r="I17" s="305"/>
      <c r="J17" s="344"/>
      <c r="K17" s="350"/>
      <c r="L17" s="305"/>
      <c r="M17" s="348"/>
      <c r="N17" s="1513"/>
      <c r="O17" s="1514"/>
      <c r="P17" s="1515"/>
      <c r="Q17" s="1513"/>
      <c r="R17" s="1516"/>
      <c r="S17" s="1514"/>
      <c r="T17" s="1517"/>
      <c r="U17" s="1518"/>
      <c r="V17" s="1519"/>
      <c r="W17" s="1518"/>
      <c r="X17" s="1516"/>
      <c r="Y17" s="1515"/>
      <c r="Z17" s="1518"/>
      <c r="AA17" s="1520"/>
      <c r="AB17" s="1513"/>
      <c r="AC17" s="1518"/>
      <c r="AD17" s="1518"/>
      <c r="AE17" s="1518"/>
      <c r="AF17" s="1518"/>
      <c r="AG17" s="1518"/>
      <c r="AH17" s="1521"/>
    </row>
    <row r="18" spans="1:34" x14ac:dyDescent="0.2">
      <c r="A18" s="424" t="s">
        <v>7749</v>
      </c>
      <c r="B18" s="312" t="s">
        <v>7283</v>
      </c>
      <c r="C18" s="256"/>
      <c r="D18" s="374">
        <v>8</v>
      </c>
      <c r="E18" s="305"/>
      <c r="F18" s="305"/>
      <c r="G18" s="305"/>
      <c r="H18" s="305"/>
      <c r="I18" s="305"/>
      <c r="J18" s="344"/>
      <c r="K18" s="350"/>
      <c r="L18" s="305"/>
      <c r="M18" s="348"/>
      <c r="N18" s="1513"/>
      <c r="O18" s="1514"/>
      <c r="P18" s="1515"/>
      <c r="Q18" s="1513"/>
      <c r="R18" s="1516"/>
      <c r="S18" s="1514"/>
      <c r="T18" s="1517"/>
      <c r="U18" s="1518"/>
      <c r="V18" s="1519"/>
      <c r="W18" s="1518"/>
      <c r="X18" s="1516"/>
      <c r="Y18" s="1515"/>
      <c r="Z18" s="1518"/>
      <c r="AA18" s="1520"/>
      <c r="AB18" s="1513"/>
      <c r="AC18" s="1518"/>
      <c r="AD18" s="1518"/>
      <c r="AE18" s="1518"/>
      <c r="AF18" s="1518"/>
      <c r="AG18" s="1518"/>
      <c r="AH18" s="1521"/>
    </row>
    <row r="19" spans="1:34" x14ac:dyDescent="0.2">
      <c r="A19" s="424" t="s">
        <v>7750</v>
      </c>
      <c r="B19" s="312" t="s">
        <v>7287</v>
      </c>
      <c r="C19" s="256"/>
      <c r="D19" s="374">
        <v>9</v>
      </c>
      <c r="E19" s="305"/>
      <c r="F19" s="305"/>
      <c r="G19" s="305"/>
      <c r="H19" s="305"/>
      <c r="I19" s="305"/>
      <c r="J19" s="344"/>
      <c r="K19" s="350"/>
      <c r="L19" s="305"/>
      <c r="M19" s="348"/>
      <c r="N19" s="1513"/>
      <c r="O19" s="1514"/>
      <c r="P19" s="1515"/>
      <c r="Q19" s="1513"/>
      <c r="R19" s="1516"/>
      <c r="S19" s="1514"/>
      <c r="T19" s="1517"/>
      <c r="U19" s="1518"/>
      <c r="V19" s="1519"/>
      <c r="W19" s="1518"/>
      <c r="X19" s="1516"/>
      <c r="Y19" s="1515"/>
      <c r="Z19" s="1518"/>
      <c r="AA19" s="1520"/>
      <c r="AB19" s="1513"/>
      <c r="AC19" s="1518"/>
      <c r="AD19" s="1518"/>
      <c r="AE19" s="1518"/>
      <c r="AF19" s="1518"/>
      <c r="AG19" s="1518"/>
      <c r="AH19" s="1521"/>
    </row>
    <row r="20" spans="1:34" x14ac:dyDescent="0.2">
      <c r="A20" s="424" t="s">
        <v>7751</v>
      </c>
      <c r="B20" s="312" t="s">
        <v>1059</v>
      </c>
      <c r="C20" s="256"/>
      <c r="D20" s="374">
        <v>10</v>
      </c>
      <c r="E20" s="305"/>
      <c r="F20" s="305"/>
      <c r="G20" s="305"/>
      <c r="H20" s="305"/>
      <c r="I20" s="305"/>
      <c r="J20" s="344"/>
      <c r="K20" s="350"/>
      <c r="L20" s="305"/>
      <c r="M20" s="348"/>
      <c r="N20" s="1513"/>
      <c r="O20" s="1514"/>
      <c r="P20" s="1515"/>
      <c r="Q20" s="1513"/>
      <c r="R20" s="1516"/>
      <c r="S20" s="1514"/>
      <c r="T20" s="1517"/>
      <c r="U20" s="1518"/>
      <c r="V20" s="1519"/>
      <c r="W20" s="1518"/>
      <c r="X20" s="1516"/>
      <c r="Y20" s="1515"/>
      <c r="Z20" s="1518"/>
      <c r="AA20" s="1520"/>
      <c r="AB20" s="1513"/>
      <c r="AC20" s="1518"/>
      <c r="AD20" s="1518"/>
      <c r="AE20" s="1518"/>
      <c r="AF20" s="1518"/>
      <c r="AG20" s="1518"/>
      <c r="AH20" s="1521"/>
    </row>
    <row r="21" spans="1:34" x14ac:dyDescent="0.2">
      <c r="A21" s="424" t="s">
        <v>7752</v>
      </c>
      <c r="B21" s="312" t="s">
        <v>7285</v>
      </c>
      <c r="C21" s="256"/>
      <c r="D21" s="374">
        <v>11</v>
      </c>
      <c r="E21" s="305"/>
      <c r="F21" s="305"/>
      <c r="G21" s="305"/>
      <c r="H21" s="305"/>
      <c r="I21" s="305"/>
      <c r="J21" s="344"/>
      <c r="K21" s="350"/>
      <c r="L21" s="305"/>
      <c r="M21" s="348"/>
      <c r="N21" s="1513"/>
      <c r="O21" s="1514"/>
      <c r="P21" s="1515"/>
      <c r="Q21" s="1513"/>
      <c r="R21" s="1516"/>
      <c r="S21" s="1514"/>
      <c r="T21" s="1517"/>
      <c r="U21" s="1518"/>
      <c r="V21" s="1519"/>
      <c r="W21" s="1518"/>
      <c r="X21" s="1516"/>
      <c r="Y21" s="1515"/>
      <c r="Z21" s="1518"/>
      <c r="AA21" s="1520"/>
      <c r="AB21" s="1513"/>
      <c r="AC21" s="1518"/>
      <c r="AD21" s="1518"/>
      <c r="AE21" s="1518"/>
      <c r="AF21" s="1518"/>
      <c r="AG21" s="1518"/>
      <c r="AH21" s="1521"/>
    </row>
    <row r="22" spans="1:34" x14ac:dyDescent="0.2">
      <c r="A22" s="424" t="s">
        <v>7753</v>
      </c>
      <c r="B22" s="312" t="s">
        <v>7288</v>
      </c>
      <c r="C22" s="256"/>
      <c r="D22" s="374">
        <v>12</v>
      </c>
      <c r="E22" s="305"/>
      <c r="F22" s="305"/>
      <c r="G22" s="305"/>
      <c r="H22" s="305"/>
      <c r="I22" s="305"/>
      <c r="J22" s="344"/>
      <c r="K22" s="350"/>
      <c r="L22" s="305"/>
      <c r="M22" s="348"/>
      <c r="N22" s="1513"/>
      <c r="O22" s="1514"/>
      <c r="P22" s="1515"/>
      <c r="Q22" s="1513"/>
      <c r="R22" s="1516"/>
      <c r="S22" s="1514"/>
      <c r="T22" s="1517"/>
      <c r="U22" s="1518"/>
      <c r="V22" s="1519"/>
      <c r="W22" s="1518"/>
      <c r="X22" s="1516"/>
      <c r="Y22" s="1515"/>
      <c r="Z22" s="1518"/>
      <c r="AA22" s="1520"/>
      <c r="AB22" s="1513"/>
      <c r="AC22" s="1518"/>
      <c r="AD22" s="1518"/>
      <c r="AE22" s="1518"/>
      <c r="AF22" s="1518"/>
      <c r="AG22" s="1518"/>
      <c r="AH22" s="1521"/>
    </row>
    <row r="23" spans="1:34" x14ac:dyDescent="0.2">
      <c r="A23" s="424" t="s">
        <v>7754</v>
      </c>
      <c r="B23" s="312" t="s">
        <v>7694</v>
      </c>
      <c r="C23" s="256"/>
      <c r="D23" s="374">
        <v>13</v>
      </c>
      <c r="E23" s="305"/>
      <c r="F23" s="305"/>
      <c r="G23" s="305"/>
      <c r="H23" s="305"/>
      <c r="I23" s="305"/>
      <c r="J23" s="344"/>
      <c r="K23" s="350"/>
      <c r="L23" s="305"/>
      <c r="M23" s="348"/>
      <c r="N23" s="1513"/>
      <c r="O23" s="1514"/>
      <c r="P23" s="1515"/>
      <c r="Q23" s="1513"/>
      <c r="R23" s="1516"/>
      <c r="S23" s="1514"/>
      <c r="T23" s="1517"/>
      <c r="U23" s="1518"/>
      <c r="V23" s="1519"/>
      <c r="W23" s="1518"/>
      <c r="X23" s="1516"/>
      <c r="Y23" s="1515"/>
      <c r="Z23" s="1518"/>
      <c r="AA23" s="1520"/>
      <c r="AB23" s="1513"/>
      <c r="AC23" s="1518"/>
      <c r="AD23" s="1518"/>
      <c r="AE23" s="1518"/>
      <c r="AF23" s="1518"/>
      <c r="AG23" s="1518"/>
      <c r="AH23" s="1521"/>
    </row>
    <row r="24" spans="1:34" x14ac:dyDescent="0.2">
      <c r="A24" s="424" t="s">
        <v>7755</v>
      </c>
      <c r="B24" s="1420" t="s">
        <v>7284</v>
      </c>
      <c r="C24" s="386"/>
      <c r="D24" s="374">
        <v>14</v>
      </c>
      <c r="E24" s="305"/>
      <c r="F24" s="305"/>
      <c r="G24" s="305"/>
      <c r="H24" s="305"/>
      <c r="I24" s="305"/>
      <c r="J24" s="344"/>
      <c r="K24" s="350"/>
      <c r="L24" s="305"/>
      <c r="M24" s="348"/>
      <c r="N24" s="1513"/>
      <c r="O24" s="1514"/>
      <c r="P24" s="1515"/>
      <c r="Q24" s="1513"/>
      <c r="R24" s="1516"/>
      <c r="S24" s="1522"/>
      <c r="T24" s="1523"/>
      <c r="U24" s="1524"/>
      <c r="V24" s="1519"/>
      <c r="W24" s="1518"/>
      <c r="X24" s="1516"/>
      <c r="Y24" s="1515"/>
      <c r="Z24" s="1518"/>
      <c r="AA24" s="1520"/>
      <c r="AB24" s="1513"/>
      <c r="AC24" s="1518"/>
      <c r="AD24" s="1518"/>
      <c r="AE24" s="1518"/>
      <c r="AF24" s="1518"/>
      <c r="AG24" s="1518"/>
      <c r="AH24" s="1521"/>
    </row>
    <row r="25" spans="1:34" ht="13.5" thickBot="1" x14ac:dyDescent="0.25">
      <c r="A25" s="424" t="s">
        <v>7756</v>
      </c>
      <c r="B25" s="1421" t="s">
        <v>7290</v>
      </c>
      <c r="C25" s="388"/>
      <c r="D25" s="398">
        <v>15</v>
      </c>
      <c r="E25" s="389"/>
      <c r="F25" s="378"/>
      <c r="G25" s="378"/>
      <c r="H25" s="378"/>
      <c r="I25" s="378"/>
      <c r="J25" s="405"/>
      <c r="K25" s="422"/>
      <c r="L25" s="378"/>
      <c r="M25" s="414"/>
      <c r="N25" s="1525"/>
      <c r="O25" s="1526"/>
      <c r="P25" s="1527"/>
      <c r="Q25" s="1525"/>
      <c r="R25" s="1528"/>
      <c r="S25" s="1526"/>
      <c r="T25" s="1529"/>
      <c r="U25" s="1530"/>
      <c r="V25" s="1531"/>
      <c r="W25" s="1530"/>
      <c r="X25" s="1528"/>
      <c r="Y25" s="1527"/>
      <c r="Z25" s="1530"/>
      <c r="AA25" s="1532"/>
      <c r="AB25" s="1525"/>
      <c r="AC25" s="1530"/>
      <c r="AD25" s="1530"/>
      <c r="AE25" s="1530"/>
      <c r="AF25" s="1530"/>
      <c r="AG25" s="1530"/>
      <c r="AH25" s="1533"/>
    </row>
    <row r="26" spans="1:34" x14ac:dyDescent="0.2">
      <c r="A26" s="402" t="s">
        <v>7757</v>
      </c>
      <c r="B26" s="1419" t="s">
        <v>7436</v>
      </c>
      <c r="C26" s="382"/>
      <c r="D26" s="397">
        <v>16</v>
      </c>
      <c r="E26" s="383"/>
      <c r="F26" s="384"/>
      <c r="G26" s="384"/>
      <c r="H26" s="384"/>
      <c r="I26" s="384"/>
      <c r="J26" s="404"/>
      <c r="K26" s="412"/>
      <c r="L26" s="384"/>
      <c r="M26" s="413"/>
      <c r="N26" s="1504"/>
      <c r="O26" s="1505"/>
      <c r="P26" s="1506"/>
      <c r="Q26" s="1507"/>
      <c r="R26" s="1508"/>
      <c r="S26" s="1509"/>
      <c r="T26" s="1510"/>
      <c r="U26" s="1507"/>
      <c r="V26" s="1511"/>
      <c r="W26" s="1507"/>
      <c r="X26" s="1508"/>
      <c r="Y26" s="1506"/>
      <c r="Z26" s="1507"/>
      <c r="AA26" s="1508"/>
      <c r="AB26" s="1504"/>
      <c r="AC26" s="1507"/>
      <c r="AD26" s="1507"/>
      <c r="AE26" s="1507"/>
      <c r="AF26" s="1507"/>
      <c r="AG26" s="1507"/>
      <c r="AH26" s="1512"/>
    </row>
    <row r="27" spans="1:34" x14ac:dyDescent="0.2">
      <c r="A27" s="424" t="s">
        <v>7758</v>
      </c>
      <c r="B27" s="312" t="s">
        <v>1090</v>
      </c>
      <c r="C27" s="256"/>
      <c r="D27" s="374">
        <v>17</v>
      </c>
      <c r="E27" s="305"/>
      <c r="F27" s="238"/>
      <c r="G27" s="238"/>
      <c r="H27" s="238"/>
      <c r="I27" s="238"/>
      <c r="J27" s="301"/>
      <c r="K27" s="350"/>
      <c r="L27" s="238"/>
      <c r="M27" s="343"/>
      <c r="N27" s="1513"/>
      <c r="O27" s="1534"/>
      <c r="P27" s="1515"/>
      <c r="Q27" s="1518"/>
      <c r="R27" s="1520"/>
      <c r="S27" s="1514"/>
      <c r="T27" s="1517"/>
      <c r="U27" s="1518"/>
      <c r="V27" s="1535"/>
      <c r="W27" s="1518"/>
      <c r="X27" s="1520"/>
      <c r="Y27" s="1515"/>
      <c r="Z27" s="1518"/>
      <c r="AA27" s="1520"/>
      <c r="AB27" s="1513"/>
      <c r="AC27" s="1518"/>
      <c r="AD27" s="1518"/>
      <c r="AE27" s="1518"/>
      <c r="AF27" s="1518"/>
      <c r="AG27" s="1518"/>
      <c r="AH27" s="1521"/>
    </row>
    <row r="28" spans="1:34" x14ac:dyDescent="0.2">
      <c r="A28" s="424" t="s">
        <v>7759</v>
      </c>
      <c r="B28" s="312" t="s">
        <v>1097</v>
      </c>
      <c r="C28" s="256"/>
      <c r="D28" s="374">
        <v>18</v>
      </c>
      <c r="E28" s="305"/>
      <c r="F28" s="238"/>
      <c r="G28" s="238"/>
      <c r="H28" s="238"/>
      <c r="I28" s="238"/>
      <c r="J28" s="301"/>
      <c r="K28" s="350"/>
      <c r="L28" s="238"/>
      <c r="M28" s="343"/>
      <c r="N28" s="1513"/>
      <c r="O28" s="1534"/>
      <c r="P28" s="1515"/>
      <c r="Q28" s="1518"/>
      <c r="R28" s="1520"/>
      <c r="S28" s="1514"/>
      <c r="T28" s="1517"/>
      <c r="U28" s="1518"/>
      <c r="V28" s="1535"/>
      <c r="W28" s="1518"/>
      <c r="X28" s="1520"/>
      <c r="Y28" s="1515"/>
      <c r="Z28" s="1518"/>
      <c r="AA28" s="1520"/>
      <c r="AB28" s="1513"/>
      <c r="AC28" s="1518"/>
      <c r="AD28" s="1518"/>
      <c r="AE28" s="1518"/>
      <c r="AF28" s="1518"/>
      <c r="AG28" s="1518"/>
      <c r="AH28" s="1521"/>
    </row>
    <row r="29" spans="1:34" x14ac:dyDescent="0.2">
      <c r="A29" s="424" t="s">
        <v>7760</v>
      </c>
      <c r="B29" s="312" t="s">
        <v>7295</v>
      </c>
      <c r="C29" s="256"/>
      <c r="D29" s="374">
        <v>19</v>
      </c>
      <c r="E29" s="305"/>
      <c r="F29" s="238"/>
      <c r="G29" s="238"/>
      <c r="H29" s="238"/>
      <c r="I29" s="238"/>
      <c r="J29" s="301"/>
      <c r="K29" s="350"/>
      <c r="L29" s="238"/>
      <c r="M29" s="343"/>
      <c r="N29" s="1513"/>
      <c r="O29" s="1534"/>
      <c r="P29" s="1515"/>
      <c r="Q29" s="1518"/>
      <c r="R29" s="1520"/>
      <c r="S29" s="1514"/>
      <c r="T29" s="1517"/>
      <c r="U29" s="1518"/>
      <c r="V29" s="1535"/>
      <c r="W29" s="1518"/>
      <c r="X29" s="1520"/>
      <c r="Y29" s="1515"/>
      <c r="Z29" s="1518"/>
      <c r="AA29" s="1520"/>
      <c r="AB29" s="1513"/>
      <c r="AC29" s="1518"/>
      <c r="AD29" s="1518"/>
      <c r="AE29" s="1518"/>
      <c r="AF29" s="1518"/>
      <c r="AG29" s="1518"/>
      <c r="AH29" s="1521"/>
    </row>
    <row r="30" spans="1:34" x14ac:dyDescent="0.2">
      <c r="A30" s="424" t="s">
        <v>7761</v>
      </c>
      <c r="B30" s="312" t="s">
        <v>7298</v>
      </c>
      <c r="C30" s="256"/>
      <c r="D30" s="374">
        <v>20</v>
      </c>
      <c r="E30" s="305"/>
      <c r="F30" s="238"/>
      <c r="G30" s="238"/>
      <c r="H30" s="238"/>
      <c r="I30" s="238"/>
      <c r="J30" s="301"/>
      <c r="K30" s="350"/>
      <c r="L30" s="238"/>
      <c r="M30" s="343"/>
      <c r="N30" s="1513"/>
      <c r="O30" s="1534"/>
      <c r="P30" s="1515"/>
      <c r="Q30" s="1518"/>
      <c r="R30" s="1520"/>
      <c r="S30" s="1514"/>
      <c r="T30" s="1517"/>
      <c r="U30" s="1518"/>
      <c r="V30" s="1535"/>
      <c r="W30" s="1518"/>
      <c r="X30" s="1520"/>
      <c r="Y30" s="1515"/>
      <c r="Z30" s="1518"/>
      <c r="AA30" s="1520"/>
      <c r="AB30" s="1513"/>
      <c r="AC30" s="1518"/>
      <c r="AD30" s="1518"/>
      <c r="AE30" s="1518"/>
      <c r="AF30" s="1518"/>
      <c r="AG30" s="1518"/>
      <c r="AH30" s="1521"/>
    </row>
    <row r="31" spans="1:34" x14ac:dyDescent="0.2">
      <c r="A31" s="424" t="s">
        <v>7762</v>
      </c>
      <c r="B31" s="312" t="s">
        <v>7297</v>
      </c>
      <c r="C31" s="256"/>
      <c r="D31" s="374">
        <v>21</v>
      </c>
      <c r="E31" s="305"/>
      <c r="F31" s="238"/>
      <c r="G31" s="238"/>
      <c r="H31" s="238"/>
      <c r="I31" s="238"/>
      <c r="J31" s="301"/>
      <c r="K31" s="350"/>
      <c r="L31" s="238"/>
      <c r="M31" s="343"/>
      <c r="N31" s="1513"/>
      <c r="O31" s="1534"/>
      <c r="P31" s="1515"/>
      <c r="Q31" s="1518"/>
      <c r="R31" s="1520"/>
      <c r="S31" s="1514"/>
      <c r="T31" s="1517"/>
      <c r="U31" s="1518"/>
      <c r="V31" s="1535"/>
      <c r="W31" s="1518"/>
      <c r="X31" s="1520"/>
      <c r="Y31" s="1515"/>
      <c r="Z31" s="1518"/>
      <c r="AA31" s="1520"/>
      <c r="AB31" s="1513"/>
      <c r="AC31" s="1518"/>
      <c r="AD31" s="1518"/>
      <c r="AE31" s="1518"/>
      <c r="AF31" s="1518"/>
      <c r="AG31" s="1518"/>
      <c r="AH31" s="1521"/>
    </row>
    <row r="32" spans="1:34" x14ac:dyDescent="0.2">
      <c r="A32" s="424" t="s">
        <v>7763</v>
      </c>
      <c r="B32" s="312" t="s">
        <v>7704</v>
      </c>
      <c r="C32" s="256"/>
      <c r="D32" s="374">
        <v>22</v>
      </c>
      <c r="E32" s="305"/>
      <c r="F32" s="238"/>
      <c r="G32" s="238"/>
      <c r="H32" s="238"/>
      <c r="I32" s="238"/>
      <c r="J32" s="301"/>
      <c r="K32" s="350"/>
      <c r="L32" s="238"/>
      <c r="M32" s="343"/>
      <c r="N32" s="1513"/>
      <c r="O32" s="1534"/>
      <c r="P32" s="1515"/>
      <c r="Q32" s="1518"/>
      <c r="R32" s="1520"/>
      <c r="S32" s="1514"/>
      <c r="T32" s="1517"/>
      <c r="U32" s="1518"/>
      <c r="V32" s="1535"/>
      <c r="W32" s="1518"/>
      <c r="X32" s="1520"/>
      <c r="Y32" s="1515"/>
      <c r="Z32" s="1518"/>
      <c r="AA32" s="1520"/>
      <c r="AB32" s="1513"/>
      <c r="AC32" s="1518"/>
      <c r="AD32" s="1518"/>
      <c r="AE32" s="1518"/>
      <c r="AF32" s="1518"/>
      <c r="AG32" s="1518"/>
      <c r="AH32" s="1521"/>
    </row>
    <row r="33" spans="1:34" ht="13.5" thickBot="1" x14ac:dyDescent="0.25">
      <c r="A33" s="424" t="s">
        <v>7764</v>
      </c>
      <c r="B33" s="1421" t="s">
        <v>7460</v>
      </c>
      <c r="C33" s="388"/>
      <c r="D33" s="398">
        <v>23</v>
      </c>
      <c r="E33" s="378"/>
      <c r="F33" s="377"/>
      <c r="G33" s="377"/>
      <c r="H33" s="377"/>
      <c r="I33" s="377"/>
      <c r="J33" s="406"/>
      <c r="K33" s="422"/>
      <c r="L33" s="377"/>
      <c r="M33" s="415"/>
      <c r="N33" s="1525"/>
      <c r="O33" s="1536"/>
      <c r="P33" s="1527"/>
      <c r="Q33" s="1530"/>
      <c r="R33" s="1532"/>
      <c r="S33" s="1526"/>
      <c r="T33" s="1529"/>
      <c r="U33" s="1530"/>
      <c r="V33" s="1537"/>
      <c r="W33" s="1530"/>
      <c r="X33" s="1532"/>
      <c r="Y33" s="1527"/>
      <c r="Z33" s="1530"/>
      <c r="AA33" s="1532"/>
      <c r="AB33" s="1525"/>
      <c r="AC33" s="1530"/>
      <c r="AD33" s="1530"/>
      <c r="AE33" s="1530"/>
      <c r="AF33" s="1530"/>
      <c r="AG33" s="1530"/>
      <c r="AH33" s="1533"/>
    </row>
    <row r="34" spans="1:34" ht="13.5" thickBot="1" x14ac:dyDescent="0.25">
      <c r="A34" s="424" t="s">
        <v>7765</v>
      </c>
      <c r="B34" s="337" t="s">
        <v>7465</v>
      </c>
      <c r="C34" s="251"/>
      <c r="D34" s="399">
        <v>24</v>
      </c>
      <c r="E34" s="379"/>
      <c r="F34" s="263"/>
      <c r="G34" s="263"/>
      <c r="H34" s="263"/>
      <c r="I34" s="263"/>
      <c r="J34" s="407"/>
      <c r="K34" s="423"/>
      <c r="L34" s="263"/>
      <c r="M34" s="416"/>
      <c r="N34" s="1538"/>
      <c r="O34" s="1539"/>
      <c r="P34" s="1540"/>
      <c r="Q34" s="1541"/>
      <c r="R34" s="1542"/>
      <c r="S34" s="1543"/>
      <c r="T34" s="1544"/>
      <c r="U34" s="1541"/>
      <c r="V34" s="1545"/>
      <c r="W34" s="1541"/>
      <c r="X34" s="1542"/>
      <c r="Y34" s="1540"/>
      <c r="Z34" s="1541"/>
      <c r="AA34" s="1542"/>
      <c r="AB34" s="1538"/>
      <c r="AC34" s="1541"/>
      <c r="AD34" s="1541"/>
      <c r="AE34" s="1541"/>
      <c r="AF34" s="1541"/>
      <c r="AG34" s="1541"/>
      <c r="AH34" s="1546"/>
    </row>
    <row r="35" spans="1:34" ht="13.5" thickTop="1" x14ac:dyDescent="0.2">
      <c r="A35" s="424" t="s">
        <v>7766</v>
      </c>
      <c r="B35" s="1422" t="s">
        <v>7767</v>
      </c>
      <c r="C35" s="390"/>
      <c r="D35" s="375">
        <v>25</v>
      </c>
      <c r="E35" s="391"/>
      <c r="F35" s="392"/>
      <c r="G35" s="392"/>
      <c r="H35" s="392"/>
      <c r="I35" s="392"/>
      <c r="J35" s="408"/>
      <c r="K35" s="417"/>
      <c r="L35" s="392"/>
      <c r="M35" s="418"/>
      <c r="N35" s="1547"/>
      <c r="O35" s="1548"/>
      <c r="P35" s="1549"/>
      <c r="Q35" s="1550"/>
      <c r="R35" s="1551"/>
      <c r="S35" s="1552"/>
      <c r="T35" s="1553"/>
      <c r="U35" s="1550"/>
      <c r="V35" s="1554"/>
      <c r="W35" s="1550"/>
      <c r="X35" s="1551"/>
      <c r="Y35" s="1549"/>
      <c r="Z35" s="1550"/>
      <c r="AA35" s="1551"/>
      <c r="AB35" s="1547"/>
      <c r="AC35" s="1550"/>
      <c r="AD35" s="1550"/>
      <c r="AE35" s="1550"/>
      <c r="AF35" s="1550"/>
      <c r="AG35" s="1550"/>
      <c r="AH35" s="1555"/>
    </row>
    <row r="36" spans="1:34" x14ac:dyDescent="0.2">
      <c r="A36" s="402" t="s">
        <v>1401</v>
      </c>
      <c r="B36" s="1419" t="s">
        <v>7494</v>
      </c>
      <c r="C36" s="382"/>
      <c r="D36" s="397">
        <v>26</v>
      </c>
      <c r="E36" s="384"/>
      <c r="F36" s="384"/>
      <c r="G36" s="384"/>
      <c r="H36" s="384"/>
      <c r="I36" s="384"/>
      <c r="J36" s="404"/>
      <c r="K36" s="412"/>
      <c r="L36" s="384"/>
      <c r="M36" s="413"/>
      <c r="N36" s="1504"/>
      <c r="O36" s="1505"/>
      <c r="P36" s="1506"/>
      <c r="Q36" s="1507"/>
      <c r="R36" s="1508"/>
      <c r="S36" s="1509"/>
      <c r="T36" s="1510"/>
      <c r="U36" s="1507"/>
      <c r="V36" s="1511"/>
      <c r="W36" s="1507"/>
      <c r="X36" s="1508"/>
      <c r="Y36" s="1506"/>
      <c r="Z36" s="1507"/>
      <c r="AA36" s="1508"/>
      <c r="AB36" s="1504"/>
      <c r="AC36" s="1507"/>
      <c r="AD36" s="1507"/>
      <c r="AE36" s="1507"/>
      <c r="AF36" s="1507"/>
      <c r="AG36" s="1507"/>
      <c r="AH36" s="1512"/>
    </row>
    <row r="37" spans="1:34" x14ac:dyDescent="0.2">
      <c r="A37" s="424" t="s">
        <v>7768</v>
      </c>
      <c r="B37" s="312" t="s">
        <v>7711</v>
      </c>
      <c r="C37" s="32"/>
      <c r="D37" s="397">
        <v>27</v>
      </c>
      <c r="E37" s="385"/>
      <c r="F37" s="238"/>
      <c r="G37" s="238"/>
      <c r="H37" s="238"/>
      <c r="I37" s="238"/>
      <c r="J37" s="301"/>
      <c r="K37" s="350"/>
      <c r="L37" s="238"/>
      <c r="M37" s="343"/>
      <c r="N37" s="1513"/>
      <c r="O37" s="1534"/>
      <c r="P37" s="1515"/>
      <c r="Q37" s="1518"/>
      <c r="R37" s="1520"/>
      <c r="S37" s="1514"/>
      <c r="T37" s="1517"/>
      <c r="U37" s="1518"/>
      <c r="V37" s="1535"/>
      <c r="W37" s="1518"/>
      <c r="X37" s="1520"/>
      <c r="Y37" s="1515"/>
      <c r="Z37" s="1518"/>
      <c r="AA37" s="1520"/>
      <c r="AB37" s="1513"/>
      <c r="AC37" s="1518"/>
      <c r="AD37" s="1518"/>
      <c r="AE37" s="1518"/>
      <c r="AF37" s="1518"/>
      <c r="AG37" s="1518"/>
      <c r="AH37" s="1521"/>
    </row>
    <row r="38" spans="1:34" x14ac:dyDescent="0.2">
      <c r="A38" s="424" t="s">
        <v>7769</v>
      </c>
      <c r="B38" s="312" t="s">
        <v>1305</v>
      </c>
      <c r="C38" s="32"/>
      <c r="D38" s="397">
        <v>28</v>
      </c>
      <c r="E38" s="385"/>
      <c r="F38" s="238"/>
      <c r="G38" s="238"/>
      <c r="H38" s="238"/>
      <c r="I38" s="238"/>
      <c r="J38" s="301"/>
      <c r="K38" s="350"/>
      <c r="L38" s="238"/>
      <c r="M38" s="343"/>
      <c r="N38" s="1513"/>
      <c r="O38" s="1534"/>
      <c r="P38" s="1515"/>
      <c r="Q38" s="1518"/>
      <c r="R38" s="1520"/>
      <c r="S38" s="1514"/>
      <c r="T38" s="1517"/>
      <c r="U38" s="1518"/>
      <c r="V38" s="1535"/>
      <c r="W38" s="1518"/>
      <c r="X38" s="1520"/>
      <c r="Y38" s="1515"/>
      <c r="Z38" s="1518"/>
      <c r="AA38" s="1520"/>
      <c r="AB38" s="1513"/>
      <c r="AC38" s="1518"/>
      <c r="AD38" s="1518"/>
      <c r="AE38" s="1518"/>
      <c r="AF38" s="1518"/>
      <c r="AG38" s="1518"/>
      <c r="AH38" s="1521"/>
    </row>
    <row r="39" spans="1:34" x14ac:dyDescent="0.2">
      <c r="A39" s="424" t="s">
        <v>7770</v>
      </c>
      <c r="B39" s="312" t="s">
        <v>1312</v>
      </c>
      <c r="C39" s="32"/>
      <c r="D39" s="397">
        <v>29</v>
      </c>
      <c r="E39" s="385"/>
      <c r="F39" s="238"/>
      <c r="G39" s="238"/>
      <c r="H39" s="238"/>
      <c r="I39" s="238"/>
      <c r="J39" s="301"/>
      <c r="K39" s="350"/>
      <c r="L39" s="238"/>
      <c r="M39" s="343"/>
      <c r="N39" s="1513"/>
      <c r="O39" s="1534"/>
      <c r="P39" s="1515"/>
      <c r="Q39" s="1518"/>
      <c r="R39" s="1520"/>
      <c r="S39" s="1514"/>
      <c r="T39" s="1517"/>
      <c r="U39" s="1518"/>
      <c r="V39" s="1535"/>
      <c r="W39" s="1518"/>
      <c r="X39" s="1520"/>
      <c r="Y39" s="1515"/>
      <c r="Z39" s="1518"/>
      <c r="AA39" s="1520"/>
      <c r="AB39" s="1513"/>
      <c r="AC39" s="1518"/>
      <c r="AD39" s="1518"/>
      <c r="AE39" s="1518"/>
      <c r="AF39" s="1518"/>
      <c r="AG39" s="1518"/>
      <c r="AH39" s="1521"/>
    </row>
    <row r="40" spans="1:34" x14ac:dyDescent="0.2">
      <c r="A40" s="424" t="s">
        <v>7771</v>
      </c>
      <c r="B40" s="312" t="s">
        <v>1319</v>
      </c>
      <c r="C40" s="32"/>
      <c r="D40" s="397">
        <v>30</v>
      </c>
      <c r="E40" s="385"/>
      <c r="F40" s="238"/>
      <c r="G40" s="238"/>
      <c r="H40" s="238"/>
      <c r="I40" s="238"/>
      <c r="J40" s="301"/>
      <c r="K40" s="350"/>
      <c r="L40" s="305"/>
      <c r="M40" s="343"/>
      <c r="N40" s="1513"/>
      <c r="O40" s="1534"/>
      <c r="P40" s="1515"/>
      <c r="Q40" s="1534"/>
      <c r="R40" s="1520"/>
      <c r="S40" s="1514"/>
      <c r="T40" s="1517"/>
      <c r="U40" s="1518"/>
      <c r="V40" s="1535"/>
      <c r="W40" s="1518"/>
      <c r="X40" s="1520"/>
      <c r="Y40" s="1515"/>
      <c r="Z40" s="1518"/>
      <c r="AA40" s="1520"/>
      <c r="AB40" s="1513"/>
      <c r="AC40" s="1518"/>
      <c r="AD40" s="1518"/>
      <c r="AE40" s="1518"/>
      <c r="AF40" s="1518"/>
      <c r="AG40" s="1518"/>
      <c r="AH40" s="1521"/>
    </row>
    <row r="41" spans="1:34" x14ac:dyDescent="0.2">
      <c r="A41" s="424" t="s">
        <v>7772</v>
      </c>
      <c r="B41" s="312" t="s">
        <v>1333</v>
      </c>
      <c r="C41" s="32"/>
      <c r="D41" s="397">
        <v>31</v>
      </c>
      <c r="E41" s="385"/>
      <c r="F41" s="238"/>
      <c r="G41" s="238"/>
      <c r="H41" s="238"/>
      <c r="I41" s="238"/>
      <c r="J41" s="301"/>
      <c r="K41" s="351"/>
      <c r="L41" s="238"/>
      <c r="M41" s="343"/>
      <c r="N41" s="1513"/>
      <c r="O41" s="1534"/>
      <c r="P41" s="1556"/>
      <c r="Q41" s="1518"/>
      <c r="R41" s="1520"/>
      <c r="S41" s="1514"/>
      <c r="T41" s="1517"/>
      <c r="U41" s="1518"/>
      <c r="V41" s="1557"/>
      <c r="W41" s="1518"/>
      <c r="X41" s="1520"/>
      <c r="Y41" s="1556"/>
      <c r="Z41" s="1518"/>
      <c r="AA41" s="1520"/>
      <c r="AB41" s="1513"/>
      <c r="AC41" s="1518"/>
      <c r="AD41" s="1518"/>
      <c r="AE41" s="1518"/>
      <c r="AF41" s="1518"/>
      <c r="AG41" s="1518"/>
      <c r="AH41" s="1521"/>
    </row>
    <row r="42" spans="1:34" x14ac:dyDescent="0.2">
      <c r="A42" s="424" t="s">
        <v>7773</v>
      </c>
      <c r="B42" s="312" t="s">
        <v>1326</v>
      </c>
      <c r="C42" s="32"/>
      <c r="D42" s="397">
        <v>32</v>
      </c>
      <c r="E42" s="385"/>
      <c r="F42" s="238"/>
      <c r="G42" s="238"/>
      <c r="H42" s="238"/>
      <c r="I42" s="238"/>
      <c r="J42" s="301"/>
      <c r="K42" s="350"/>
      <c r="L42" s="238"/>
      <c r="M42" s="343"/>
      <c r="N42" s="1513"/>
      <c r="O42" s="1534"/>
      <c r="P42" s="1515"/>
      <c r="Q42" s="1518"/>
      <c r="R42" s="1520"/>
      <c r="S42" s="1514"/>
      <c r="T42" s="1517"/>
      <c r="U42" s="1518"/>
      <c r="V42" s="1535"/>
      <c r="W42" s="1518"/>
      <c r="X42" s="1520"/>
      <c r="Y42" s="1515"/>
      <c r="Z42" s="1518"/>
      <c r="AA42" s="1520"/>
      <c r="AB42" s="1513"/>
      <c r="AC42" s="1518"/>
      <c r="AD42" s="1518"/>
      <c r="AE42" s="1518"/>
      <c r="AF42" s="1518"/>
      <c r="AG42" s="1518"/>
      <c r="AH42" s="1521"/>
    </row>
    <row r="43" spans="1:34" ht="13.5" thickBot="1" x14ac:dyDescent="0.25">
      <c r="A43" s="424" t="s">
        <v>7774</v>
      </c>
      <c r="B43" s="1421" t="s">
        <v>7313</v>
      </c>
      <c r="C43" s="393"/>
      <c r="D43" s="396">
        <v>33</v>
      </c>
      <c r="E43" s="389"/>
      <c r="F43" s="377"/>
      <c r="G43" s="377"/>
      <c r="H43" s="377"/>
      <c r="I43" s="377"/>
      <c r="J43" s="406"/>
      <c r="K43" s="422"/>
      <c r="L43" s="377"/>
      <c r="M43" s="415"/>
      <c r="N43" s="1525"/>
      <c r="O43" s="1536"/>
      <c r="P43" s="1527"/>
      <c r="Q43" s="1530"/>
      <c r="R43" s="1532"/>
      <c r="S43" s="1526"/>
      <c r="T43" s="1529"/>
      <c r="U43" s="1530"/>
      <c r="V43" s="1537"/>
      <c r="W43" s="1530"/>
      <c r="X43" s="1532"/>
      <c r="Y43" s="1527"/>
      <c r="Z43" s="1530"/>
      <c r="AA43" s="1532"/>
      <c r="AB43" s="1525"/>
      <c r="AC43" s="1530"/>
      <c r="AD43" s="1530"/>
      <c r="AE43" s="1530"/>
      <c r="AF43" s="1530"/>
      <c r="AG43" s="1530"/>
      <c r="AH43" s="1533"/>
    </row>
    <row r="44" spans="1:34" x14ac:dyDescent="0.2">
      <c r="A44" s="402" t="s">
        <v>7775</v>
      </c>
      <c r="B44" s="1419" t="s">
        <v>7507</v>
      </c>
      <c r="C44" s="382"/>
      <c r="D44" s="397">
        <v>34</v>
      </c>
      <c r="E44" s="394"/>
      <c r="F44" s="384"/>
      <c r="G44" s="384"/>
      <c r="H44" s="384"/>
      <c r="I44" s="384"/>
      <c r="J44" s="404"/>
      <c r="K44" s="412"/>
      <c r="L44" s="384"/>
      <c r="M44" s="413"/>
      <c r="N44" s="1504"/>
      <c r="O44" s="1505"/>
      <c r="P44" s="1506"/>
      <c r="Q44" s="1507"/>
      <c r="R44" s="1508"/>
      <c r="S44" s="1509"/>
      <c r="T44" s="1510"/>
      <c r="U44" s="1507"/>
      <c r="V44" s="1511"/>
      <c r="W44" s="1507"/>
      <c r="X44" s="1508"/>
      <c r="Y44" s="1506"/>
      <c r="Z44" s="1507"/>
      <c r="AA44" s="1508"/>
      <c r="AB44" s="1504"/>
      <c r="AC44" s="1507"/>
      <c r="AD44" s="1507"/>
      <c r="AE44" s="1507"/>
      <c r="AF44" s="1507"/>
      <c r="AG44" s="1507"/>
      <c r="AH44" s="1512"/>
    </row>
    <row r="45" spans="1:34" x14ac:dyDescent="0.2">
      <c r="A45" s="424" t="s">
        <v>7776</v>
      </c>
      <c r="B45" s="312" t="s">
        <v>1207</v>
      </c>
      <c r="C45" s="32"/>
      <c r="D45" s="397">
        <v>35</v>
      </c>
      <c r="E45" s="385"/>
      <c r="F45" s="238"/>
      <c r="G45" s="238"/>
      <c r="H45" s="238"/>
      <c r="I45" s="238"/>
      <c r="J45" s="301"/>
      <c r="K45" s="350"/>
      <c r="L45" s="238"/>
      <c r="M45" s="343"/>
      <c r="N45" s="1513"/>
      <c r="O45" s="1534"/>
      <c r="P45" s="1515"/>
      <c r="Q45" s="1518"/>
      <c r="R45" s="1520"/>
      <c r="S45" s="1514"/>
      <c r="T45" s="1517"/>
      <c r="U45" s="1518"/>
      <c r="V45" s="1535"/>
      <c r="W45" s="1518"/>
      <c r="X45" s="1520"/>
      <c r="Y45" s="1515"/>
      <c r="Z45" s="1518"/>
      <c r="AA45" s="1520"/>
      <c r="AB45" s="1513"/>
      <c r="AC45" s="1518"/>
      <c r="AD45" s="1518"/>
      <c r="AE45" s="1518"/>
      <c r="AF45" s="1518"/>
      <c r="AG45" s="1518"/>
      <c r="AH45" s="1521"/>
    </row>
    <row r="46" spans="1:34" x14ac:dyDescent="0.2">
      <c r="A46" s="402" t="s">
        <v>1415</v>
      </c>
      <c r="B46" s="312" t="s">
        <v>7721</v>
      </c>
      <c r="C46" s="32"/>
      <c r="D46" s="397">
        <v>36</v>
      </c>
      <c r="E46" s="385"/>
      <c r="F46" s="238"/>
      <c r="G46" s="238"/>
      <c r="H46" s="238"/>
      <c r="I46" s="238"/>
      <c r="J46" s="301"/>
      <c r="K46" s="350"/>
      <c r="L46" s="238"/>
      <c r="M46" s="343"/>
      <c r="N46" s="1513"/>
      <c r="O46" s="1534"/>
      <c r="P46" s="1515"/>
      <c r="Q46" s="1518"/>
      <c r="R46" s="1520"/>
      <c r="S46" s="1514"/>
      <c r="T46" s="1517"/>
      <c r="U46" s="1518"/>
      <c r="V46" s="1535"/>
      <c r="W46" s="1518"/>
      <c r="X46" s="1520"/>
      <c r="Y46" s="1515"/>
      <c r="Z46" s="1518"/>
      <c r="AA46" s="1520"/>
      <c r="AB46" s="1513"/>
      <c r="AC46" s="1518"/>
      <c r="AD46" s="1518"/>
      <c r="AE46" s="1518"/>
      <c r="AF46" s="1518"/>
      <c r="AG46" s="1518"/>
      <c r="AH46" s="1521"/>
    </row>
    <row r="47" spans="1:34" x14ac:dyDescent="0.2">
      <c r="A47" s="424" t="s">
        <v>7777</v>
      </c>
      <c r="B47" s="312" t="s">
        <v>1221</v>
      </c>
      <c r="C47" s="32"/>
      <c r="D47" s="397">
        <v>37</v>
      </c>
      <c r="E47" s="385"/>
      <c r="F47" s="238"/>
      <c r="G47" s="238"/>
      <c r="H47" s="238"/>
      <c r="I47" s="238"/>
      <c r="J47" s="301"/>
      <c r="K47" s="350"/>
      <c r="L47" s="238"/>
      <c r="M47" s="343"/>
      <c r="N47" s="1513"/>
      <c r="O47" s="1534"/>
      <c r="P47" s="1515"/>
      <c r="Q47" s="1518"/>
      <c r="R47" s="1520"/>
      <c r="S47" s="1514"/>
      <c r="T47" s="1517"/>
      <c r="U47" s="1518"/>
      <c r="V47" s="1535"/>
      <c r="W47" s="1518"/>
      <c r="X47" s="1520"/>
      <c r="Y47" s="1515"/>
      <c r="Z47" s="1518"/>
      <c r="AA47" s="1520"/>
      <c r="AB47" s="1513"/>
      <c r="AC47" s="1518"/>
      <c r="AD47" s="1518"/>
      <c r="AE47" s="1518"/>
      <c r="AF47" s="1518"/>
      <c r="AG47" s="1518"/>
      <c r="AH47" s="1521"/>
    </row>
    <row r="48" spans="1:34" x14ac:dyDescent="0.2">
      <c r="A48" s="424" t="s">
        <v>7778</v>
      </c>
      <c r="B48" s="312" t="s">
        <v>1228</v>
      </c>
      <c r="C48" s="32"/>
      <c r="D48" s="397">
        <v>38</v>
      </c>
      <c r="E48" s="385"/>
      <c r="F48" s="238"/>
      <c r="G48" s="238"/>
      <c r="H48" s="238"/>
      <c r="I48" s="238"/>
      <c r="J48" s="301"/>
      <c r="K48" s="350"/>
      <c r="L48" s="238"/>
      <c r="M48" s="343"/>
      <c r="N48" s="1513"/>
      <c r="O48" s="1534"/>
      <c r="P48" s="1515"/>
      <c r="Q48" s="1518"/>
      <c r="R48" s="1520"/>
      <c r="S48" s="1514"/>
      <c r="T48" s="1517"/>
      <c r="U48" s="1518"/>
      <c r="V48" s="1535"/>
      <c r="W48" s="1518"/>
      <c r="X48" s="1520"/>
      <c r="Y48" s="1515"/>
      <c r="Z48" s="1518"/>
      <c r="AA48" s="1520"/>
      <c r="AB48" s="1513"/>
      <c r="AC48" s="1518"/>
      <c r="AD48" s="1518"/>
      <c r="AE48" s="1518"/>
      <c r="AF48" s="1518"/>
      <c r="AG48" s="1518"/>
      <c r="AH48" s="1521"/>
    </row>
    <row r="49" spans="1:34" x14ac:dyDescent="0.2">
      <c r="A49" s="424" t="s">
        <v>7779</v>
      </c>
      <c r="B49" s="312" t="s">
        <v>1235</v>
      </c>
      <c r="C49" s="32"/>
      <c r="D49" s="397">
        <v>39</v>
      </c>
      <c r="E49" s="385"/>
      <c r="F49" s="238"/>
      <c r="G49" s="238"/>
      <c r="H49" s="238"/>
      <c r="I49" s="238"/>
      <c r="J49" s="301"/>
      <c r="K49" s="350"/>
      <c r="L49" s="238"/>
      <c r="M49" s="343"/>
      <c r="N49" s="1513"/>
      <c r="O49" s="1534"/>
      <c r="P49" s="1515"/>
      <c r="Q49" s="1518"/>
      <c r="R49" s="1520"/>
      <c r="S49" s="1514"/>
      <c r="T49" s="1517"/>
      <c r="U49" s="1518"/>
      <c r="V49" s="1535"/>
      <c r="W49" s="1518"/>
      <c r="X49" s="1520"/>
      <c r="Y49" s="1515"/>
      <c r="Z49" s="1518"/>
      <c r="AA49" s="1520"/>
      <c r="AB49" s="1513"/>
      <c r="AC49" s="1518"/>
      <c r="AD49" s="1518"/>
      <c r="AE49" s="1518"/>
      <c r="AF49" s="1518"/>
      <c r="AG49" s="1518"/>
      <c r="AH49" s="1521"/>
    </row>
    <row r="50" spans="1:34" x14ac:dyDescent="0.2">
      <c r="A50" s="424" t="s">
        <v>7780</v>
      </c>
      <c r="B50" s="312" t="s">
        <v>1242</v>
      </c>
      <c r="C50" s="32"/>
      <c r="D50" s="397">
        <v>40</v>
      </c>
      <c r="E50" s="385"/>
      <c r="F50" s="238"/>
      <c r="G50" s="238"/>
      <c r="H50" s="238"/>
      <c r="I50" s="238"/>
      <c r="J50" s="301"/>
      <c r="K50" s="350"/>
      <c r="L50" s="238"/>
      <c r="M50" s="343"/>
      <c r="N50" s="1513"/>
      <c r="O50" s="1534"/>
      <c r="P50" s="1515"/>
      <c r="Q50" s="1518"/>
      <c r="R50" s="1520"/>
      <c r="S50" s="1514"/>
      <c r="T50" s="1517"/>
      <c r="U50" s="1518"/>
      <c r="V50" s="1535"/>
      <c r="W50" s="1518"/>
      <c r="X50" s="1520"/>
      <c r="Y50" s="1515"/>
      <c r="Z50" s="1518"/>
      <c r="AA50" s="1520"/>
      <c r="AB50" s="1513"/>
      <c r="AC50" s="1518"/>
      <c r="AD50" s="1518"/>
      <c r="AE50" s="1518"/>
      <c r="AF50" s="1518"/>
      <c r="AG50" s="1518"/>
      <c r="AH50" s="1521"/>
    </row>
    <row r="51" spans="1:34" x14ac:dyDescent="0.2">
      <c r="A51" s="424" t="s">
        <v>7781</v>
      </c>
      <c r="B51" s="312" t="s">
        <v>1249</v>
      </c>
      <c r="C51" s="32"/>
      <c r="D51" s="397">
        <v>41</v>
      </c>
      <c r="E51" s="385"/>
      <c r="F51" s="238"/>
      <c r="G51" s="238"/>
      <c r="H51" s="238"/>
      <c r="I51" s="238"/>
      <c r="J51" s="301"/>
      <c r="K51" s="350"/>
      <c r="L51" s="238"/>
      <c r="M51" s="343"/>
      <c r="N51" s="1513"/>
      <c r="O51" s="1534"/>
      <c r="P51" s="1515"/>
      <c r="Q51" s="1518"/>
      <c r="R51" s="1520"/>
      <c r="S51" s="1514"/>
      <c r="T51" s="1517"/>
      <c r="U51" s="1518"/>
      <c r="V51" s="1535"/>
      <c r="W51" s="1518"/>
      <c r="X51" s="1520"/>
      <c r="Y51" s="1515"/>
      <c r="Z51" s="1518"/>
      <c r="AA51" s="1520"/>
      <c r="AB51" s="1513"/>
      <c r="AC51" s="1518"/>
      <c r="AD51" s="1518"/>
      <c r="AE51" s="1518"/>
      <c r="AF51" s="1518"/>
      <c r="AG51" s="1518"/>
      <c r="AH51" s="1521"/>
    </row>
    <row r="52" spans="1:34" x14ac:dyDescent="0.2">
      <c r="A52" s="424" t="s">
        <v>7782</v>
      </c>
      <c r="B52" s="312" t="s">
        <v>1256</v>
      </c>
      <c r="C52" s="32"/>
      <c r="D52" s="397">
        <v>42</v>
      </c>
      <c r="E52" s="385"/>
      <c r="F52" s="238"/>
      <c r="G52" s="238"/>
      <c r="H52" s="238"/>
      <c r="I52" s="238"/>
      <c r="J52" s="301"/>
      <c r="K52" s="350"/>
      <c r="L52" s="238"/>
      <c r="M52" s="343"/>
      <c r="N52" s="1513"/>
      <c r="O52" s="1534"/>
      <c r="P52" s="1515"/>
      <c r="Q52" s="1518"/>
      <c r="R52" s="1520"/>
      <c r="S52" s="1514"/>
      <c r="T52" s="1517"/>
      <c r="U52" s="1518"/>
      <c r="V52" s="1535"/>
      <c r="W52" s="1518"/>
      <c r="X52" s="1520"/>
      <c r="Y52" s="1515"/>
      <c r="Z52" s="1518"/>
      <c r="AA52" s="1520"/>
      <c r="AB52" s="1513"/>
      <c r="AC52" s="1518"/>
      <c r="AD52" s="1518"/>
      <c r="AE52" s="1518"/>
      <c r="AF52" s="1518"/>
      <c r="AG52" s="1518"/>
      <c r="AH52" s="1521"/>
    </row>
    <row r="53" spans="1:34" x14ac:dyDescent="0.2">
      <c r="A53" s="424" t="s">
        <v>7783</v>
      </c>
      <c r="B53" s="312" t="s">
        <v>7056</v>
      </c>
      <c r="C53" s="32"/>
      <c r="D53" s="397">
        <v>43</v>
      </c>
      <c r="E53" s="385"/>
      <c r="F53" s="238"/>
      <c r="G53" s="238"/>
      <c r="H53" s="238"/>
      <c r="I53" s="238"/>
      <c r="J53" s="301"/>
      <c r="K53" s="350"/>
      <c r="L53" s="238"/>
      <c r="M53" s="343"/>
      <c r="N53" s="1513"/>
      <c r="O53" s="1534"/>
      <c r="P53" s="1515"/>
      <c r="Q53" s="1518"/>
      <c r="R53" s="1520"/>
      <c r="S53" s="1514"/>
      <c r="T53" s="1517"/>
      <c r="U53" s="1518"/>
      <c r="V53" s="1535"/>
      <c r="W53" s="1518"/>
      <c r="X53" s="1520"/>
      <c r="Y53" s="1515"/>
      <c r="Z53" s="1518"/>
      <c r="AA53" s="1520"/>
      <c r="AB53" s="1513"/>
      <c r="AC53" s="1518"/>
      <c r="AD53" s="1518"/>
      <c r="AE53" s="1518"/>
      <c r="AF53" s="1518"/>
      <c r="AG53" s="1518"/>
      <c r="AH53" s="1521"/>
    </row>
    <row r="54" spans="1:34" x14ac:dyDescent="0.2">
      <c r="A54" s="424" t="s">
        <v>7784</v>
      </c>
      <c r="B54" s="312" t="s">
        <v>1270</v>
      </c>
      <c r="C54" s="32"/>
      <c r="D54" s="397">
        <v>44</v>
      </c>
      <c r="E54" s="385"/>
      <c r="F54" s="238"/>
      <c r="G54" s="238"/>
      <c r="H54" s="238"/>
      <c r="I54" s="238"/>
      <c r="J54" s="301"/>
      <c r="K54" s="350"/>
      <c r="L54" s="238"/>
      <c r="M54" s="343"/>
      <c r="N54" s="1513"/>
      <c r="O54" s="1534"/>
      <c r="P54" s="1515"/>
      <c r="Q54" s="1518"/>
      <c r="R54" s="1520"/>
      <c r="S54" s="1514"/>
      <c r="T54" s="1517"/>
      <c r="U54" s="1518"/>
      <c r="V54" s="1535"/>
      <c r="W54" s="1518"/>
      <c r="X54" s="1520"/>
      <c r="Y54" s="1515"/>
      <c r="Z54" s="1518"/>
      <c r="AA54" s="1520"/>
      <c r="AB54" s="1513"/>
      <c r="AC54" s="1518"/>
      <c r="AD54" s="1518"/>
      <c r="AE54" s="1518"/>
      <c r="AF54" s="1518"/>
      <c r="AG54" s="1518"/>
      <c r="AH54" s="1521"/>
    </row>
    <row r="55" spans="1:34" x14ac:dyDescent="0.2">
      <c r="A55" s="424" t="s">
        <v>7785</v>
      </c>
      <c r="B55" s="312" t="s">
        <v>1277</v>
      </c>
      <c r="C55" s="32"/>
      <c r="D55" s="397">
        <v>45</v>
      </c>
      <c r="E55" s="385"/>
      <c r="F55" s="238"/>
      <c r="G55" s="238"/>
      <c r="H55" s="238"/>
      <c r="I55" s="238"/>
      <c r="J55" s="301"/>
      <c r="K55" s="350"/>
      <c r="L55" s="238"/>
      <c r="M55" s="343"/>
      <c r="N55" s="1513"/>
      <c r="O55" s="1534"/>
      <c r="P55" s="1515"/>
      <c r="Q55" s="1518"/>
      <c r="R55" s="1520"/>
      <c r="S55" s="1514"/>
      <c r="T55" s="1517"/>
      <c r="U55" s="1518"/>
      <c r="V55" s="1535"/>
      <c r="W55" s="1518"/>
      <c r="X55" s="1520"/>
      <c r="Y55" s="1515"/>
      <c r="Z55" s="1518"/>
      <c r="AA55" s="1520"/>
      <c r="AB55" s="1513"/>
      <c r="AC55" s="1518"/>
      <c r="AD55" s="1518"/>
      <c r="AE55" s="1518"/>
      <c r="AF55" s="1518"/>
      <c r="AG55" s="1518"/>
      <c r="AH55" s="1521"/>
    </row>
    <row r="56" spans="1:34" x14ac:dyDescent="0.2">
      <c r="A56" s="424" t="s">
        <v>7786</v>
      </c>
      <c r="B56" s="312" t="s">
        <v>1284</v>
      </c>
      <c r="C56" s="32"/>
      <c r="D56" s="397">
        <v>46</v>
      </c>
      <c r="E56" s="385"/>
      <c r="F56" s="238"/>
      <c r="G56" s="238"/>
      <c r="H56" s="238"/>
      <c r="I56" s="238"/>
      <c r="J56" s="301"/>
      <c r="K56" s="350"/>
      <c r="L56" s="238"/>
      <c r="M56" s="343"/>
      <c r="N56" s="1513"/>
      <c r="O56" s="1534"/>
      <c r="P56" s="1515"/>
      <c r="Q56" s="1518"/>
      <c r="R56" s="1520"/>
      <c r="S56" s="1514"/>
      <c r="T56" s="1517"/>
      <c r="U56" s="1518"/>
      <c r="V56" s="1535"/>
      <c r="W56" s="1518"/>
      <c r="X56" s="1520"/>
      <c r="Y56" s="1515"/>
      <c r="Z56" s="1518"/>
      <c r="AA56" s="1520"/>
      <c r="AB56" s="1513"/>
      <c r="AC56" s="1518"/>
      <c r="AD56" s="1518"/>
      <c r="AE56" s="1518"/>
      <c r="AF56" s="1518"/>
      <c r="AG56" s="1518"/>
      <c r="AH56" s="1521"/>
    </row>
    <row r="57" spans="1:34" ht="13.5" thickBot="1" x14ac:dyDescent="0.25">
      <c r="A57" s="424" t="s">
        <v>7787</v>
      </c>
      <c r="B57" s="1421" t="s">
        <v>7311</v>
      </c>
      <c r="C57" s="388"/>
      <c r="D57" s="398">
        <v>47</v>
      </c>
      <c r="E57" s="389"/>
      <c r="F57" s="377"/>
      <c r="G57" s="377"/>
      <c r="H57" s="377"/>
      <c r="I57" s="377"/>
      <c r="J57" s="406"/>
      <c r="K57" s="422"/>
      <c r="L57" s="377"/>
      <c r="M57" s="415"/>
      <c r="N57" s="1525"/>
      <c r="O57" s="1536"/>
      <c r="P57" s="1527"/>
      <c r="Q57" s="1530"/>
      <c r="R57" s="1532"/>
      <c r="S57" s="1526"/>
      <c r="T57" s="1529"/>
      <c r="U57" s="1530"/>
      <c r="V57" s="1537"/>
      <c r="W57" s="1530"/>
      <c r="X57" s="1532"/>
      <c r="Y57" s="1527"/>
      <c r="Z57" s="1530"/>
      <c r="AA57" s="1532"/>
      <c r="AB57" s="1525"/>
      <c r="AC57" s="1530"/>
      <c r="AD57" s="1530"/>
      <c r="AE57" s="1530"/>
      <c r="AF57" s="1530"/>
      <c r="AG57" s="1530"/>
      <c r="AH57" s="1533"/>
    </row>
    <row r="58" spans="1:34" x14ac:dyDescent="0.2">
      <c r="A58" s="402" t="s">
        <v>1408</v>
      </c>
      <c r="B58" s="1419" t="s">
        <v>7529</v>
      </c>
      <c r="C58" s="382"/>
      <c r="D58" s="397">
        <v>48</v>
      </c>
      <c r="E58" s="383"/>
      <c r="F58" s="384"/>
      <c r="G58" s="384"/>
      <c r="H58" s="384"/>
      <c r="I58" s="384"/>
      <c r="J58" s="404"/>
      <c r="K58" s="412"/>
      <c r="L58" s="384"/>
      <c r="M58" s="413"/>
      <c r="N58" s="1504"/>
      <c r="O58" s="1505"/>
      <c r="P58" s="1506"/>
      <c r="Q58" s="1507"/>
      <c r="R58" s="1508"/>
      <c r="S58" s="1509"/>
      <c r="T58" s="1510"/>
      <c r="U58" s="1507"/>
      <c r="V58" s="1511"/>
      <c r="W58" s="1507"/>
      <c r="X58" s="1508"/>
      <c r="Y58" s="1506"/>
      <c r="Z58" s="1507"/>
      <c r="AA58" s="1508"/>
      <c r="AB58" s="1504"/>
      <c r="AC58" s="1507"/>
      <c r="AD58" s="1507"/>
      <c r="AE58" s="1507"/>
      <c r="AF58" s="1507"/>
      <c r="AG58" s="1507"/>
      <c r="AH58" s="1512"/>
    </row>
    <row r="59" spans="1:34" x14ac:dyDescent="0.2">
      <c r="A59" s="424" t="s">
        <v>7788</v>
      </c>
      <c r="B59" s="312" t="s">
        <v>1361</v>
      </c>
      <c r="C59" s="32"/>
      <c r="D59" s="397">
        <v>49</v>
      </c>
      <c r="E59" s="305"/>
      <c r="F59" s="238"/>
      <c r="G59" s="238"/>
      <c r="H59" s="238"/>
      <c r="I59" s="238"/>
      <c r="J59" s="301"/>
      <c r="K59" s="350"/>
      <c r="L59" s="238"/>
      <c r="M59" s="343"/>
      <c r="N59" s="1513"/>
      <c r="O59" s="1534"/>
      <c r="P59" s="1515"/>
      <c r="Q59" s="1518"/>
      <c r="R59" s="1520"/>
      <c r="S59" s="1514"/>
      <c r="T59" s="1517"/>
      <c r="U59" s="1518"/>
      <c r="V59" s="1535"/>
      <c r="W59" s="1518"/>
      <c r="X59" s="1520"/>
      <c r="Y59" s="1515"/>
      <c r="Z59" s="1518"/>
      <c r="AA59" s="1520"/>
      <c r="AB59" s="1513"/>
      <c r="AC59" s="1518"/>
      <c r="AD59" s="1518"/>
      <c r="AE59" s="1518"/>
      <c r="AF59" s="1518"/>
      <c r="AG59" s="1518"/>
      <c r="AH59" s="1521"/>
    </row>
    <row r="60" spans="1:34" x14ac:dyDescent="0.2">
      <c r="A60" s="424" t="s">
        <v>7789</v>
      </c>
      <c r="B60" s="312" t="s">
        <v>1354</v>
      </c>
      <c r="C60" s="32"/>
      <c r="D60" s="397">
        <v>50</v>
      </c>
      <c r="E60" s="305"/>
      <c r="F60" s="238"/>
      <c r="G60" s="238"/>
      <c r="H60" s="238"/>
      <c r="I60" s="238"/>
      <c r="J60" s="301"/>
      <c r="K60" s="350"/>
      <c r="L60" s="238"/>
      <c r="M60" s="343"/>
      <c r="N60" s="1513"/>
      <c r="O60" s="1534"/>
      <c r="P60" s="1515"/>
      <c r="Q60" s="1518"/>
      <c r="R60" s="1520"/>
      <c r="S60" s="1514"/>
      <c r="T60" s="1517"/>
      <c r="U60" s="1518"/>
      <c r="V60" s="1535"/>
      <c r="W60" s="1518"/>
      <c r="X60" s="1520"/>
      <c r="Y60" s="1515"/>
      <c r="Z60" s="1518"/>
      <c r="AA60" s="1520"/>
      <c r="AB60" s="1513"/>
      <c r="AC60" s="1518"/>
      <c r="AD60" s="1518"/>
      <c r="AE60" s="1518"/>
      <c r="AF60" s="1518"/>
      <c r="AG60" s="1518"/>
      <c r="AH60" s="1521"/>
    </row>
    <row r="61" spans="1:34" x14ac:dyDescent="0.2">
      <c r="A61" s="424" t="s">
        <v>7790</v>
      </c>
      <c r="B61" s="312" t="s">
        <v>1368</v>
      </c>
      <c r="C61" s="32"/>
      <c r="D61" s="397">
        <v>51</v>
      </c>
      <c r="E61" s="305"/>
      <c r="F61" s="238"/>
      <c r="G61" s="238"/>
      <c r="H61" s="238"/>
      <c r="I61" s="238"/>
      <c r="J61" s="301"/>
      <c r="K61" s="350"/>
      <c r="L61" s="238"/>
      <c r="M61" s="343"/>
      <c r="N61" s="1513"/>
      <c r="O61" s="1534"/>
      <c r="P61" s="1515"/>
      <c r="Q61" s="1518"/>
      <c r="R61" s="1520"/>
      <c r="S61" s="1514"/>
      <c r="T61" s="1517"/>
      <c r="U61" s="1518"/>
      <c r="V61" s="1535"/>
      <c r="W61" s="1518"/>
      <c r="X61" s="1520"/>
      <c r="Y61" s="1515"/>
      <c r="Z61" s="1518"/>
      <c r="AA61" s="1520"/>
      <c r="AB61" s="1513"/>
      <c r="AC61" s="1518"/>
      <c r="AD61" s="1518"/>
      <c r="AE61" s="1518"/>
      <c r="AF61" s="1518"/>
      <c r="AG61" s="1518"/>
      <c r="AH61" s="1521"/>
    </row>
    <row r="62" spans="1:34" x14ac:dyDescent="0.2">
      <c r="A62" s="424" t="s">
        <v>7791</v>
      </c>
      <c r="B62" s="1420" t="s">
        <v>1375</v>
      </c>
      <c r="C62" s="20"/>
      <c r="D62" s="400">
        <v>52</v>
      </c>
      <c r="E62" s="395"/>
      <c r="F62" s="387"/>
      <c r="G62" s="387"/>
      <c r="H62" s="387"/>
      <c r="I62" s="387"/>
      <c r="J62" s="409"/>
      <c r="K62" s="376"/>
      <c r="L62" s="387"/>
      <c r="M62" s="419"/>
      <c r="N62" s="1558"/>
      <c r="O62" s="1559"/>
      <c r="P62" s="1560"/>
      <c r="Q62" s="1524"/>
      <c r="R62" s="1561"/>
      <c r="S62" s="1522"/>
      <c r="T62" s="1523"/>
      <c r="U62" s="1524"/>
      <c r="V62" s="1562"/>
      <c r="W62" s="1524"/>
      <c r="X62" s="1561"/>
      <c r="Y62" s="1560"/>
      <c r="Z62" s="1524"/>
      <c r="AA62" s="1561"/>
      <c r="AB62" s="1558"/>
      <c r="AC62" s="1524"/>
      <c r="AD62" s="1524"/>
      <c r="AE62" s="1524"/>
      <c r="AF62" s="1524"/>
      <c r="AG62" s="1524"/>
      <c r="AH62" s="1521"/>
    </row>
    <row r="63" spans="1:34" ht="13.5" thickBot="1" x14ac:dyDescent="0.25">
      <c r="A63" s="424" t="s">
        <v>7792</v>
      </c>
      <c r="B63" s="313" t="s">
        <v>7316</v>
      </c>
      <c r="C63" s="257"/>
      <c r="D63" s="401">
        <v>53</v>
      </c>
      <c r="E63" s="264"/>
      <c r="F63" s="258"/>
      <c r="G63" s="258"/>
      <c r="H63" s="258"/>
      <c r="I63" s="258"/>
      <c r="J63" s="261"/>
      <c r="K63" s="352"/>
      <c r="L63" s="258"/>
      <c r="M63" s="420"/>
      <c r="N63" s="1563"/>
      <c r="O63" s="1564"/>
      <c r="P63" s="1565"/>
      <c r="Q63" s="1566"/>
      <c r="R63" s="1567"/>
      <c r="S63" s="1568"/>
      <c r="T63" s="1569"/>
      <c r="U63" s="1566"/>
      <c r="V63" s="1570"/>
      <c r="W63" s="1566"/>
      <c r="X63" s="1567"/>
      <c r="Y63" s="1565"/>
      <c r="Z63" s="1566"/>
      <c r="AA63" s="1567"/>
      <c r="AB63" s="1563"/>
      <c r="AC63" s="1566"/>
      <c r="AD63" s="1566"/>
      <c r="AE63" s="1566"/>
      <c r="AF63" s="1566"/>
      <c r="AG63" s="1566"/>
      <c r="AH63" s="1571"/>
    </row>
    <row r="64" spans="1:34" ht="13.5" thickTop="1" x14ac:dyDescent="0.2"/>
  </sheetData>
  <mergeCells count="30">
    <mergeCell ref="J7:J9"/>
    <mergeCell ref="K7:K9"/>
    <mergeCell ref="N7:N9"/>
    <mergeCell ref="O7:O9"/>
    <mergeCell ref="AD7:AD9"/>
    <mergeCell ref="AA8:AA9"/>
    <mergeCell ref="Y7:Y9"/>
    <mergeCell ref="V7:V9"/>
    <mergeCell ref="Z8:Z9"/>
    <mergeCell ref="X8:X9"/>
    <mergeCell ref="P7:P9"/>
    <mergeCell ref="S7:S9"/>
    <mergeCell ref="U8:U9"/>
    <mergeCell ref="W8:W9"/>
    <mergeCell ref="L8:L9"/>
    <mergeCell ref="M8:M9"/>
    <mergeCell ref="E7:E9"/>
    <mergeCell ref="F7:F9"/>
    <mergeCell ref="G7:G9"/>
    <mergeCell ref="H7:H9"/>
    <mergeCell ref="I7:I9"/>
    <mergeCell ref="AG7:AG9"/>
    <mergeCell ref="AH7:AH9"/>
    <mergeCell ref="AF7:AF9"/>
    <mergeCell ref="AE7:AE9"/>
    <mergeCell ref="Q8:Q9"/>
    <mergeCell ref="R8:R9"/>
    <mergeCell ref="T8:T9"/>
    <mergeCell ref="AB7:AB9"/>
    <mergeCell ref="AC7:AC9"/>
  </mergeCells>
  <dataValidations count="1">
    <dataValidation type="whole" operator="greaterThanOrEqual" allowBlank="1" showInputMessage="1" showErrorMessage="1" error="Positive whole numbers only / Nombres entiers positifs uniquement" sqref="Y37:AG43 Y13:AG25 Y27:AG33 Y59:AG63 Y45:AG57 W37:W43 E45:W57 E59:W63 E13:W25 E27:W33" xr:uid="{00000000-0002-0000-1A00-000000000000}">
      <formula1>0</formula1>
    </dataValidation>
  </dataValidations>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theme="7"/>
  </sheetPr>
  <dimension ref="A1:L63"/>
  <sheetViews>
    <sheetView topLeftCell="C41" zoomScale="115" zoomScaleNormal="115" workbookViewId="0">
      <selection activeCell="C45" sqref="C45"/>
    </sheetView>
  </sheetViews>
  <sheetFormatPr defaultColWidth="9.140625" defaultRowHeight="12.75" x14ac:dyDescent="0.2"/>
  <cols>
    <col min="1" max="1" width="9.42578125" style="15" hidden="1" customWidth="1"/>
    <col min="2" max="2" width="9.85546875" style="15" hidden="1" customWidth="1"/>
    <col min="3" max="3" width="29.85546875" style="15" customWidth="1"/>
    <col min="4" max="4" width="4" style="15" customWidth="1"/>
    <col min="5" max="10" width="12" style="15" customWidth="1"/>
    <col min="11" max="12" width="16.7109375" style="15" customWidth="1"/>
    <col min="13" max="13" width="9.140625" style="15"/>
    <col min="14" max="14" width="24" style="15" bestFit="1" customWidth="1"/>
    <col min="15" max="15" width="9.140625" style="15"/>
    <col min="16" max="16" width="13.28515625" style="15" bestFit="1" customWidth="1"/>
    <col min="17" max="26" width="9.140625" style="15"/>
    <col min="27" max="27" width="30.5703125" style="15" customWidth="1"/>
    <col min="28" max="28" width="9.140625" style="15"/>
    <col min="29" max="31" width="12" style="15" customWidth="1"/>
    <col min="32" max="32" width="12.85546875" style="15" customWidth="1"/>
    <col min="33" max="33" width="13.7109375" style="15" customWidth="1"/>
    <col min="34" max="52" width="9.140625" style="15"/>
    <col min="53" max="53" width="39.28515625" style="15" customWidth="1"/>
    <col min="54" max="54" width="9.140625" style="15"/>
    <col min="55" max="59" width="13.5703125" style="15" customWidth="1"/>
    <col min="60" max="16384" width="9.140625" style="15"/>
  </cols>
  <sheetData>
    <row r="1" spans="1:12" ht="30" customHeight="1" x14ac:dyDescent="0.25">
      <c r="A1" s="229"/>
      <c r="B1" s="14"/>
      <c r="C1" s="2058">
        <f>DataYear</f>
        <v>2019</v>
      </c>
      <c r="D1" s="917"/>
      <c r="E1" s="918" t="s">
        <v>7793</v>
      </c>
      <c r="F1" s="244"/>
      <c r="G1" s="244"/>
      <c r="H1" s="244"/>
      <c r="I1" s="244"/>
      <c r="J1" s="244"/>
      <c r="K1" s="244"/>
      <c r="L1" s="244"/>
    </row>
    <row r="2" spans="1:12" ht="7.5" customHeight="1" x14ac:dyDescent="0.2">
      <c r="A2" s="14"/>
      <c r="B2" s="212" t="s">
        <v>7794</v>
      </c>
      <c r="C2" s="14"/>
      <c r="E2" s="210" t="s">
        <v>940</v>
      </c>
      <c r="F2" s="211" t="s">
        <v>954</v>
      </c>
      <c r="G2" s="211" t="s">
        <v>968</v>
      </c>
      <c r="H2" s="211" t="s">
        <v>947</v>
      </c>
      <c r="I2" s="211" t="s">
        <v>961</v>
      </c>
      <c r="J2" s="211" t="s">
        <v>975</v>
      </c>
      <c r="K2" s="211" t="s">
        <v>7795</v>
      </c>
      <c r="L2" s="211" t="s">
        <v>7796</v>
      </c>
    </row>
    <row r="3" spans="1:12" ht="13.5" thickBot="1" x14ac:dyDescent="0.25">
      <c r="E3" s="208"/>
      <c r="F3" s="209"/>
      <c r="G3" s="209"/>
      <c r="H3" s="209"/>
      <c r="I3" s="209"/>
      <c r="J3" s="209"/>
      <c r="K3" s="209"/>
      <c r="L3" s="209"/>
    </row>
    <row r="4" spans="1:12" ht="17.25" customHeight="1" thickTop="1" thickBot="1" x14ac:dyDescent="0.3">
      <c r="A4" s="1829" t="s">
        <v>7797</v>
      </c>
      <c r="B4" s="230" t="s">
        <v>7356</v>
      </c>
      <c r="C4" s="2059" t="str">
        <f>CountryName</f>
        <v>South Africa</v>
      </c>
      <c r="D4" s="1838"/>
      <c r="E4" s="2362" t="s">
        <v>7798</v>
      </c>
      <c r="F4" s="2363"/>
      <c r="G4" s="2364"/>
      <c r="H4" s="2363" t="s">
        <v>7799</v>
      </c>
      <c r="I4" s="2363"/>
      <c r="J4" s="2363"/>
      <c r="K4" s="2362" t="s">
        <v>7800</v>
      </c>
      <c r="L4" s="2364"/>
    </row>
    <row r="5" spans="1:12" ht="33.75" customHeight="1" thickTop="1" x14ac:dyDescent="0.2">
      <c r="A5" s="1837"/>
      <c r="B5" s="1837"/>
      <c r="C5" s="1830"/>
      <c r="D5" s="1839"/>
      <c r="E5" s="1816" t="s">
        <v>7801</v>
      </c>
      <c r="F5" s="1827" t="s">
        <v>7802</v>
      </c>
      <c r="G5" s="1817" t="s">
        <v>830</v>
      </c>
      <c r="H5" s="1818" t="s">
        <v>7801</v>
      </c>
      <c r="I5" s="1828" t="s">
        <v>7802</v>
      </c>
      <c r="J5" s="1819" t="s">
        <v>830</v>
      </c>
      <c r="K5" s="1826" t="s">
        <v>7803</v>
      </c>
      <c r="L5" s="1817" t="s">
        <v>7799</v>
      </c>
    </row>
    <row r="6" spans="1:12" ht="15.75" thickBot="1" x14ac:dyDescent="0.25">
      <c r="A6" s="1837"/>
      <c r="B6" s="1837"/>
      <c r="C6" s="1840"/>
      <c r="D6" s="1841"/>
      <c r="E6" s="1842"/>
      <c r="F6" s="1843"/>
      <c r="G6" s="1844"/>
      <c r="H6" s="1845"/>
      <c r="I6" s="1846"/>
      <c r="J6" s="1847"/>
      <c r="K6" s="1848"/>
      <c r="L6" s="1844"/>
    </row>
    <row r="7" spans="1:12" ht="14.25" thickTop="1" thickBot="1" x14ac:dyDescent="0.25">
      <c r="A7" s="1829" t="s">
        <v>7235</v>
      </c>
      <c r="B7" s="1831" t="s">
        <v>1483</v>
      </c>
      <c r="C7" s="2365" t="s">
        <v>7804</v>
      </c>
      <c r="D7" s="2366"/>
      <c r="E7" s="1814" t="s">
        <v>7239</v>
      </c>
      <c r="F7" s="1811" t="s">
        <v>7240</v>
      </c>
      <c r="G7" s="1813" t="s">
        <v>7241</v>
      </c>
      <c r="H7" s="1811" t="s">
        <v>7242</v>
      </c>
      <c r="I7" s="1812" t="s">
        <v>7243</v>
      </c>
      <c r="J7" s="1812" t="s">
        <v>7244</v>
      </c>
      <c r="K7" s="1815" t="s">
        <v>7805</v>
      </c>
      <c r="L7" s="1813" t="s">
        <v>7806</v>
      </c>
    </row>
    <row r="8" spans="1:12" ht="13.5" thickTop="1" x14ac:dyDescent="0.2">
      <c r="A8" s="1849"/>
      <c r="B8" s="1837"/>
      <c r="C8" s="1833" t="s">
        <v>375</v>
      </c>
      <c r="D8" s="1820">
        <v>1</v>
      </c>
      <c r="E8" s="1679"/>
      <c r="F8" s="1712"/>
      <c r="G8" s="1696"/>
      <c r="H8" s="1679"/>
      <c r="I8" s="1693"/>
      <c r="J8" s="1714"/>
      <c r="K8" s="1679"/>
      <c r="L8" s="1678"/>
    </row>
    <row r="9" spans="1:12" ht="12.75" customHeight="1" x14ac:dyDescent="0.2">
      <c r="A9" s="1832" t="s">
        <v>7807</v>
      </c>
      <c r="B9" s="1834" t="s">
        <v>750</v>
      </c>
      <c r="C9" s="2147" t="s">
        <v>751</v>
      </c>
      <c r="D9" s="1821">
        <v>2</v>
      </c>
      <c r="E9" s="1680"/>
      <c r="F9" s="1687"/>
      <c r="G9" s="1651"/>
      <c r="H9" s="1680"/>
      <c r="I9" s="1713"/>
      <c r="J9" s="1713"/>
      <c r="K9" s="1700"/>
      <c r="L9" s="1689"/>
    </row>
    <row r="10" spans="1:12" ht="12.75" customHeight="1" x14ac:dyDescent="0.2">
      <c r="A10" s="1832" t="s">
        <v>7807</v>
      </c>
      <c r="B10" s="1834" t="s">
        <v>7808</v>
      </c>
      <c r="C10" s="2147" t="s">
        <v>7809</v>
      </c>
      <c r="D10" s="1821">
        <v>3</v>
      </c>
      <c r="E10" s="1709"/>
      <c r="F10" s="1687"/>
      <c r="G10" s="1651"/>
      <c r="H10" s="1650"/>
      <c r="I10" s="1713"/>
      <c r="J10" s="1713"/>
      <c r="K10" s="1700"/>
      <c r="L10" s="1689"/>
    </row>
    <row r="11" spans="1:12" ht="12.75" customHeight="1" x14ac:dyDescent="0.2">
      <c r="A11" s="1832" t="s">
        <v>7807</v>
      </c>
      <c r="B11" s="1834" t="s">
        <v>7810</v>
      </c>
      <c r="C11" s="2146" t="s">
        <v>7811</v>
      </c>
      <c r="D11" s="1821">
        <v>4</v>
      </c>
      <c r="E11" s="1709"/>
      <c r="F11" s="1687"/>
      <c r="G11" s="1651"/>
      <c r="H11" s="1650"/>
      <c r="I11" s="1713"/>
      <c r="J11" s="1713"/>
      <c r="K11" s="1700"/>
      <c r="L11" s="1689"/>
    </row>
    <row r="12" spans="1:12" ht="12.75" customHeight="1" x14ac:dyDescent="0.2">
      <c r="A12" s="1832" t="s">
        <v>7807</v>
      </c>
      <c r="B12" s="1834" t="s">
        <v>7812</v>
      </c>
      <c r="C12" s="2147" t="s">
        <v>7813</v>
      </c>
      <c r="D12" s="1821">
        <v>5</v>
      </c>
      <c r="E12" s="1709"/>
      <c r="F12" s="1687"/>
      <c r="G12" s="1682"/>
      <c r="H12" s="1650"/>
      <c r="I12" s="1713"/>
      <c r="J12" s="1713"/>
      <c r="K12" s="1700"/>
      <c r="L12" s="1689"/>
    </row>
    <row r="13" spans="1:12" ht="12.75" customHeight="1" x14ac:dyDescent="0.2">
      <c r="A13" s="1832" t="s">
        <v>7807</v>
      </c>
      <c r="B13" s="1834" t="s">
        <v>7814</v>
      </c>
      <c r="C13" s="2146" t="s">
        <v>7815</v>
      </c>
      <c r="D13" s="1821">
        <v>6</v>
      </c>
      <c r="E13" s="1709"/>
      <c r="F13" s="1687"/>
      <c r="G13" s="1682"/>
      <c r="H13" s="1650"/>
      <c r="I13" s="1713"/>
      <c r="J13" s="1713"/>
      <c r="K13" s="1700"/>
      <c r="L13" s="1689"/>
    </row>
    <row r="14" spans="1:12" ht="12.75" customHeight="1" x14ac:dyDescent="0.2">
      <c r="A14" s="1832" t="s">
        <v>7807</v>
      </c>
      <c r="B14" s="208" t="s">
        <v>7816</v>
      </c>
      <c r="C14" s="2149" t="s">
        <v>7817</v>
      </c>
      <c r="D14" s="1821">
        <v>7</v>
      </c>
      <c r="E14" s="1709"/>
      <c r="F14" s="1687"/>
      <c r="G14" s="1682"/>
      <c r="H14" s="1650"/>
      <c r="I14" s="1713"/>
      <c r="J14" s="1713"/>
      <c r="K14" s="1700"/>
      <c r="L14" s="1689"/>
    </row>
    <row r="15" spans="1:12" ht="12.75" customHeight="1" x14ac:dyDescent="0.2">
      <c r="A15" s="1832" t="s">
        <v>7807</v>
      </c>
      <c r="B15" s="1834" t="s">
        <v>757</v>
      </c>
      <c r="C15" s="2147" t="s">
        <v>758</v>
      </c>
      <c r="D15" s="1821">
        <v>8</v>
      </c>
      <c r="E15" s="1709"/>
      <c r="F15" s="1704"/>
      <c r="G15" s="1682"/>
      <c r="H15" s="1650"/>
      <c r="I15" s="1705"/>
      <c r="J15" s="1713"/>
      <c r="K15" s="1700"/>
      <c r="L15" s="1689"/>
    </row>
    <row r="16" spans="1:12" ht="12.75" customHeight="1" x14ac:dyDescent="0.2">
      <c r="A16" s="1832" t="s">
        <v>7807</v>
      </c>
      <c r="B16" s="1834" t="s">
        <v>767</v>
      </c>
      <c r="C16" s="2147" t="s">
        <v>768</v>
      </c>
      <c r="D16" s="1821">
        <v>9</v>
      </c>
      <c r="E16" s="1680"/>
      <c r="F16" s="1687"/>
      <c r="G16" s="1682"/>
      <c r="H16" s="1680"/>
      <c r="I16" s="1713"/>
      <c r="J16" s="1713"/>
      <c r="K16" s="1700"/>
      <c r="L16" s="1689"/>
    </row>
    <row r="17" spans="1:12" ht="12.75" customHeight="1" x14ac:dyDescent="0.2">
      <c r="A17" s="1832" t="s">
        <v>7807</v>
      </c>
      <c r="B17" s="1834" t="s">
        <v>7818</v>
      </c>
      <c r="C17" s="2146" t="s">
        <v>7819</v>
      </c>
      <c r="D17" s="1821">
        <v>10</v>
      </c>
      <c r="E17" s="1709"/>
      <c r="F17" s="1687"/>
      <c r="G17" s="1682"/>
      <c r="H17" s="1650"/>
      <c r="I17" s="1687"/>
      <c r="J17" s="1713"/>
      <c r="K17" s="1700"/>
      <c r="L17" s="1689"/>
    </row>
    <row r="18" spans="1:12" ht="12.75" customHeight="1" x14ac:dyDescent="0.2">
      <c r="A18" s="1832" t="s">
        <v>7807</v>
      </c>
      <c r="B18" s="1834" t="s">
        <v>7820</v>
      </c>
      <c r="C18" s="2146" t="s">
        <v>7821</v>
      </c>
      <c r="D18" s="1821">
        <v>11</v>
      </c>
      <c r="E18" s="1709"/>
      <c r="F18" s="1687"/>
      <c r="G18" s="1682"/>
      <c r="H18" s="1650"/>
      <c r="I18" s="1687"/>
      <c r="J18" s="1713"/>
      <c r="K18" s="1700"/>
      <c r="L18" s="1689"/>
    </row>
    <row r="19" spans="1:12" ht="12.75" customHeight="1" x14ac:dyDescent="0.2">
      <c r="A19" s="1832" t="s">
        <v>7807</v>
      </c>
      <c r="B19" s="1834" t="s">
        <v>7822</v>
      </c>
      <c r="C19" s="2146" t="s">
        <v>7823</v>
      </c>
      <c r="D19" s="1821">
        <v>12</v>
      </c>
      <c r="E19" s="1709"/>
      <c r="F19" s="1687"/>
      <c r="G19" s="1682"/>
      <c r="H19" s="1650"/>
      <c r="I19" s="1687"/>
      <c r="J19" s="1713"/>
      <c r="K19" s="1700"/>
      <c r="L19" s="1689"/>
    </row>
    <row r="20" spans="1:12" ht="12.75" customHeight="1" x14ac:dyDescent="0.2">
      <c r="A20" s="1832" t="s">
        <v>7807</v>
      </c>
      <c r="B20" s="1834" t="s">
        <v>7824</v>
      </c>
      <c r="C20" s="2146" t="s">
        <v>7825</v>
      </c>
      <c r="D20" s="1821">
        <v>13</v>
      </c>
      <c r="E20" s="1709"/>
      <c r="F20" s="1687"/>
      <c r="G20" s="1682"/>
      <c r="H20" s="1650"/>
      <c r="I20" s="1687"/>
      <c r="J20" s="1713"/>
      <c r="K20" s="1700"/>
      <c r="L20" s="1689"/>
    </row>
    <row r="21" spans="1:12" ht="12.75" customHeight="1" x14ac:dyDescent="0.2">
      <c r="A21" s="1832" t="s">
        <v>7807</v>
      </c>
      <c r="B21" s="1834" t="s">
        <v>774</v>
      </c>
      <c r="C21" s="2147" t="s">
        <v>775</v>
      </c>
      <c r="D21" s="1821">
        <v>14</v>
      </c>
      <c r="E21" s="1709"/>
      <c r="F21" s="1704"/>
      <c r="G21" s="1682"/>
      <c r="H21" s="1650"/>
      <c r="I21" s="1704"/>
      <c r="J21" s="1713"/>
      <c r="K21" s="1700"/>
      <c r="L21" s="1689"/>
    </row>
    <row r="22" spans="1:12" ht="12.75" customHeight="1" x14ac:dyDescent="0.2">
      <c r="A22" s="1832" t="s">
        <v>7807</v>
      </c>
      <c r="B22" s="1834" t="s">
        <v>781</v>
      </c>
      <c r="C22" s="2147" t="s">
        <v>7826</v>
      </c>
      <c r="D22" s="1821">
        <v>15</v>
      </c>
      <c r="E22" s="1709"/>
      <c r="F22" s="1687"/>
      <c r="G22" s="1682"/>
      <c r="H22" s="1650"/>
      <c r="I22" s="1713"/>
      <c r="J22" s="1713"/>
      <c r="K22" s="1700"/>
      <c r="L22" s="1689"/>
    </row>
    <row r="23" spans="1:12" ht="12.75" customHeight="1" x14ac:dyDescent="0.2">
      <c r="A23" s="1832" t="s">
        <v>7807</v>
      </c>
      <c r="B23" s="1834" t="s">
        <v>788</v>
      </c>
      <c r="C23" s="2147" t="s">
        <v>789</v>
      </c>
      <c r="D23" s="1821">
        <v>16</v>
      </c>
      <c r="E23" s="1680"/>
      <c r="F23" s="1687"/>
      <c r="G23" s="1682"/>
      <c r="H23" s="1643"/>
      <c r="I23" s="1713"/>
      <c r="J23" s="1713"/>
      <c r="K23" s="1700"/>
      <c r="L23" s="1689"/>
    </row>
    <row r="24" spans="1:12" ht="12.75" customHeight="1" x14ac:dyDescent="0.2">
      <c r="A24" s="1832" t="s">
        <v>7807</v>
      </c>
      <c r="B24" s="1834" t="s">
        <v>7827</v>
      </c>
      <c r="C24" s="2147" t="s">
        <v>7828</v>
      </c>
      <c r="D24" s="1821">
        <v>17</v>
      </c>
      <c r="E24" s="1709"/>
      <c r="F24" s="1687"/>
      <c r="G24" s="1682"/>
      <c r="H24" s="1650"/>
      <c r="I24" s="1713"/>
      <c r="J24" s="1713"/>
      <c r="K24" s="1700"/>
      <c r="L24" s="1689"/>
    </row>
    <row r="25" spans="1:12" ht="12.75" customHeight="1" x14ac:dyDescent="0.2">
      <c r="A25" s="1832" t="s">
        <v>7807</v>
      </c>
      <c r="B25" s="1834" t="s">
        <v>7829</v>
      </c>
      <c r="C25" s="2147" t="s">
        <v>7830</v>
      </c>
      <c r="D25" s="1821">
        <v>18</v>
      </c>
      <c r="E25" s="1709"/>
      <c r="F25" s="1687"/>
      <c r="G25" s="1682"/>
      <c r="H25" s="1650"/>
      <c r="I25" s="1713"/>
      <c r="J25" s="1713"/>
      <c r="K25" s="1700"/>
      <c r="L25" s="1689"/>
    </row>
    <row r="26" spans="1:12" ht="12.75" customHeight="1" x14ac:dyDescent="0.2">
      <c r="A26" s="1832" t="s">
        <v>7807</v>
      </c>
      <c r="B26" s="1834" t="s">
        <v>659</v>
      </c>
      <c r="C26" s="2147" t="s">
        <v>660</v>
      </c>
      <c r="D26" s="1821">
        <v>19</v>
      </c>
      <c r="E26" s="1709"/>
      <c r="F26" s="1704"/>
      <c r="G26" s="1682"/>
      <c r="H26" s="1650"/>
      <c r="I26" s="1705"/>
      <c r="J26" s="1713"/>
      <c r="K26" s="1700"/>
      <c r="L26" s="1689"/>
    </row>
    <row r="27" spans="1:12" ht="12.75" customHeight="1" x14ac:dyDescent="0.2">
      <c r="A27" s="1832" t="s">
        <v>7807</v>
      </c>
      <c r="B27" s="1834" t="s">
        <v>7831</v>
      </c>
      <c r="C27" s="2146" t="s">
        <v>7832</v>
      </c>
      <c r="D27" s="1821">
        <v>20</v>
      </c>
      <c r="E27" s="1709"/>
      <c r="F27" s="1704"/>
      <c r="G27" s="1682"/>
      <c r="H27" s="1650"/>
      <c r="I27" s="1705"/>
      <c r="J27" s="1713"/>
      <c r="K27" s="1700"/>
      <c r="L27" s="1689"/>
    </row>
    <row r="28" spans="1:12" ht="12.75" customHeight="1" x14ac:dyDescent="0.2">
      <c r="A28" s="1832" t="s">
        <v>7807</v>
      </c>
      <c r="B28" s="1834" t="s">
        <v>7833</v>
      </c>
      <c r="C28" s="2147" t="s">
        <v>7834</v>
      </c>
      <c r="D28" s="1821">
        <v>21</v>
      </c>
      <c r="E28" s="1692"/>
      <c r="F28" s="1785"/>
      <c r="G28" s="1682"/>
      <c r="H28" s="1690"/>
      <c r="I28" s="1715"/>
      <c r="J28" s="1713"/>
      <c r="K28" s="1700"/>
      <c r="L28" s="1689"/>
    </row>
    <row r="29" spans="1:12" ht="12.75" customHeight="1" x14ac:dyDescent="0.2">
      <c r="A29" s="1832" t="s">
        <v>7807</v>
      </c>
      <c r="B29" s="1834" t="s">
        <v>7835</v>
      </c>
      <c r="C29" s="2146" t="s">
        <v>7832</v>
      </c>
      <c r="D29" s="1821">
        <v>22</v>
      </c>
      <c r="E29" s="1709"/>
      <c r="F29" s="1704"/>
      <c r="G29" s="1682"/>
      <c r="H29" s="1650"/>
      <c r="I29" s="1705"/>
      <c r="J29" s="1713"/>
      <c r="K29" s="1700"/>
      <c r="L29" s="1689"/>
    </row>
    <row r="30" spans="1:12" ht="12.75" customHeight="1" x14ac:dyDescent="0.2">
      <c r="A30" s="1832" t="s">
        <v>7807</v>
      </c>
      <c r="B30" s="1834" t="s">
        <v>669</v>
      </c>
      <c r="C30" s="2147" t="s">
        <v>7836</v>
      </c>
      <c r="D30" s="1821">
        <v>23</v>
      </c>
      <c r="E30" s="1709"/>
      <c r="F30" s="1704"/>
      <c r="G30" s="1682"/>
      <c r="H30" s="1650"/>
      <c r="I30" s="1705"/>
      <c r="J30" s="1713"/>
      <c r="K30" s="1700"/>
      <c r="L30" s="1689"/>
    </row>
    <row r="31" spans="1:12" ht="12.75" customHeight="1" x14ac:dyDescent="0.2">
      <c r="A31" s="1832" t="s">
        <v>7807</v>
      </c>
      <c r="B31" s="1834" t="s">
        <v>7837</v>
      </c>
      <c r="C31" s="2146" t="s">
        <v>7838</v>
      </c>
      <c r="D31" s="1821">
        <v>24</v>
      </c>
      <c r="E31" s="1709"/>
      <c r="F31" s="1704"/>
      <c r="G31" s="1682"/>
      <c r="H31" s="1650"/>
      <c r="I31" s="1705"/>
      <c r="J31" s="1713"/>
      <c r="K31" s="1700"/>
      <c r="L31" s="1689"/>
    </row>
    <row r="32" spans="1:12" ht="12.75" customHeight="1" x14ac:dyDescent="0.2">
      <c r="A32" s="1832" t="s">
        <v>7807</v>
      </c>
      <c r="B32" s="1834" t="s">
        <v>676</v>
      </c>
      <c r="C32" s="2147" t="s">
        <v>7839</v>
      </c>
      <c r="D32" s="1821">
        <v>25</v>
      </c>
      <c r="E32" s="1709"/>
      <c r="F32" s="1704"/>
      <c r="G32" s="1682"/>
      <c r="H32" s="1650"/>
      <c r="I32" s="1705"/>
      <c r="J32" s="1713"/>
      <c r="K32" s="1700"/>
      <c r="L32" s="1689"/>
    </row>
    <row r="33" spans="1:12" ht="12.75" customHeight="1" x14ac:dyDescent="0.2">
      <c r="A33" s="1832" t="s">
        <v>7807</v>
      </c>
      <c r="B33" s="1834" t="s">
        <v>7840</v>
      </c>
      <c r="C33" s="2146" t="s">
        <v>7838</v>
      </c>
      <c r="D33" s="1821">
        <v>26</v>
      </c>
      <c r="E33" s="1709"/>
      <c r="F33" s="1704"/>
      <c r="G33" s="1682"/>
      <c r="H33" s="1650"/>
      <c r="I33" s="1705"/>
      <c r="J33" s="1713"/>
      <c r="K33" s="1700"/>
      <c r="L33" s="1689"/>
    </row>
    <row r="34" spans="1:12" ht="12.75" customHeight="1" x14ac:dyDescent="0.2">
      <c r="A34" s="1832" t="s">
        <v>7807</v>
      </c>
      <c r="B34" s="1834" t="s">
        <v>7841</v>
      </c>
      <c r="C34" s="2147" t="s">
        <v>7842</v>
      </c>
      <c r="D34" s="1821">
        <v>27</v>
      </c>
      <c r="E34" s="1709"/>
      <c r="F34" s="1704"/>
      <c r="G34" s="1682"/>
      <c r="H34" s="1650"/>
      <c r="I34" s="1705"/>
      <c r="J34" s="1713"/>
      <c r="K34" s="1700"/>
      <c r="L34" s="1689"/>
    </row>
    <row r="35" spans="1:12" ht="12.75" customHeight="1" x14ac:dyDescent="0.2">
      <c r="A35" s="1832" t="s">
        <v>7807</v>
      </c>
      <c r="B35" s="1834" t="s">
        <v>7843</v>
      </c>
      <c r="C35" s="2146" t="s">
        <v>7832</v>
      </c>
      <c r="D35" s="1821">
        <v>28</v>
      </c>
      <c r="E35" s="1709"/>
      <c r="F35" s="1704"/>
      <c r="G35" s="1682"/>
      <c r="H35" s="1650"/>
      <c r="I35" s="1705"/>
      <c r="J35" s="1713"/>
      <c r="K35" s="1700"/>
      <c r="L35" s="1689"/>
    </row>
    <row r="36" spans="1:12" ht="12.75" customHeight="1" x14ac:dyDescent="0.2">
      <c r="A36" s="1832" t="s">
        <v>7807</v>
      </c>
      <c r="B36" s="1834" t="s">
        <v>689</v>
      </c>
      <c r="C36" s="2147" t="s">
        <v>690</v>
      </c>
      <c r="D36" s="1821">
        <v>29</v>
      </c>
      <c r="E36" s="1709"/>
      <c r="F36" s="1704"/>
      <c r="G36" s="1682"/>
      <c r="H36" s="1650"/>
      <c r="I36" s="1705"/>
      <c r="J36" s="1713"/>
      <c r="K36" s="1700"/>
      <c r="L36" s="1689"/>
    </row>
    <row r="37" spans="1:12" ht="12.75" customHeight="1" x14ac:dyDescent="0.2">
      <c r="A37" s="1832" t="s">
        <v>7807</v>
      </c>
      <c r="B37" s="1834" t="s">
        <v>710</v>
      </c>
      <c r="C37" s="2147" t="s">
        <v>711</v>
      </c>
      <c r="D37" s="1821">
        <v>30</v>
      </c>
      <c r="E37" s="1709"/>
      <c r="F37" s="1704"/>
      <c r="G37" s="1682"/>
      <c r="H37" s="1683"/>
      <c r="I37" s="1809"/>
      <c r="J37" s="1713"/>
      <c r="K37" s="1784"/>
      <c r="L37" s="1689"/>
    </row>
    <row r="38" spans="1:12" ht="12.75" customHeight="1" x14ac:dyDescent="0.2">
      <c r="A38" s="1832" t="s">
        <v>7807</v>
      </c>
      <c r="B38" s="1834" t="s">
        <v>696</v>
      </c>
      <c r="C38" s="2147" t="s">
        <v>7844</v>
      </c>
      <c r="D38" s="1821">
        <v>31</v>
      </c>
      <c r="E38" s="1709"/>
      <c r="F38" s="1704"/>
      <c r="G38" s="1682"/>
      <c r="H38" s="1683"/>
      <c r="I38" s="1809"/>
      <c r="J38" s="1713"/>
      <c r="K38" s="1648"/>
      <c r="L38" s="1689"/>
    </row>
    <row r="39" spans="1:12" ht="12.75" customHeight="1" thickBot="1" x14ac:dyDescent="0.25">
      <c r="A39" s="1832" t="s">
        <v>7807</v>
      </c>
      <c r="B39" s="1834" t="s">
        <v>717</v>
      </c>
      <c r="C39" s="2148" t="s">
        <v>718</v>
      </c>
      <c r="D39" s="1850">
        <v>32</v>
      </c>
      <c r="E39" s="1699"/>
      <c r="F39" s="1719"/>
      <c r="G39" s="1703"/>
      <c r="H39" s="1720"/>
      <c r="I39" s="1718"/>
      <c r="J39" s="1688"/>
      <c r="K39" s="1649"/>
      <c r="L39" s="1810"/>
    </row>
    <row r="40" spans="1:12" ht="12.75" customHeight="1" thickTop="1" thickBot="1" x14ac:dyDescent="0.25">
      <c r="A40" s="1832"/>
      <c r="B40" s="1832"/>
      <c r="C40" s="1835" t="s">
        <v>7845</v>
      </c>
      <c r="D40" s="1822"/>
      <c r="E40" s="1808"/>
      <c r="F40" s="1808"/>
      <c r="G40" s="1808"/>
      <c r="H40" s="1808"/>
      <c r="I40" s="1808"/>
      <c r="J40" s="1808"/>
      <c r="K40" s="1808"/>
      <c r="L40" s="1808"/>
    </row>
    <row r="41" spans="1:12" ht="13.5" thickTop="1" x14ac:dyDescent="0.2">
      <c r="A41" s="1832"/>
      <c r="B41" s="1832"/>
      <c r="C41" s="1836" t="s">
        <v>375</v>
      </c>
      <c r="D41" s="1823">
        <v>33</v>
      </c>
      <c r="E41" s="1644"/>
      <c r="F41" s="1693"/>
      <c r="G41" s="1681"/>
      <c r="H41" s="1695"/>
      <c r="I41" s="1693"/>
      <c r="J41" s="1693"/>
      <c r="K41" s="1697"/>
      <c r="L41" s="1681"/>
    </row>
    <row r="42" spans="1:12" ht="12.75" customHeight="1" x14ac:dyDescent="0.2">
      <c r="A42" s="1832" t="s">
        <v>7846</v>
      </c>
      <c r="B42" s="1834" t="s">
        <v>757</v>
      </c>
      <c r="C42" s="2150" t="s">
        <v>758</v>
      </c>
      <c r="D42" s="1824">
        <v>34</v>
      </c>
      <c r="E42" s="1686"/>
      <c r="F42" s="1711"/>
      <c r="G42" s="1717"/>
      <c r="H42" s="1716"/>
      <c r="I42" s="1711"/>
      <c r="J42" s="1705"/>
      <c r="K42" s="1701"/>
      <c r="L42" s="1706"/>
    </row>
    <row r="43" spans="1:12" ht="12.75" customHeight="1" x14ac:dyDescent="0.2">
      <c r="A43" s="1832" t="s">
        <v>7846</v>
      </c>
      <c r="B43" s="1834" t="s">
        <v>774</v>
      </c>
      <c r="C43" s="2150" t="s">
        <v>775</v>
      </c>
      <c r="D43" s="1824">
        <v>35</v>
      </c>
      <c r="E43" s="1686"/>
      <c r="F43" s="1711"/>
      <c r="G43" s="1717"/>
      <c r="H43" s="1716"/>
      <c r="I43" s="1711"/>
      <c r="J43" s="1705"/>
      <c r="K43" s="1701"/>
      <c r="L43" s="1706"/>
    </row>
    <row r="44" spans="1:12" ht="12.75" customHeight="1" x14ac:dyDescent="0.2">
      <c r="A44" s="1832" t="s">
        <v>7846</v>
      </c>
      <c r="B44" s="1834" t="s">
        <v>7847</v>
      </c>
      <c r="C44" s="2150" t="s">
        <v>796</v>
      </c>
      <c r="D44" s="1824">
        <v>36</v>
      </c>
      <c r="E44" s="1686"/>
      <c r="F44" s="1711"/>
      <c r="G44" s="1717"/>
      <c r="H44" s="1716"/>
      <c r="I44" s="1711"/>
      <c r="J44" s="1705"/>
      <c r="K44" s="1701"/>
      <c r="L44" s="1706"/>
    </row>
    <row r="45" spans="1:12" ht="12.75" customHeight="1" x14ac:dyDescent="0.2">
      <c r="A45" s="1832" t="s">
        <v>7846</v>
      </c>
      <c r="B45" s="1834" t="s">
        <v>659</v>
      </c>
      <c r="C45" s="2150" t="s">
        <v>7848</v>
      </c>
      <c r="D45" s="1824">
        <v>37</v>
      </c>
      <c r="E45" s="1686"/>
      <c r="F45" s="1711"/>
      <c r="G45" s="1717"/>
      <c r="H45" s="1716"/>
      <c r="I45" s="1711"/>
      <c r="J45" s="1705"/>
      <c r="K45" s="1701"/>
      <c r="L45" s="1706"/>
    </row>
    <row r="46" spans="1:12" ht="12.75" customHeight="1" x14ac:dyDescent="0.2">
      <c r="A46" s="1832" t="s">
        <v>7846</v>
      </c>
      <c r="B46" s="1834" t="s">
        <v>7831</v>
      </c>
      <c r="C46" s="2151" t="s">
        <v>7832</v>
      </c>
      <c r="D46" s="1824">
        <v>38</v>
      </c>
      <c r="E46" s="1686"/>
      <c r="F46" s="1711"/>
      <c r="G46" s="1717"/>
      <c r="H46" s="1716"/>
      <c r="I46" s="1711"/>
      <c r="J46" s="1705"/>
      <c r="K46" s="1701"/>
      <c r="L46" s="1706"/>
    </row>
    <row r="47" spans="1:12" ht="12.75" customHeight="1" x14ac:dyDescent="0.2">
      <c r="A47" s="1832" t="s">
        <v>7846</v>
      </c>
      <c r="B47" s="1834" t="s">
        <v>7833</v>
      </c>
      <c r="C47" s="2150" t="s">
        <v>7834</v>
      </c>
      <c r="D47" s="1824">
        <v>39</v>
      </c>
      <c r="E47" s="1686"/>
      <c r="F47" s="1642"/>
      <c r="G47" s="1706"/>
      <c r="H47" s="1716"/>
      <c r="I47" s="1642"/>
      <c r="J47" s="1642"/>
      <c r="K47" s="1701"/>
      <c r="L47" s="1706"/>
    </row>
    <row r="48" spans="1:12" ht="12.75" customHeight="1" x14ac:dyDescent="0.2">
      <c r="A48" s="1832" t="s">
        <v>7846</v>
      </c>
      <c r="B48" s="1834" t="s">
        <v>7835</v>
      </c>
      <c r="C48" s="2151" t="s">
        <v>7832</v>
      </c>
      <c r="D48" s="1824">
        <v>40</v>
      </c>
      <c r="E48" s="1686"/>
      <c r="F48" s="1711"/>
      <c r="G48" s="1717"/>
      <c r="H48" s="1716"/>
      <c r="I48" s="1711"/>
      <c r="J48" s="1711"/>
      <c r="K48" s="1701"/>
      <c r="L48" s="1706"/>
    </row>
    <row r="49" spans="1:12" ht="12.75" customHeight="1" x14ac:dyDescent="0.2">
      <c r="A49" s="1832" t="s">
        <v>7846</v>
      </c>
      <c r="B49" s="1834" t="s">
        <v>669</v>
      </c>
      <c r="C49" s="2150" t="s">
        <v>7836</v>
      </c>
      <c r="D49" s="1824">
        <v>41</v>
      </c>
      <c r="E49" s="1686"/>
      <c r="F49" s="1711"/>
      <c r="G49" s="1691"/>
      <c r="H49" s="1716"/>
      <c r="I49" s="1711"/>
      <c r="J49" s="1711"/>
      <c r="K49" s="1701"/>
      <c r="L49" s="1706"/>
    </row>
    <row r="50" spans="1:12" ht="12.75" customHeight="1" x14ac:dyDescent="0.2">
      <c r="A50" s="1832" t="s">
        <v>7846</v>
      </c>
      <c r="B50" s="1834" t="s">
        <v>7837</v>
      </c>
      <c r="C50" s="2151" t="s">
        <v>7838</v>
      </c>
      <c r="D50" s="1824">
        <v>42</v>
      </c>
      <c r="E50" s="1686"/>
      <c r="F50" s="1711"/>
      <c r="G50" s="1691"/>
      <c r="H50" s="1716"/>
      <c r="I50" s="1711"/>
      <c r="J50" s="1711"/>
      <c r="K50" s="1701"/>
      <c r="L50" s="1706"/>
    </row>
    <row r="51" spans="1:12" ht="12.75" customHeight="1" x14ac:dyDescent="0.2">
      <c r="A51" s="1832" t="s">
        <v>7846</v>
      </c>
      <c r="B51" s="1834" t="s">
        <v>676</v>
      </c>
      <c r="C51" s="2150" t="s">
        <v>7839</v>
      </c>
      <c r="D51" s="1824">
        <v>43</v>
      </c>
      <c r="E51" s="1685"/>
      <c r="F51" s="1711"/>
      <c r="G51" s="1691"/>
      <c r="H51" s="1716"/>
      <c r="I51" s="1711"/>
      <c r="J51" s="1711"/>
      <c r="K51" s="1701"/>
      <c r="L51" s="1706"/>
    </row>
    <row r="52" spans="1:12" ht="12.75" customHeight="1" x14ac:dyDescent="0.2">
      <c r="A52" s="1832" t="s">
        <v>7846</v>
      </c>
      <c r="B52" s="1834" t="s">
        <v>7840</v>
      </c>
      <c r="C52" s="2151" t="s">
        <v>7838</v>
      </c>
      <c r="D52" s="1824">
        <v>44</v>
      </c>
      <c r="E52" s="1685"/>
      <c r="F52" s="1711"/>
      <c r="G52" s="1717"/>
      <c r="H52" s="1716"/>
      <c r="I52" s="1711"/>
      <c r="J52" s="1705"/>
      <c r="K52" s="1701"/>
      <c r="L52" s="1706"/>
    </row>
    <row r="53" spans="1:12" ht="12.75" customHeight="1" x14ac:dyDescent="0.2">
      <c r="A53" s="1832" t="s">
        <v>7846</v>
      </c>
      <c r="B53" s="1834" t="s">
        <v>7841</v>
      </c>
      <c r="C53" s="2150" t="s">
        <v>7842</v>
      </c>
      <c r="D53" s="1824">
        <v>45</v>
      </c>
      <c r="E53" s="1685"/>
      <c r="F53" s="1711"/>
      <c r="G53" s="1717"/>
      <c r="H53" s="1716"/>
      <c r="I53" s="1711"/>
      <c r="J53" s="1705"/>
      <c r="K53" s="1701"/>
      <c r="L53" s="1706"/>
    </row>
    <row r="54" spans="1:12" ht="12.75" customHeight="1" x14ac:dyDescent="0.2">
      <c r="A54" s="1832" t="s">
        <v>7846</v>
      </c>
      <c r="B54" s="1834" t="s">
        <v>7843</v>
      </c>
      <c r="C54" s="2151" t="s">
        <v>7832</v>
      </c>
      <c r="D54" s="1824">
        <v>46</v>
      </c>
      <c r="E54" s="1685"/>
      <c r="F54" s="1711"/>
      <c r="G54" s="1717"/>
      <c r="H54" s="1716"/>
      <c r="I54" s="1711"/>
      <c r="J54" s="1705"/>
      <c r="K54" s="1701"/>
      <c r="L54" s="1706"/>
    </row>
    <row r="55" spans="1:12" ht="12.75" customHeight="1" x14ac:dyDescent="0.2">
      <c r="A55" s="1832" t="s">
        <v>7846</v>
      </c>
      <c r="B55" s="1834" t="s">
        <v>689</v>
      </c>
      <c r="C55" s="2150" t="s">
        <v>690</v>
      </c>
      <c r="D55" s="1824">
        <v>47</v>
      </c>
      <c r="E55" s="1677"/>
      <c r="F55" s="1711"/>
      <c r="G55" s="1717"/>
      <c r="H55" s="1687"/>
      <c r="I55" s="1711"/>
      <c r="J55" s="1705"/>
      <c r="K55" s="1701"/>
      <c r="L55" s="1706"/>
    </row>
    <row r="56" spans="1:12" ht="12.75" customHeight="1" x14ac:dyDescent="0.2">
      <c r="A56" s="1832" t="s">
        <v>7846</v>
      </c>
      <c r="B56" s="1834" t="s">
        <v>710</v>
      </c>
      <c r="C56" s="2150" t="s">
        <v>711</v>
      </c>
      <c r="D56" s="1824">
        <v>48</v>
      </c>
      <c r="E56" s="1677"/>
      <c r="F56" s="1647"/>
      <c r="G56" s="1691"/>
      <c r="H56" s="1698"/>
      <c r="I56" s="1704"/>
      <c r="J56" s="1717"/>
      <c r="K56" s="1701"/>
      <c r="L56" s="1706"/>
    </row>
    <row r="57" spans="1:12" ht="12.75" customHeight="1" x14ac:dyDescent="0.2">
      <c r="A57" s="1832" t="s">
        <v>7846</v>
      </c>
      <c r="B57" s="1834" t="s">
        <v>696</v>
      </c>
      <c r="C57" s="2150" t="s">
        <v>7844</v>
      </c>
      <c r="D57" s="1824">
        <v>49</v>
      </c>
      <c r="E57" s="1677"/>
      <c r="F57" s="1647"/>
      <c r="G57" s="1645"/>
      <c r="H57" s="1698"/>
      <c r="I57" s="1704"/>
      <c r="J57" s="1717"/>
      <c r="K57" s="1701"/>
      <c r="L57" s="1706"/>
    </row>
    <row r="58" spans="1:12" ht="12.75" customHeight="1" thickBot="1" x14ac:dyDescent="0.25">
      <c r="A58" s="1832" t="s">
        <v>7846</v>
      </c>
      <c r="B58" s="1834" t="s">
        <v>717</v>
      </c>
      <c r="C58" s="2148" t="s">
        <v>718</v>
      </c>
      <c r="D58" s="1825">
        <v>50</v>
      </c>
      <c r="E58" s="1707"/>
      <c r="F58" s="1694"/>
      <c r="G58" s="1743"/>
      <c r="H58" s="1702"/>
      <c r="I58" s="1646"/>
      <c r="J58" s="1710"/>
      <c r="K58" s="1684"/>
      <c r="L58" s="1708"/>
    </row>
    <row r="59" spans="1:12" ht="12.75" customHeight="1" thickTop="1" x14ac:dyDescent="0.2"/>
    <row r="60" spans="1:12" ht="12.75" customHeight="1" x14ac:dyDescent="0.2"/>
    <row r="63" spans="1:12" ht="12.75" customHeight="1" x14ac:dyDescent="0.2"/>
  </sheetData>
  <mergeCells count="4">
    <mergeCell ref="E4:G4"/>
    <mergeCell ref="H4:J4"/>
    <mergeCell ref="K4:L4"/>
    <mergeCell ref="C7:D7"/>
  </mergeCells>
  <phoneticPr fontId="58" type="noConversion"/>
  <dataValidations count="1">
    <dataValidation type="decimal" operator="greaterThanOrEqual" allowBlank="1" showInputMessage="1" showErrorMessage="1" error="Positive whole numbers only / Nombres entiers positifs uniquement" sqref="E8:L58" xr:uid="{00000000-0002-0000-1B00-000000000000}">
      <formula1>0</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theme="7"/>
  </sheetPr>
  <dimension ref="A1:BZ69"/>
  <sheetViews>
    <sheetView workbookViewId="0">
      <pane xSplit="4" ySplit="7" topLeftCell="E8" activePane="bottomRight" state="frozen"/>
      <selection pane="topRight"/>
      <selection pane="bottomLeft"/>
      <selection pane="bottomRight" activeCell="S18" sqref="S18"/>
    </sheetView>
  </sheetViews>
  <sheetFormatPr defaultColWidth="9.140625" defaultRowHeight="12.75" x14ac:dyDescent="0.2"/>
  <cols>
    <col min="1" max="1" width="10.140625" style="15" hidden="1" customWidth="1"/>
    <col min="2" max="2" width="10.42578125" style="15" hidden="1" customWidth="1"/>
    <col min="3" max="3" width="40.7109375" style="15" customWidth="1"/>
    <col min="4" max="4" width="4.140625" style="15" customWidth="1"/>
    <col min="5" max="17" width="12.7109375" style="15" customWidth="1"/>
    <col min="18" max="18" width="9.140625" style="15"/>
    <col min="19" max="19" width="34.7109375" style="15" bestFit="1" customWidth="1"/>
    <col min="20" max="21" width="9.28515625" style="15" customWidth="1"/>
    <col min="22" max="26" width="9.140625" style="15"/>
    <col min="27" max="27" width="29.42578125" style="15" hidden="1" customWidth="1"/>
    <col min="28" max="28" width="9.140625" style="15" hidden="1" customWidth="1"/>
    <col min="29" max="41" width="12.5703125" style="15" hidden="1" customWidth="1"/>
    <col min="42" max="52" width="9.140625" style="15" hidden="1" customWidth="1"/>
    <col min="53" max="53" width="47.5703125" style="15" hidden="1" customWidth="1"/>
    <col min="54" max="54" width="1.85546875" style="15" hidden="1" customWidth="1"/>
    <col min="55" max="67" width="16.85546875" style="15" hidden="1" customWidth="1"/>
    <col min="68" max="78" width="9.140625" style="15" hidden="1" customWidth="1"/>
    <col min="79" max="16384" width="9.140625" style="15"/>
  </cols>
  <sheetData>
    <row r="1" spans="1:19" ht="30" customHeight="1" thickBot="1" x14ac:dyDescent="0.3">
      <c r="B1" s="239"/>
      <c r="C1" s="2058">
        <f>DataYear</f>
        <v>2019</v>
      </c>
      <c r="E1" s="918" t="s">
        <v>7849</v>
      </c>
      <c r="F1" s="244"/>
      <c r="G1" s="244"/>
      <c r="H1" s="244"/>
      <c r="I1" s="244"/>
      <c r="J1" s="244"/>
      <c r="K1" s="244"/>
      <c r="L1" s="244"/>
      <c r="M1" s="244"/>
      <c r="N1" s="244"/>
      <c r="O1" s="244"/>
      <c r="P1" s="244"/>
      <c r="Q1" s="244"/>
    </row>
    <row r="2" spans="1:19" ht="14.25" hidden="1" customHeight="1" thickBot="1" x14ac:dyDescent="0.25">
      <c r="B2" s="17" t="s">
        <v>7850</v>
      </c>
      <c r="C2" s="14"/>
      <c r="E2" s="216" t="s">
        <v>757</v>
      </c>
      <c r="F2" s="216" t="s">
        <v>774</v>
      </c>
      <c r="G2" s="216" t="s">
        <v>659</v>
      </c>
      <c r="H2" s="216" t="s">
        <v>669</v>
      </c>
      <c r="I2" s="216" t="s">
        <v>676</v>
      </c>
      <c r="J2" s="216" t="s">
        <v>682</v>
      </c>
      <c r="K2" s="216" t="s">
        <v>731</v>
      </c>
      <c r="L2" s="216" t="s">
        <v>689</v>
      </c>
      <c r="M2" s="216" t="s">
        <v>696</v>
      </c>
      <c r="N2" s="216" t="s">
        <v>7851</v>
      </c>
      <c r="O2" s="216" t="s">
        <v>703</v>
      </c>
      <c r="P2" s="216" t="s">
        <v>710</v>
      </c>
      <c r="Q2" s="216" t="s">
        <v>717</v>
      </c>
    </row>
    <row r="3" spans="1:19" ht="13.5" hidden="1" customHeight="1" thickBot="1" x14ac:dyDescent="0.25">
      <c r="E3" s="20"/>
      <c r="F3" s="20"/>
      <c r="G3" s="20"/>
      <c r="H3" s="20"/>
      <c r="I3" s="20"/>
      <c r="J3" s="20"/>
      <c r="K3" s="20"/>
      <c r="L3" s="20"/>
      <c r="M3" s="20"/>
      <c r="N3" s="20"/>
      <c r="O3" s="20"/>
      <c r="P3" s="20"/>
      <c r="Q3" s="20"/>
    </row>
    <row r="4" spans="1:19" ht="17.25" thickTop="1" thickBot="1" x14ac:dyDescent="0.3">
      <c r="A4" s="920" t="s">
        <v>7852</v>
      </c>
      <c r="B4" s="214" t="s">
        <v>7356</v>
      </c>
      <c r="C4" s="213"/>
      <c r="D4" s="891"/>
      <c r="E4" s="921"/>
      <c r="F4" s="922"/>
      <c r="G4" s="922"/>
      <c r="H4" s="2367" t="s">
        <v>7853</v>
      </c>
      <c r="I4" s="2368"/>
      <c r="J4" s="2367" t="s">
        <v>7854</v>
      </c>
      <c r="K4" s="2368"/>
      <c r="L4" s="923" t="s">
        <v>689</v>
      </c>
      <c r="M4" s="2367" t="s">
        <v>7855</v>
      </c>
      <c r="N4" s="2369"/>
      <c r="O4" s="2369"/>
      <c r="P4" s="2369"/>
      <c r="Q4" s="2370"/>
    </row>
    <row r="5" spans="1:19" ht="34.5" thickTop="1" x14ac:dyDescent="0.2">
      <c r="C5" s="2057" t="str">
        <f>CountryName</f>
        <v>South Africa</v>
      </c>
      <c r="D5" s="891"/>
      <c r="E5" s="924" t="s">
        <v>7856</v>
      </c>
      <c r="F5" s="925" t="s">
        <v>775</v>
      </c>
      <c r="G5" s="926" t="s">
        <v>7857</v>
      </c>
      <c r="H5" s="927" t="s">
        <v>7858</v>
      </c>
      <c r="I5" s="926" t="s">
        <v>7859</v>
      </c>
      <c r="J5" s="926" t="s">
        <v>7860</v>
      </c>
      <c r="K5" s="926" t="s">
        <v>732</v>
      </c>
      <c r="L5" s="928" t="s">
        <v>690</v>
      </c>
      <c r="M5" s="926" t="s">
        <v>697</v>
      </c>
      <c r="N5" s="926" t="s">
        <v>7861</v>
      </c>
      <c r="O5" s="926" t="s">
        <v>7862</v>
      </c>
      <c r="P5" s="929" t="s">
        <v>711</v>
      </c>
      <c r="Q5" s="930" t="s">
        <v>718</v>
      </c>
    </row>
    <row r="6" spans="1:19" ht="13.5" customHeight="1" thickBot="1" x14ac:dyDescent="0.25">
      <c r="C6" s="891"/>
      <c r="D6" s="891"/>
      <c r="E6" s="931" t="s">
        <v>7863</v>
      </c>
      <c r="F6" s="932" t="s">
        <v>7863</v>
      </c>
      <c r="G6" s="932" t="s">
        <v>7863</v>
      </c>
      <c r="H6" s="933" t="s">
        <v>7863</v>
      </c>
      <c r="I6" s="934" t="s">
        <v>7863</v>
      </c>
      <c r="J6" s="935" t="s">
        <v>7863</v>
      </c>
      <c r="K6" s="936" t="s">
        <v>7864</v>
      </c>
      <c r="L6" s="935" t="s">
        <v>7863</v>
      </c>
      <c r="M6" s="936" t="s">
        <v>7864</v>
      </c>
      <c r="N6" s="936" t="s">
        <v>7864</v>
      </c>
      <c r="O6" s="936" t="s">
        <v>7864</v>
      </c>
      <c r="P6" s="936" t="s">
        <v>7864</v>
      </c>
      <c r="Q6" s="936" t="s">
        <v>7864</v>
      </c>
    </row>
    <row r="7" spans="1:19" ht="17.25" thickTop="1" thickBot="1" x14ac:dyDescent="0.3">
      <c r="A7" s="920" t="s">
        <v>7235</v>
      </c>
      <c r="C7" s="217"/>
      <c r="D7" s="937"/>
      <c r="E7" s="938" t="s">
        <v>7239</v>
      </c>
      <c r="F7" s="939" t="s">
        <v>7240</v>
      </c>
      <c r="G7" s="939" t="s">
        <v>7241</v>
      </c>
      <c r="H7" s="940" t="s">
        <v>7242</v>
      </c>
      <c r="I7" s="938" t="s">
        <v>7243</v>
      </c>
      <c r="J7" s="941" t="s">
        <v>7244</v>
      </c>
      <c r="K7" s="941" t="s">
        <v>7245</v>
      </c>
      <c r="L7" s="941" t="s">
        <v>7246</v>
      </c>
      <c r="M7" s="941" t="s">
        <v>7247</v>
      </c>
      <c r="N7" s="941" t="s">
        <v>7248</v>
      </c>
      <c r="O7" s="941" t="s">
        <v>7249</v>
      </c>
      <c r="P7" s="941" t="s">
        <v>7250</v>
      </c>
      <c r="Q7" s="942" t="s">
        <v>7251</v>
      </c>
    </row>
    <row r="8" spans="1:19" ht="13.5" customHeight="1" thickTop="1" x14ac:dyDescent="0.2">
      <c r="A8" s="214" t="s">
        <v>852</v>
      </c>
      <c r="C8" s="1864" t="s">
        <v>7256</v>
      </c>
      <c r="D8" s="943">
        <v>1</v>
      </c>
      <c r="E8" s="1983"/>
      <c r="F8" s="1983"/>
      <c r="G8" s="1984"/>
      <c r="H8" s="1985"/>
      <c r="I8" s="1985"/>
      <c r="J8" s="1985"/>
      <c r="K8" s="1985"/>
      <c r="L8" s="1985"/>
      <c r="M8" s="1985"/>
      <c r="N8" s="1985"/>
      <c r="O8" s="1985"/>
      <c r="P8" s="1985"/>
      <c r="Q8" s="1986"/>
      <c r="S8"/>
    </row>
    <row r="9" spans="1:19" ht="13.5" customHeight="1" x14ac:dyDescent="0.2">
      <c r="A9" s="214" t="s">
        <v>7263</v>
      </c>
      <c r="C9" s="1865" t="s">
        <v>7865</v>
      </c>
      <c r="D9" s="944">
        <v>2</v>
      </c>
      <c r="E9" s="1987"/>
      <c r="F9" s="1987"/>
      <c r="G9" s="1988"/>
      <c r="H9" s="1989"/>
      <c r="I9" s="1989"/>
      <c r="J9" s="1989"/>
      <c r="K9" s="1989"/>
      <c r="L9" s="1989"/>
      <c r="M9" s="1989"/>
      <c r="N9" s="1989"/>
      <c r="O9" s="1989"/>
      <c r="P9" s="1989"/>
      <c r="Q9" s="1990"/>
      <c r="S9"/>
    </row>
    <row r="10" spans="1:19" ht="13.5" customHeight="1" x14ac:dyDescent="0.2">
      <c r="A10" s="214" t="s">
        <v>7265</v>
      </c>
      <c r="C10" s="1865" t="s">
        <v>7866</v>
      </c>
      <c r="D10" s="944">
        <v>3</v>
      </c>
      <c r="E10" s="1987"/>
      <c r="F10" s="1987"/>
      <c r="G10" s="1988"/>
      <c r="H10" s="1989"/>
      <c r="I10" s="1989"/>
      <c r="J10" s="1989"/>
      <c r="K10" s="1989"/>
      <c r="L10" s="1989"/>
      <c r="M10" s="1989"/>
      <c r="N10" s="1989"/>
      <c r="O10" s="1989"/>
      <c r="P10" s="1989"/>
      <c r="Q10" s="1990"/>
      <c r="S10"/>
    </row>
    <row r="11" spans="1:19" ht="13.5" customHeight="1" x14ac:dyDescent="0.2">
      <c r="A11" s="214" t="s">
        <v>7268</v>
      </c>
      <c r="C11" s="1865" t="s">
        <v>7867</v>
      </c>
      <c r="D11" s="944">
        <v>4</v>
      </c>
      <c r="E11" s="1991"/>
      <c r="F11" s="1991"/>
      <c r="G11" s="1992"/>
      <c r="H11" s="1993"/>
      <c r="I11" s="1993"/>
      <c r="J11" s="1993"/>
      <c r="K11" s="1993"/>
      <c r="L11" s="1993"/>
      <c r="M11" s="1993"/>
      <c r="N11" s="1993"/>
      <c r="O11" s="1993"/>
      <c r="P11" s="1993"/>
      <c r="Q11" s="1990"/>
      <c r="S11"/>
    </row>
    <row r="12" spans="1:19" ht="13.5" customHeight="1" x14ac:dyDescent="0.2">
      <c r="A12" s="214" t="s">
        <v>7270</v>
      </c>
      <c r="C12" s="1865" t="s">
        <v>7868</v>
      </c>
      <c r="D12" s="944">
        <v>5</v>
      </c>
      <c r="E12" s="1994"/>
      <c r="F12" s="1994"/>
      <c r="G12" s="1995"/>
      <c r="H12" s="1996"/>
      <c r="I12" s="1996"/>
      <c r="J12" s="1997"/>
      <c r="K12" s="1998"/>
      <c r="L12" s="1998"/>
      <c r="M12" s="1998"/>
      <c r="N12" s="1998"/>
      <c r="O12" s="1998"/>
      <c r="P12" s="1998"/>
      <c r="Q12" s="1999"/>
      <c r="S12"/>
    </row>
    <row r="13" spans="1:19" ht="13.5" customHeight="1" thickBot="1" x14ac:dyDescent="0.25">
      <c r="A13" s="214" t="s">
        <v>198</v>
      </c>
      <c r="C13" s="1865" t="s">
        <v>197</v>
      </c>
      <c r="D13" s="944">
        <v>6</v>
      </c>
      <c r="E13" s="2000"/>
      <c r="F13" s="2000"/>
      <c r="G13" s="2001"/>
      <c r="H13" s="2002"/>
      <c r="I13" s="2002"/>
      <c r="J13" s="2002"/>
      <c r="K13" s="2002"/>
      <c r="L13" s="2002"/>
      <c r="M13" s="2002"/>
      <c r="N13" s="2002"/>
      <c r="O13" s="2002"/>
      <c r="P13" s="2002"/>
      <c r="Q13" s="2003"/>
      <c r="S13"/>
    </row>
    <row r="14" spans="1:19" ht="13.5" customHeight="1" thickTop="1" x14ac:dyDescent="0.2">
      <c r="A14" s="214" t="s">
        <v>936</v>
      </c>
      <c r="B14" s="571"/>
      <c r="C14" s="1866" t="s">
        <v>7399</v>
      </c>
      <c r="D14" s="945">
        <v>7</v>
      </c>
      <c r="E14" s="2004"/>
      <c r="F14" s="2004"/>
      <c r="G14" s="2004"/>
      <c r="H14" s="2004"/>
      <c r="I14" s="2004"/>
      <c r="J14" s="2004"/>
      <c r="K14" s="2004"/>
      <c r="L14" s="2004"/>
      <c r="M14" s="2005"/>
      <c r="N14" s="2006"/>
      <c r="O14" s="2006"/>
      <c r="P14" s="2006"/>
      <c r="Q14" s="2007"/>
      <c r="S14"/>
    </row>
    <row r="15" spans="1:19" ht="13.5" customHeight="1" x14ac:dyDescent="0.2">
      <c r="A15" s="214" t="s">
        <v>940</v>
      </c>
      <c r="C15" s="1865" t="s">
        <v>7278</v>
      </c>
      <c r="D15" s="944">
        <v>8</v>
      </c>
      <c r="E15" s="1987"/>
      <c r="F15" s="1987"/>
      <c r="G15" s="1987"/>
      <c r="H15" s="1987"/>
      <c r="I15" s="1987"/>
      <c r="J15" s="1987"/>
      <c r="K15" s="1991"/>
      <c r="L15" s="1993"/>
      <c r="M15" s="1992"/>
      <c r="N15" s="2008"/>
      <c r="O15" s="2008"/>
      <c r="P15" s="2008"/>
      <c r="Q15" s="1990"/>
      <c r="S15"/>
    </row>
    <row r="16" spans="1:19" ht="13.5" customHeight="1" x14ac:dyDescent="0.2">
      <c r="A16" s="214" t="s">
        <v>954</v>
      </c>
      <c r="C16" s="1865" t="s">
        <v>7279</v>
      </c>
      <c r="D16" s="944">
        <v>9</v>
      </c>
      <c r="E16" s="1987"/>
      <c r="F16" s="1987"/>
      <c r="G16" s="1987"/>
      <c r="H16" s="1987"/>
      <c r="I16" s="1987"/>
      <c r="J16" s="1987"/>
      <c r="K16" s="1991"/>
      <c r="L16" s="1993"/>
      <c r="M16" s="1992"/>
      <c r="N16" s="2008"/>
      <c r="O16" s="2008"/>
      <c r="P16" s="2008"/>
      <c r="Q16" s="1990"/>
      <c r="S16"/>
    </row>
    <row r="17" spans="1:19" ht="13.5" customHeight="1" x14ac:dyDescent="0.2">
      <c r="A17" s="214" t="s">
        <v>968</v>
      </c>
      <c r="C17" s="1865" t="s">
        <v>7280</v>
      </c>
      <c r="D17" s="944">
        <v>10</v>
      </c>
      <c r="E17" s="1987"/>
      <c r="F17" s="1987"/>
      <c r="G17" s="1987"/>
      <c r="H17" s="1987"/>
      <c r="I17" s="1987"/>
      <c r="J17" s="1987"/>
      <c r="K17" s="1991"/>
      <c r="L17" s="1993"/>
      <c r="M17" s="1992"/>
      <c r="N17" s="2008"/>
      <c r="O17" s="2008"/>
      <c r="P17" s="2008"/>
      <c r="Q17" s="1990"/>
      <c r="S17"/>
    </row>
    <row r="18" spans="1:19" ht="13.5" customHeight="1" x14ac:dyDescent="0.2">
      <c r="A18" s="214" t="s">
        <v>947</v>
      </c>
      <c r="C18" s="1865" t="s">
        <v>7281</v>
      </c>
      <c r="D18" s="944">
        <v>11</v>
      </c>
      <c r="E18" s="1987"/>
      <c r="F18" s="1987"/>
      <c r="G18" s="1987"/>
      <c r="H18" s="1987"/>
      <c r="I18" s="1987"/>
      <c r="J18" s="1987"/>
      <c r="K18" s="1991"/>
      <c r="L18" s="1993"/>
      <c r="M18" s="1992"/>
      <c r="N18" s="2008"/>
      <c r="O18" s="2008"/>
      <c r="P18" s="2008"/>
      <c r="Q18" s="1990"/>
      <c r="S18"/>
    </row>
    <row r="19" spans="1:19" ht="13.5" customHeight="1" x14ac:dyDescent="0.2">
      <c r="A19" s="214" t="s">
        <v>961</v>
      </c>
      <c r="C19" s="1865" t="s">
        <v>7282</v>
      </c>
      <c r="D19" s="944">
        <v>12</v>
      </c>
      <c r="E19" s="1987"/>
      <c r="F19" s="1987"/>
      <c r="G19" s="1987"/>
      <c r="H19" s="1987"/>
      <c r="I19" s="1987"/>
      <c r="J19" s="1987"/>
      <c r="K19" s="1991"/>
      <c r="L19" s="1993"/>
      <c r="M19" s="1992"/>
      <c r="N19" s="2008"/>
      <c r="O19" s="2008"/>
      <c r="P19" s="2008"/>
      <c r="Q19" s="1990"/>
      <c r="S19"/>
    </row>
    <row r="20" spans="1:19" ht="13.5" customHeight="1" x14ac:dyDescent="0.2">
      <c r="A20" s="214" t="s">
        <v>975</v>
      </c>
      <c r="C20" s="1867" t="s">
        <v>7283</v>
      </c>
      <c r="D20" s="944">
        <v>13</v>
      </c>
      <c r="E20" s="1987"/>
      <c r="F20" s="1987"/>
      <c r="G20" s="1987"/>
      <c r="H20" s="1987"/>
      <c r="I20" s="1987"/>
      <c r="J20" s="1987"/>
      <c r="K20" s="1991"/>
      <c r="L20" s="1993"/>
      <c r="M20" s="1992"/>
      <c r="N20" s="2008"/>
      <c r="O20" s="2008"/>
      <c r="P20" s="2008"/>
      <c r="Q20" s="1990"/>
      <c r="S20"/>
    </row>
    <row r="21" spans="1:19" ht="13.5" customHeight="1" x14ac:dyDescent="0.2">
      <c r="A21" s="214" t="s">
        <v>996</v>
      </c>
      <c r="C21" s="1868" t="s">
        <v>7284</v>
      </c>
      <c r="D21" s="944">
        <v>14</v>
      </c>
      <c r="E21" s="1991"/>
      <c r="F21" s="1991"/>
      <c r="G21" s="1987"/>
      <c r="H21" s="1991"/>
      <c r="I21" s="1991"/>
      <c r="J21" s="1991"/>
      <c r="K21" s="1991"/>
      <c r="L21" s="1991"/>
      <c r="M21" s="1992"/>
      <c r="N21" s="2008"/>
      <c r="O21" s="2008"/>
      <c r="P21" s="2008"/>
      <c r="Q21" s="1990"/>
      <c r="S21"/>
    </row>
    <row r="22" spans="1:19" ht="13.5" customHeight="1" x14ac:dyDescent="0.2">
      <c r="A22" s="214" t="s">
        <v>1030</v>
      </c>
      <c r="C22" s="1868" t="s">
        <v>7869</v>
      </c>
      <c r="D22" s="944">
        <v>15</v>
      </c>
      <c r="E22" s="1991"/>
      <c r="F22" s="1991"/>
      <c r="G22" s="1993"/>
      <c r="H22" s="1993"/>
      <c r="I22" s="1993"/>
      <c r="J22" s="1993"/>
      <c r="K22" s="1993"/>
      <c r="L22" s="1991"/>
      <c r="M22" s="1992"/>
      <c r="N22" s="2008"/>
      <c r="O22" s="2008"/>
      <c r="P22" s="2008"/>
      <c r="Q22" s="1990"/>
      <c r="S22"/>
    </row>
    <row r="23" spans="1:19" ht="13.5" customHeight="1" x14ac:dyDescent="0.2">
      <c r="A23" s="214" t="s">
        <v>1010</v>
      </c>
      <c r="C23" s="1868" t="s">
        <v>7287</v>
      </c>
      <c r="D23" s="944">
        <v>16</v>
      </c>
      <c r="E23" s="1991"/>
      <c r="F23" s="1991"/>
      <c r="G23" s="1991"/>
      <c r="H23" s="1991"/>
      <c r="I23" s="1991"/>
      <c r="J23" s="1991"/>
      <c r="K23" s="1991"/>
      <c r="L23" s="1993"/>
      <c r="M23" s="1992"/>
      <c r="N23" s="2008"/>
      <c r="O23" s="2008"/>
      <c r="P23" s="2008"/>
      <c r="Q23" s="1990"/>
      <c r="S23"/>
    </row>
    <row r="24" spans="1:19" ht="13.5" customHeight="1" x14ac:dyDescent="0.2">
      <c r="A24" s="214" t="s">
        <v>1017</v>
      </c>
      <c r="C24" s="1868" t="s">
        <v>7288</v>
      </c>
      <c r="D24" s="944">
        <v>17</v>
      </c>
      <c r="E24" s="1991"/>
      <c r="F24" s="1991"/>
      <c r="G24" s="1991"/>
      <c r="H24" s="1991"/>
      <c r="I24" s="1991"/>
      <c r="J24" s="1991"/>
      <c r="K24" s="1993"/>
      <c r="L24" s="1993"/>
      <c r="M24" s="1992"/>
      <c r="N24" s="2008"/>
      <c r="O24" s="2008"/>
      <c r="P24" s="2008"/>
      <c r="Q24" s="1990"/>
      <c r="S24"/>
    </row>
    <row r="25" spans="1:19" ht="13.5" customHeight="1" x14ac:dyDescent="0.2">
      <c r="A25" s="214" t="s">
        <v>1058</v>
      </c>
      <c r="C25" s="1868" t="s">
        <v>7870</v>
      </c>
      <c r="D25" s="944">
        <v>18</v>
      </c>
      <c r="E25" s="1991"/>
      <c r="F25" s="1991"/>
      <c r="G25" s="1991"/>
      <c r="H25" s="1991"/>
      <c r="I25" s="1991"/>
      <c r="J25" s="1991"/>
      <c r="K25" s="1991"/>
      <c r="L25" s="1993"/>
      <c r="M25" s="1992"/>
      <c r="N25" s="2008"/>
      <c r="O25" s="2008"/>
      <c r="P25" s="2008"/>
      <c r="Q25" s="1990"/>
      <c r="S25"/>
    </row>
    <row r="26" spans="1:19" ht="13.5" customHeight="1" x14ac:dyDescent="0.2">
      <c r="A26" s="214" t="s">
        <v>7871</v>
      </c>
      <c r="C26" s="1868" t="s">
        <v>7872</v>
      </c>
      <c r="D26" s="944">
        <v>19</v>
      </c>
      <c r="E26" s="1991"/>
      <c r="F26" s="1991"/>
      <c r="G26" s="1991"/>
      <c r="H26" s="1991"/>
      <c r="I26" s="1991"/>
      <c r="J26" s="1991"/>
      <c r="K26" s="1991"/>
      <c r="L26" s="1991"/>
      <c r="M26" s="1992"/>
      <c r="N26" s="2008"/>
      <c r="O26" s="2008"/>
      <c r="P26" s="2008"/>
      <c r="Q26" s="1990"/>
      <c r="S26"/>
    </row>
    <row r="27" spans="1:19" ht="13.5" customHeight="1" x14ac:dyDescent="0.2">
      <c r="A27" s="214" t="s">
        <v>1065</v>
      </c>
      <c r="C27" s="1868" t="s">
        <v>7873</v>
      </c>
      <c r="D27" s="944">
        <v>20</v>
      </c>
      <c r="E27" s="1991"/>
      <c r="F27" s="1991"/>
      <c r="G27" s="1991"/>
      <c r="H27" s="1991"/>
      <c r="I27" s="1991"/>
      <c r="J27" s="1993"/>
      <c r="K27" s="1991"/>
      <c r="L27" s="1991"/>
      <c r="M27" s="1992"/>
      <c r="N27" s="2008"/>
      <c r="O27" s="2008"/>
      <c r="P27" s="2008"/>
      <c r="Q27" s="1990"/>
      <c r="S27"/>
    </row>
    <row r="28" spans="1:19" ht="13.5" customHeight="1" thickBot="1" x14ac:dyDescent="0.25">
      <c r="A28" s="214" t="s">
        <v>1072</v>
      </c>
      <c r="C28" s="1863" t="s">
        <v>7290</v>
      </c>
      <c r="D28" s="946">
        <v>21</v>
      </c>
      <c r="E28" s="2009"/>
      <c r="F28" s="2009"/>
      <c r="G28" s="2009"/>
      <c r="H28" s="2009"/>
      <c r="I28" s="2009"/>
      <c r="J28" s="2009"/>
      <c r="K28" s="2009"/>
      <c r="L28" s="2009"/>
      <c r="M28" s="2010"/>
      <c r="N28" s="2009"/>
      <c r="O28" s="2009"/>
      <c r="P28" s="2009"/>
      <c r="Q28" s="2011"/>
      <c r="S28"/>
    </row>
    <row r="29" spans="1:19" ht="13.5" customHeight="1" thickTop="1" x14ac:dyDescent="0.2">
      <c r="A29" s="214" t="s">
        <v>1082</v>
      </c>
      <c r="C29" s="1876" t="s">
        <v>7436</v>
      </c>
      <c r="D29" s="944">
        <v>22</v>
      </c>
      <c r="E29" s="2012"/>
      <c r="F29" s="2013"/>
      <c r="G29" s="2013"/>
      <c r="H29" s="2013"/>
      <c r="I29" s="2013"/>
      <c r="J29" s="2013"/>
      <c r="K29" s="2013"/>
      <c r="L29" s="2013"/>
      <c r="M29" s="1997"/>
      <c r="N29" s="1997"/>
      <c r="O29" s="1997"/>
      <c r="P29" s="1997"/>
      <c r="Q29" s="2014"/>
      <c r="S29"/>
    </row>
    <row r="30" spans="1:19" ht="13.5" customHeight="1" x14ac:dyDescent="0.2">
      <c r="A30" s="214" t="s">
        <v>1116</v>
      </c>
      <c r="C30" s="1865" t="s">
        <v>7874</v>
      </c>
      <c r="D30" s="944">
        <v>23</v>
      </c>
      <c r="E30" s="1987"/>
      <c r="F30" s="1989"/>
      <c r="G30" s="1989"/>
      <c r="H30" s="1989"/>
      <c r="I30" s="1989"/>
      <c r="J30" s="1989"/>
      <c r="K30" s="1989"/>
      <c r="L30" s="1989"/>
      <c r="M30" s="2008"/>
      <c r="N30" s="2008"/>
      <c r="O30" s="2008"/>
      <c r="P30" s="2008"/>
      <c r="Q30" s="1990"/>
      <c r="S30"/>
    </row>
    <row r="31" spans="1:19" ht="13.5" customHeight="1" x14ac:dyDescent="0.2">
      <c r="A31" s="214" t="s">
        <v>1155</v>
      </c>
      <c r="C31" s="1865" t="s">
        <v>7704</v>
      </c>
      <c r="D31" s="944">
        <v>24</v>
      </c>
      <c r="E31" s="1987"/>
      <c r="F31" s="1989"/>
      <c r="G31" s="1989"/>
      <c r="H31" s="1989"/>
      <c r="I31" s="1989"/>
      <c r="J31" s="1989"/>
      <c r="K31" s="1989"/>
      <c r="L31" s="1989"/>
      <c r="M31" s="2008"/>
      <c r="N31" s="2008"/>
      <c r="O31" s="2008"/>
      <c r="P31" s="2008"/>
      <c r="Q31" s="1990"/>
      <c r="S31"/>
    </row>
    <row r="32" spans="1:19" ht="13.5" customHeight="1" x14ac:dyDescent="0.2">
      <c r="A32" s="214" t="s">
        <v>1089</v>
      </c>
      <c r="C32" s="1865" t="s">
        <v>1090</v>
      </c>
      <c r="D32" s="944">
        <v>25</v>
      </c>
      <c r="E32" s="1987"/>
      <c r="F32" s="1989"/>
      <c r="G32" s="1989"/>
      <c r="H32" s="1989"/>
      <c r="I32" s="1989"/>
      <c r="J32" s="1989"/>
      <c r="K32" s="1989"/>
      <c r="L32" s="1989"/>
      <c r="M32" s="2008"/>
      <c r="N32" s="2008"/>
      <c r="O32" s="2008"/>
      <c r="P32" s="2008"/>
      <c r="Q32" s="1990"/>
      <c r="S32"/>
    </row>
    <row r="33" spans="1:19" ht="13.5" customHeight="1" x14ac:dyDescent="0.2">
      <c r="A33" s="214" t="s">
        <v>1103</v>
      </c>
      <c r="C33" s="1865" t="s">
        <v>7294</v>
      </c>
      <c r="D33" s="944">
        <v>26</v>
      </c>
      <c r="E33" s="1987"/>
      <c r="F33" s="1989"/>
      <c r="G33" s="1989"/>
      <c r="H33" s="1989"/>
      <c r="I33" s="1989"/>
      <c r="J33" s="1989"/>
      <c r="K33" s="1989"/>
      <c r="L33" s="1989"/>
      <c r="M33" s="2008"/>
      <c r="N33" s="2008"/>
      <c r="O33" s="2008"/>
      <c r="P33" s="2008"/>
      <c r="Q33" s="1990"/>
      <c r="S33"/>
    </row>
    <row r="34" spans="1:19" ht="13.5" customHeight="1" x14ac:dyDescent="0.2">
      <c r="A34" s="214" t="s">
        <v>1107</v>
      </c>
      <c r="C34" s="1865" t="s">
        <v>7295</v>
      </c>
      <c r="D34" s="944">
        <v>27</v>
      </c>
      <c r="E34" s="1987"/>
      <c r="F34" s="1989"/>
      <c r="G34" s="1989"/>
      <c r="H34" s="1989"/>
      <c r="I34" s="1989"/>
      <c r="J34" s="1989"/>
      <c r="K34" s="1989"/>
      <c r="L34" s="1989"/>
      <c r="M34" s="2008"/>
      <c r="N34" s="2008"/>
      <c r="O34" s="2008"/>
      <c r="P34" s="2008"/>
      <c r="Q34" s="1990"/>
      <c r="S34"/>
    </row>
    <row r="35" spans="1:19" ht="13.5" customHeight="1" x14ac:dyDescent="0.2">
      <c r="A35" s="214" t="s">
        <v>1132</v>
      </c>
      <c r="C35" s="1865" t="s">
        <v>1038</v>
      </c>
      <c r="D35" s="944">
        <v>28</v>
      </c>
      <c r="E35" s="1987"/>
      <c r="F35" s="1989"/>
      <c r="G35" s="1989"/>
      <c r="H35" s="1989"/>
      <c r="I35" s="1989"/>
      <c r="J35" s="1989"/>
      <c r="K35" s="1989"/>
      <c r="L35" s="1989"/>
      <c r="M35" s="2008"/>
      <c r="N35" s="2008"/>
      <c r="O35" s="2008"/>
      <c r="P35" s="2008"/>
      <c r="Q35" s="1990"/>
      <c r="S35"/>
    </row>
    <row r="36" spans="1:19" ht="13.5" customHeight="1" x14ac:dyDescent="0.2">
      <c r="A36" s="214" t="s">
        <v>1127</v>
      </c>
      <c r="C36" s="1865" t="s">
        <v>7875</v>
      </c>
      <c r="D36" s="944">
        <v>29</v>
      </c>
      <c r="E36" s="1987"/>
      <c r="F36" s="1989"/>
      <c r="G36" s="1989"/>
      <c r="H36" s="1989"/>
      <c r="I36" s="1989"/>
      <c r="J36" s="1989"/>
      <c r="K36" s="1989"/>
      <c r="L36" s="1989"/>
      <c r="M36" s="2008"/>
      <c r="N36" s="2008"/>
      <c r="O36" s="2008"/>
      <c r="P36" s="2008"/>
      <c r="Q36" s="1990"/>
      <c r="S36"/>
    </row>
    <row r="37" spans="1:19" ht="13.5" customHeight="1" x14ac:dyDescent="0.2">
      <c r="A37" s="214" t="s">
        <v>1111</v>
      </c>
      <c r="C37" s="1865" t="s">
        <v>7297</v>
      </c>
      <c r="D37" s="944">
        <v>30</v>
      </c>
      <c r="E37" s="1987"/>
      <c r="F37" s="1989"/>
      <c r="G37" s="1989"/>
      <c r="H37" s="1989"/>
      <c r="I37" s="1989"/>
      <c r="J37" s="1989"/>
      <c r="K37" s="1989"/>
      <c r="L37" s="1989"/>
      <c r="M37" s="2008"/>
      <c r="N37" s="2008"/>
      <c r="O37" s="2008"/>
      <c r="P37" s="2008"/>
      <c r="Q37" s="1990"/>
      <c r="S37"/>
    </row>
    <row r="38" spans="1:19" ht="13.5" customHeight="1" x14ac:dyDescent="0.2">
      <c r="A38" s="214" t="s">
        <v>1123</v>
      </c>
      <c r="C38" s="1865" t="s">
        <v>7298</v>
      </c>
      <c r="D38" s="944">
        <v>31</v>
      </c>
      <c r="E38" s="1987"/>
      <c r="F38" s="1989"/>
      <c r="G38" s="1989"/>
      <c r="H38" s="1989"/>
      <c r="I38" s="1989"/>
      <c r="J38" s="1989"/>
      <c r="K38" s="1989"/>
      <c r="L38" s="1989"/>
      <c r="M38" s="2008"/>
      <c r="N38" s="2008"/>
      <c r="O38" s="2008"/>
      <c r="P38" s="2008"/>
      <c r="Q38" s="1990"/>
      <c r="S38"/>
    </row>
    <row r="39" spans="1:19" ht="13.5" customHeight="1" x14ac:dyDescent="0.2">
      <c r="A39" s="214" t="s">
        <v>1176</v>
      </c>
      <c r="C39" s="1865" t="s">
        <v>7876</v>
      </c>
      <c r="D39" s="944">
        <v>32</v>
      </c>
      <c r="E39" s="1987"/>
      <c r="F39" s="1989"/>
      <c r="G39" s="1989"/>
      <c r="H39" s="1989"/>
      <c r="I39" s="1989"/>
      <c r="J39" s="1989"/>
      <c r="K39" s="1989"/>
      <c r="L39" s="1989"/>
      <c r="M39" s="2008"/>
      <c r="N39" s="2008"/>
      <c r="O39" s="2008"/>
      <c r="P39" s="2008"/>
      <c r="Q39" s="1990"/>
      <c r="S39"/>
    </row>
    <row r="40" spans="1:19" ht="13.5" customHeight="1" thickBot="1" x14ac:dyDescent="0.25">
      <c r="A40" s="214" t="s">
        <v>1180</v>
      </c>
      <c r="C40" s="1865" t="s">
        <v>7460</v>
      </c>
      <c r="D40" s="944">
        <v>33</v>
      </c>
      <c r="E40" s="1987"/>
      <c r="F40" s="2009"/>
      <c r="G40" s="2009"/>
      <c r="H40" s="2009"/>
      <c r="I40" s="2009"/>
      <c r="J40" s="2009"/>
      <c r="K40" s="2009"/>
      <c r="L40" s="2009"/>
      <c r="M40" s="1989"/>
      <c r="N40" s="1989"/>
      <c r="O40" s="1989"/>
      <c r="P40" s="1989"/>
      <c r="Q40" s="1990"/>
      <c r="S40"/>
    </row>
    <row r="41" spans="1:19" ht="13.5" customHeight="1" thickTop="1" thickBot="1" x14ac:dyDescent="0.25">
      <c r="A41" s="214" t="s">
        <v>1187</v>
      </c>
      <c r="C41" s="1869" t="s">
        <v>7465</v>
      </c>
      <c r="D41" s="947">
        <v>34</v>
      </c>
      <c r="E41" s="2015"/>
      <c r="F41" s="2015"/>
      <c r="G41" s="2015"/>
      <c r="H41" s="2015"/>
      <c r="I41" s="2015"/>
      <c r="J41" s="2015"/>
      <c r="K41" s="2015"/>
      <c r="L41" s="2015"/>
      <c r="M41" s="2016"/>
      <c r="N41" s="2016"/>
      <c r="O41" s="2016"/>
      <c r="P41" s="2016"/>
      <c r="Q41" s="2017"/>
      <c r="S41"/>
    </row>
    <row r="42" spans="1:19" ht="13.5" customHeight="1" thickTop="1" thickBot="1" x14ac:dyDescent="0.25">
      <c r="A42" s="214" t="s">
        <v>1196</v>
      </c>
      <c r="C42" s="1870" t="s">
        <v>7301</v>
      </c>
      <c r="D42" s="948">
        <v>35</v>
      </c>
      <c r="E42" s="2018"/>
      <c r="F42" s="2019"/>
      <c r="G42" s="2019"/>
      <c r="H42" s="2019"/>
      <c r="I42" s="2019"/>
      <c r="J42" s="2019"/>
      <c r="K42" s="2019"/>
      <c r="L42" s="2019"/>
      <c r="M42" s="2019"/>
      <c r="N42" s="2020"/>
      <c r="O42" s="2020"/>
      <c r="P42" s="2020"/>
      <c r="Q42" s="2021"/>
      <c r="S42"/>
    </row>
    <row r="43" spans="1:19" ht="13.5" customHeight="1" thickTop="1" x14ac:dyDescent="0.2">
      <c r="A43" s="214" t="s">
        <v>7308</v>
      </c>
      <c r="C43" s="1871" t="s">
        <v>7309</v>
      </c>
      <c r="D43" s="949">
        <v>36</v>
      </c>
      <c r="E43" s="2022"/>
      <c r="F43" s="2023"/>
      <c r="G43" s="2024"/>
      <c r="H43" s="2024"/>
      <c r="I43" s="2024"/>
      <c r="J43" s="2024"/>
      <c r="K43" s="2024"/>
      <c r="L43" s="2024"/>
      <c r="M43" s="2024"/>
      <c r="N43" s="2024"/>
      <c r="O43" s="2024"/>
      <c r="P43" s="2024"/>
      <c r="Q43" s="2025"/>
      <c r="S43"/>
    </row>
    <row r="44" spans="1:19" ht="13.5" customHeight="1" x14ac:dyDescent="0.2">
      <c r="A44" s="214" t="s">
        <v>1199</v>
      </c>
      <c r="C44" s="1872" t="s">
        <v>7507</v>
      </c>
      <c r="D44" s="950">
        <v>37</v>
      </c>
      <c r="E44" s="2026"/>
      <c r="F44" s="2027"/>
      <c r="G44" s="2028"/>
      <c r="H44" s="2028"/>
      <c r="I44" s="2028"/>
      <c r="J44" s="2028"/>
      <c r="K44" s="2028"/>
      <c r="L44" s="2027"/>
      <c r="M44" s="2028"/>
      <c r="N44" s="2028"/>
      <c r="O44" s="1998"/>
      <c r="P44" s="1998"/>
      <c r="Q44" s="1999"/>
      <c r="S44"/>
    </row>
    <row r="45" spans="1:19" ht="13.5" customHeight="1" x14ac:dyDescent="0.2">
      <c r="A45" s="214" t="s">
        <v>1206</v>
      </c>
      <c r="C45" s="1873" t="s">
        <v>1207</v>
      </c>
      <c r="D45" s="950">
        <v>38</v>
      </c>
      <c r="E45" s="1987"/>
      <c r="F45" s="1989"/>
      <c r="G45" s="1989"/>
      <c r="H45" s="1989"/>
      <c r="I45" s="1989"/>
      <c r="J45" s="1989"/>
      <c r="K45" s="1989"/>
      <c r="L45" s="1989"/>
      <c r="M45" s="1989"/>
      <c r="N45" s="1989"/>
      <c r="O45" s="2008"/>
      <c r="P45" s="2008"/>
      <c r="Q45" s="1990"/>
      <c r="S45"/>
    </row>
    <row r="46" spans="1:19" ht="13.5" customHeight="1" x14ac:dyDescent="0.2">
      <c r="A46" s="214" t="s">
        <v>1213</v>
      </c>
      <c r="C46" s="1877" t="s">
        <v>1214</v>
      </c>
      <c r="D46" s="950">
        <v>39</v>
      </c>
      <c r="E46" s="1987"/>
      <c r="F46" s="1989"/>
      <c r="G46" s="1989"/>
      <c r="H46" s="1989"/>
      <c r="I46" s="1989"/>
      <c r="J46" s="1989"/>
      <c r="K46" s="1989"/>
      <c r="L46" s="1989"/>
      <c r="M46" s="1989"/>
      <c r="N46" s="1989"/>
      <c r="O46" s="2008"/>
      <c r="P46" s="2008"/>
      <c r="Q46" s="1990"/>
      <c r="S46"/>
    </row>
    <row r="47" spans="1:19" ht="13.5" customHeight="1" x14ac:dyDescent="0.2">
      <c r="A47" s="214" t="s">
        <v>1220</v>
      </c>
      <c r="C47" s="1873" t="s">
        <v>1221</v>
      </c>
      <c r="D47" s="950">
        <v>40</v>
      </c>
      <c r="E47" s="1987"/>
      <c r="F47" s="1989"/>
      <c r="G47" s="1989"/>
      <c r="H47" s="1989"/>
      <c r="I47" s="1989"/>
      <c r="J47" s="1989"/>
      <c r="K47" s="1989"/>
      <c r="L47" s="1989"/>
      <c r="M47" s="1989"/>
      <c r="N47" s="1989"/>
      <c r="O47" s="2008"/>
      <c r="P47" s="2008"/>
      <c r="Q47" s="1990"/>
      <c r="S47"/>
    </row>
    <row r="48" spans="1:19" ht="13.5" customHeight="1" x14ac:dyDescent="0.2">
      <c r="A48" s="214" t="s">
        <v>1227</v>
      </c>
      <c r="C48" s="1873" t="s">
        <v>1228</v>
      </c>
      <c r="D48" s="950">
        <v>41</v>
      </c>
      <c r="E48" s="1987"/>
      <c r="F48" s="1989"/>
      <c r="G48" s="1989"/>
      <c r="H48" s="1989"/>
      <c r="I48" s="1989"/>
      <c r="J48" s="1989"/>
      <c r="K48" s="1989"/>
      <c r="L48" s="1989"/>
      <c r="M48" s="1989"/>
      <c r="N48" s="1989"/>
      <c r="O48" s="2008"/>
      <c r="P48" s="2008"/>
      <c r="Q48" s="1990"/>
      <c r="S48"/>
    </row>
    <row r="49" spans="1:19" ht="13.5" customHeight="1" x14ac:dyDescent="0.2">
      <c r="A49" s="214" t="s">
        <v>1234</v>
      </c>
      <c r="C49" s="1873" t="s">
        <v>1235</v>
      </c>
      <c r="D49" s="950">
        <v>42</v>
      </c>
      <c r="E49" s="1987"/>
      <c r="F49" s="1989"/>
      <c r="G49" s="1989"/>
      <c r="H49" s="1989"/>
      <c r="I49" s="1989"/>
      <c r="J49" s="1989"/>
      <c r="K49" s="1989"/>
      <c r="L49" s="1989"/>
      <c r="M49" s="1989"/>
      <c r="N49" s="1989"/>
      <c r="O49" s="2008"/>
      <c r="P49" s="2008"/>
      <c r="Q49" s="1990"/>
      <c r="S49"/>
    </row>
    <row r="50" spans="1:19" ht="13.5" customHeight="1" x14ac:dyDescent="0.2">
      <c r="A50" s="214" t="s">
        <v>1241</v>
      </c>
      <c r="C50" s="1873" t="s">
        <v>1242</v>
      </c>
      <c r="D50" s="950">
        <v>43</v>
      </c>
      <c r="E50" s="1987"/>
      <c r="F50" s="1989"/>
      <c r="G50" s="1989"/>
      <c r="H50" s="1989"/>
      <c r="I50" s="1989"/>
      <c r="J50" s="1989"/>
      <c r="K50" s="1989"/>
      <c r="L50" s="1989"/>
      <c r="M50" s="1989"/>
      <c r="N50" s="1989"/>
      <c r="O50" s="2008"/>
      <c r="P50" s="2008"/>
      <c r="Q50" s="1990"/>
      <c r="S50"/>
    </row>
    <row r="51" spans="1:19" ht="13.5" customHeight="1" x14ac:dyDescent="0.2">
      <c r="A51" s="214" t="s">
        <v>1248</v>
      </c>
      <c r="C51" s="1873" t="s">
        <v>1249</v>
      </c>
      <c r="D51" s="950">
        <v>44</v>
      </c>
      <c r="E51" s="1987"/>
      <c r="F51" s="1989"/>
      <c r="G51" s="1989"/>
      <c r="H51" s="1989"/>
      <c r="I51" s="1989"/>
      <c r="J51" s="1989"/>
      <c r="K51" s="1989"/>
      <c r="L51" s="1989"/>
      <c r="M51" s="1989"/>
      <c r="N51" s="1989"/>
      <c r="O51" s="2008"/>
      <c r="P51" s="2008"/>
      <c r="Q51" s="1990"/>
      <c r="S51"/>
    </row>
    <row r="52" spans="1:19" ht="13.5" customHeight="1" x14ac:dyDescent="0.2">
      <c r="A52" s="214" t="s">
        <v>1255</v>
      </c>
      <c r="C52" s="1873" t="s">
        <v>1256</v>
      </c>
      <c r="D52" s="950">
        <v>45</v>
      </c>
      <c r="E52" s="1987"/>
      <c r="F52" s="1989"/>
      <c r="G52" s="1989"/>
      <c r="H52" s="1989"/>
      <c r="I52" s="1989"/>
      <c r="J52" s="1989"/>
      <c r="K52" s="1989"/>
      <c r="L52" s="1989"/>
      <c r="M52" s="1989"/>
      <c r="N52" s="1989"/>
      <c r="O52" s="2008"/>
      <c r="P52" s="2008"/>
      <c r="Q52" s="1990"/>
      <c r="S52"/>
    </row>
    <row r="53" spans="1:19" ht="13.5" customHeight="1" x14ac:dyDescent="0.2">
      <c r="A53" s="214" t="s">
        <v>1262</v>
      </c>
      <c r="C53" s="1873" t="s">
        <v>7056</v>
      </c>
      <c r="D53" s="950">
        <v>46</v>
      </c>
      <c r="E53" s="1987"/>
      <c r="F53" s="1989"/>
      <c r="G53" s="1989"/>
      <c r="H53" s="1989"/>
      <c r="I53" s="1989"/>
      <c r="J53" s="1989"/>
      <c r="K53" s="1989"/>
      <c r="L53" s="1989"/>
      <c r="M53" s="1989"/>
      <c r="N53" s="1989"/>
      <c r="O53" s="2008"/>
      <c r="P53" s="2008"/>
      <c r="Q53" s="1990"/>
      <c r="S53"/>
    </row>
    <row r="54" spans="1:19" ht="13.5" customHeight="1" x14ac:dyDescent="0.2">
      <c r="A54" s="214" t="s">
        <v>1269</v>
      </c>
      <c r="C54" s="1873" t="s">
        <v>1270</v>
      </c>
      <c r="D54" s="950">
        <v>47</v>
      </c>
      <c r="E54" s="1987"/>
      <c r="F54" s="1989"/>
      <c r="G54" s="1989"/>
      <c r="H54" s="1989"/>
      <c r="I54" s="1989"/>
      <c r="J54" s="1989"/>
      <c r="K54" s="1989"/>
      <c r="L54" s="1989"/>
      <c r="M54" s="1989"/>
      <c r="N54" s="1989"/>
      <c r="O54" s="2008"/>
      <c r="P54" s="2008"/>
      <c r="Q54" s="1990"/>
      <c r="S54"/>
    </row>
    <row r="55" spans="1:19" ht="13.5" customHeight="1" x14ac:dyDescent="0.2">
      <c r="A55" s="214" t="s">
        <v>1276</v>
      </c>
      <c r="C55" s="1873" t="s">
        <v>1277</v>
      </c>
      <c r="D55" s="950">
        <v>48</v>
      </c>
      <c r="E55" s="1987"/>
      <c r="F55" s="1989"/>
      <c r="G55" s="1989"/>
      <c r="H55" s="1989"/>
      <c r="I55" s="1989"/>
      <c r="J55" s="1989"/>
      <c r="K55" s="1989"/>
      <c r="L55" s="1989"/>
      <c r="M55" s="1989"/>
      <c r="N55" s="1989"/>
      <c r="O55" s="2008"/>
      <c r="P55" s="2008"/>
      <c r="Q55" s="1990"/>
      <c r="S55"/>
    </row>
    <row r="56" spans="1:19" ht="13.5" customHeight="1" x14ac:dyDescent="0.2">
      <c r="A56" s="214" t="s">
        <v>1283</v>
      </c>
      <c r="C56" s="1873" t="s">
        <v>1284</v>
      </c>
      <c r="D56" s="950">
        <v>49</v>
      </c>
      <c r="E56" s="1987"/>
      <c r="F56" s="1989"/>
      <c r="G56" s="1989"/>
      <c r="H56" s="1989"/>
      <c r="I56" s="1989"/>
      <c r="J56" s="1989"/>
      <c r="K56" s="1989"/>
      <c r="L56" s="1989"/>
      <c r="M56" s="1989"/>
      <c r="N56" s="1989"/>
      <c r="O56" s="2008"/>
      <c r="P56" s="2008"/>
      <c r="Q56" s="1990"/>
      <c r="S56"/>
    </row>
    <row r="57" spans="1:19" ht="13.5" customHeight="1" thickBot="1" x14ac:dyDescent="0.25">
      <c r="A57" s="214" t="s">
        <v>1290</v>
      </c>
      <c r="C57" s="1865" t="s">
        <v>7311</v>
      </c>
      <c r="D57" s="951">
        <v>50</v>
      </c>
      <c r="E57" s="2009"/>
      <c r="F57" s="2029"/>
      <c r="G57" s="2029"/>
      <c r="H57" s="2029"/>
      <c r="I57" s="2029"/>
      <c r="J57" s="2029"/>
      <c r="K57" s="2029"/>
      <c r="L57" s="2029"/>
      <c r="M57" s="2029"/>
      <c r="N57" s="2029"/>
      <c r="O57" s="2009"/>
      <c r="P57" s="2029"/>
      <c r="Q57" s="2011"/>
      <c r="S57"/>
    </row>
    <row r="58" spans="1:19" ht="13.5" customHeight="1" thickTop="1" x14ac:dyDescent="0.2">
      <c r="A58" s="214" t="s">
        <v>1297</v>
      </c>
      <c r="C58" s="1866" t="s">
        <v>7494</v>
      </c>
      <c r="D58" s="952">
        <v>51</v>
      </c>
      <c r="E58" s="2026"/>
      <c r="F58" s="2028"/>
      <c r="G58" s="2028"/>
      <c r="H58" s="2028"/>
      <c r="I58" s="2028"/>
      <c r="J58" s="2028"/>
      <c r="K58" s="2028"/>
      <c r="L58" s="2028"/>
      <c r="M58" s="2028"/>
      <c r="N58" s="2028"/>
      <c r="O58" s="2028"/>
      <c r="P58" s="2028"/>
      <c r="Q58" s="2030"/>
      <c r="S58"/>
    </row>
    <row r="59" spans="1:19" ht="13.5" customHeight="1" x14ac:dyDescent="0.2">
      <c r="A59" s="214" t="s">
        <v>1318</v>
      </c>
      <c r="C59" s="1873" t="s">
        <v>1319</v>
      </c>
      <c r="D59" s="950">
        <v>52</v>
      </c>
      <c r="E59" s="1987"/>
      <c r="F59" s="1989"/>
      <c r="G59" s="1989"/>
      <c r="H59" s="1989"/>
      <c r="I59" s="1989"/>
      <c r="J59" s="1989"/>
      <c r="K59" s="1989"/>
      <c r="L59" s="1989"/>
      <c r="M59" s="1989"/>
      <c r="N59" s="1989"/>
      <c r="O59" s="2008"/>
      <c r="P59" s="2008"/>
      <c r="Q59" s="1990"/>
      <c r="S59"/>
    </row>
    <row r="60" spans="1:19" ht="13.5" customHeight="1" x14ac:dyDescent="0.2">
      <c r="A60" s="214" t="s">
        <v>1304</v>
      </c>
      <c r="C60" s="1874" t="s">
        <v>1312</v>
      </c>
      <c r="D60" s="950">
        <v>53</v>
      </c>
      <c r="E60" s="1987"/>
      <c r="F60" s="1989"/>
      <c r="G60" s="1989"/>
      <c r="H60" s="1989"/>
      <c r="I60" s="1989"/>
      <c r="J60" s="1989"/>
      <c r="K60" s="1989"/>
      <c r="L60" s="1989"/>
      <c r="M60" s="1989"/>
      <c r="N60" s="1989"/>
      <c r="O60" s="2008"/>
      <c r="P60" s="2008"/>
      <c r="Q60" s="1990"/>
      <c r="S60"/>
    </row>
    <row r="61" spans="1:19" ht="13.5" customHeight="1" x14ac:dyDescent="0.2">
      <c r="A61" s="214" t="s">
        <v>1332</v>
      </c>
      <c r="C61" s="1875" t="s">
        <v>1333</v>
      </c>
      <c r="D61" s="950">
        <v>54</v>
      </c>
      <c r="E61" s="1987"/>
      <c r="F61" s="1989"/>
      <c r="G61" s="1989"/>
      <c r="H61" s="1989"/>
      <c r="I61" s="1989"/>
      <c r="J61" s="1989"/>
      <c r="K61" s="1989"/>
      <c r="L61" s="1989"/>
      <c r="M61" s="1989"/>
      <c r="N61" s="1989"/>
      <c r="O61" s="2008"/>
      <c r="P61" s="2008"/>
      <c r="Q61" s="1990"/>
      <c r="S61"/>
    </row>
    <row r="62" spans="1:19" ht="13.5" customHeight="1" thickBot="1" x14ac:dyDescent="0.25">
      <c r="A62" s="214" t="s">
        <v>1339</v>
      </c>
      <c r="C62" s="1865" t="s">
        <v>7313</v>
      </c>
      <c r="D62" s="951">
        <v>55</v>
      </c>
      <c r="E62" s="2009"/>
      <c r="F62" s="2029"/>
      <c r="G62" s="2029"/>
      <c r="H62" s="2029"/>
      <c r="I62" s="2029"/>
      <c r="J62" s="2029"/>
      <c r="K62" s="2029"/>
      <c r="L62" s="2029"/>
      <c r="M62" s="2029"/>
      <c r="N62" s="2029"/>
      <c r="O62" s="2009"/>
      <c r="P62" s="2029"/>
      <c r="Q62" s="2011"/>
      <c r="S62"/>
    </row>
    <row r="63" spans="1:19" ht="13.5" customHeight="1" thickTop="1" x14ac:dyDescent="0.2">
      <c r="A63" s="214" t="s">
        <v>1346</v>
      </c>
      <c r="C63" s="1866" t="s">
        <v>7529</v>
      </c>
      <c r="D63" s="952">
        <v>56</v>
      </c>
      <c r="E63" s="2026"/>
      <c r="F63" s="2028"/>
      <c r="G63" s="2028"/>
      <c r="H63" s="2028"/>
      <c r="I63" s="2028"/>
      <c r="J63" s="2028"/>
      <c r="K63" s="2028"/>
      <c r="L63" s="2028"/>
      <c r="M63" s="2028"/>
      <c r="N63" s="2028"/>
      <c r="O63" s="1997"/>
      <c r="P63" s="1997"/>
      <c r="Q63" s="2014"/>
      <c r="S63"/>
    </row>
    <row r="64" spans="1:19" ht="13.5" customHeight="1" x14ac:dyDescent="0.2">
      <c r="A64" s="214" t="s">
        <v>1360</v>
      </c>
      <c r="C64" s="1873" t="s">
        <v>1361</v>
      </c>
      <c r="D64" s="950">
        <v>57</v>
      </c>
      <c r="E64" s="1987"/>
      <c r="F64" s="1989"/>
      <c r="G64" s="1989"/>
      <c r="H64" s="1989"/>
      <c r="I64" s="1989"/>
      <c r="J64" s="1989"/>
      <c r="K64" s="1989"/>
      <c r="L64" s="1989"/>
      <c r="M64" s="1989"/>
      <c r="N64" s="1989"/>
      <c r="O64" s="2008"/>
      <c r="P64" s="2008"/>
      <c r="Q64" s="1990"/>
      <c r="S64"/>
    </row>
    <row r="65" spans="1:19" ht="13.5" customHeight="1" x14ac:dyDescent="0.2">
      <c r="A65" s="214" t="s">
        <v>1353</v>
      </c>
      <c r="C65" s="1873" t="s">
        <v>1354</v>
      </c>
      <c r="D65" s="950">
        <v>58</v>
      </c>
      <c r="E65" s="1987"/>
      <c r="F65" s="1989"/>
      <c r="G65" s="1989"/>
      <c r="H65" s="1989"/>
      <c r="I65" s="1989"/>
      <c r="J65" s="1989"/>
      <c r="K65" s="1989"/>
      <c r="L65" s="1989"/>
      <c r="M65" s="1989"/>
      <c r="N65" s="1989"/>
      <c r="O65" s="2008"/>
      <c r="P65" s="2008"/>
      <c r="Q65" s="1990"/>
      <c r="S65"/>
    </row>
    <row r="66" spans="1:19" ht="13.5" customHeight="1" x14ac:dyDescent="0.2">
      <c r="A66" s="214" t="s">
        <v>1367</v>
      </c>
      <c r="C66" s="1873" t="s">
        <v>7315</v>
      </c>
      <c r="D66" s="950">
        <v>59</v>
      </c>
      <c r="E66" s="1987"/>
      <c r="F66" s="1989"/>
      <c r="G66" s="1989"/>
      <c r="H66" s="1989"/>
      <c r="I66" s="1989"/>
      <c r="J66" s="1989"/>
      <c r="K66" s="1989"/>
      <c r="L66" s="1989"/>
      <c r="M66" s="1989"/>
      <c r="N66" s="1989"/>
      <c r="O66" s="2008"/>
      <c r="P66" s="2008"/>
      <c r="Q66" s="1990"/>
      <c r="S66"/>
    </row>
    <row r="67" spans="1:19" ht="13.5" customHeight="1" x14ac:dyDescent="0.2">
      <c r="A67" s="214" t="s">
        <v>1374</v>
      </c>
      <c r="C67" s="1873" t="s">
        <v>1375</v>
      </c>
      <c r="D67" s="950">
        <v>60</v>
      </c>
      <c r="E67" s="1987"/>
      <c r="F67" s="1989"/>
      <c r="G67" s="1989"/>
      <c r="H67" s="1989"/>
      <c r="I67" s="1989"/>
      <c r="J67" s="1989"/>
      <c r="K67" s="1989"/>
      <c r="L67" s="1989"/>
      <c r="M67" s="1989"/>
      <c r="N67" s="1989"/>
      <c r="O67" s="2008"/>
      <c r="P67" s="2008"/>
      <c r="Q67" s="1990"/>
      <c r="S67"/>
    </row>
    <row r="68" spans="1:19" ht="13.5" thickBot="1" x14ac:dyDescent="0.25">
      <c r="A68" s="214" t="s">
        <v>643</v>
      </c>
      <c r="C68" s="1863" t="s">
        <v>7316</v>
      </c>
      <c r="D68" s="953">
        <v>61</v>
      </c>
      <c r="E68" s="2009"/>
      <c r="F68" s="2009"/>
      <c r="G68" s="2009"/>
      <c r="H68" s="2009"/>
      <c r="I68" s="2009"/>
      <c r="J68" s="2009"/>
      <c r="K68" s="2009"/>
      <c r="L68" s="2009"/>
      <c r="M68" s="2009"/>
      <c r="N68" s="2009"/>
      <c r="O68" s="2029"/>
      <c r="P68" s="2029"/>
      <c r="Q68" s="2011"/>
      <c r="S68"/>
    </row>
    <row r="69" spans="1:19" ht="13.5" thickTop="1" x14ac:dyDescent="0.2">
      <c r="S69"/>
    </row>
  </sheetData>
  <mergeCells count="3">
    <mergeCell ref="H4:I4"/>
    <mergeCell ref="J4:K4"/>
    <mergeCell ref="M4:Q4"/>
  </mergeCells>
  <phoneticPr fontId="58"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03">
    <tabColor theme="0"/>
  </sheetPr>
  <dimension ref="A1:AP60"/>
  <sheetViews>
    <sheetView showGridLines="0" zoomScaleNormal="100" workbookViewId="0">
      <selection activeCell="D43" sqref="D43"/>
    </sheetView>
  </sheetViews>
  <sheetFormatPr defaultRowHeight="12.75" x14ac:dyDescent="0.2"/>
  <cols>
    <col min="1" max="1" width="10.140625" customWidth="1"/>
    <col min="2" max="2" width="18.85546875" customWidth="1"/>
    <col min="3" max="3" width="18.85546875" hidden="1" customWidth="1"/>
    <col min="4" max="4" width="86.85546875" customWidth="1"/>
    <col min="5" max="5" width="17.7109375" bestFit="1" customWidth="1"/>
    <col min="27" max="27" width="8.5703125" hidden="1" customWidth="1"/>
    <col min="28" max="30" width="29.28515625" hidden="1" customWidth="1"/>
  </cols>
  <sheetData>
    <row r="1" spans="1:42" ht="43.5" customHeight="1" x14ac:dyDescent="0.2">
      <c r="A1" s="2089"/>
      <c r="B1" s="2106" t="str">
        <f>HLOOKUP(LangChoice,$AB$4:$AE$50,$AA5+1)</f>
        <v>Table of Contents</v>
      </c>
      <c r="C1" s="2107" t="s">
        <v>184</v>
      </c>
      <c r="D1" s="2090"/>
      <c r="E1" s="2090"/>
      <c r="F1" s="779"/>
      <c r="G1" s="779"/>
      <c r="H1" s="20"/>
      <c r="I1" s="20"/>
      <c r="J1" s="20"/>
      <c r="K1" s="20"/>
      <c r="L1" s="20"/>
      <c r="M1" s="20"/>
      <c r="N1" s="20"/>
      <c r="O1" s="20"/>
      <c r="P1" s="20"/>
      <c r="Q1" s="20"/>
      <c r="R1" s="20"/>
      <c r="S1" s="20"/>
      <c r="T1" s="20"/>
      <c r="U1" s="20"/>
      <c r="V1" s="20"/>
      <c r="W1" s="20"/>
      <c r="X1" s="20"/>
      <c r="Y1" s="20"/>
      <c r="Z1" s="20"/>
      <c r="AA1" s="618" t="s">
        <v>1</v>
      </c>
      <c r="AB1" s="617"/>
      <c r="AC1" s="617"/>
      <c r="AD1" s="723" t="s">
        <v>2</v>
      </c>
      <c r="AE1" s="20"/>
      <c r="AF1" s="20"/>
      <c r="AG1" s="20"/>
      <c r="AH1" s="20"/>
      <c r="AI1" s="20"/>
      <c r="AJ1" s="20"/>
      <c r="AK1" s="20"/>
      <c r="AL1" s="20"/>
      <c r="AM1" s="20"/>
      <c r="AN1" s="20"/>
      <c r="AO1" s="20"/>
      <c r="AP1" s="20"/>
    </row>
    <row r="2" spans="1:42" s="15" customFormat="1" ht="5.0999999999999996" customHeight="1" x14ac:dyDescent="0.2">
      <c r="B2" s="780"/>
      <c r="C2" s="780"/>
      <c r="D2" s="4"/>
      <c r="E2" s="4"/>
      <c r="F2" s="779"/>
      <c r="G2" s="779"/>
      <c r="H2" s="5"/>
      <c r="I2" s="5"/>
      <c r="J2" s="5"/>
      <c r="K2" s="5"/>
      <c r="L2" s="5"/>
      <c r="M2" s="5"/>
      <c r="N2" s="5"/>
      <c r="O2" s="5"/>
      <c r="P2" s="5"/>
      <c r="Q2" s="5"/>
      <c r="R2" s="5"/>
      <c r="S2" s="5"/>
      <c r="T2" s="5"/>
      <c r="U2" s="5"/>
      <c r="V2" s="5"/>
      <c r="W2" s="5"/>
      <c r="X2" s="5"/>
      <c r="Y2" s="5"/>
      <c r="Z2" s="5"/>
    </row>
    <row r="3" spans="1:42" s="15" customFormat="1" ht="18" x14ac:dyDescent="0.25">
      <c r="B3" s="41" t="str">
        <f>HLOOKUP(LangChoice,$AB$4:$AE$50,$AA6+1)</f>
        <v>Sheet</v>
      </c>
      <c r="C3" s="973" t="s">
        <v>204</v>
      </c>
      <c r="D3" s="1167" t="str">
        <f>HLOOKUP(LangChoice,$AB$4:$AE$50,$AA7+1)</f>
        <v>Contents</v>
      </c>
      <c r="E3" s="782" t="str">
        <f>HLOOKUP(LangChoice,$AB$4:$AE$50,$AA8+1)</f>
        <v>Notes</v>
      </c>
      <c r="F3" s="4"/>
      <c r="G3" s="16"/>
      <c r="H3" s="5"/>
      <c r="I3" s="5"/>
      <c r="J3" s="5"/>
      <c r="K3" s="5"/>
      <c r="L3" s="5"/>
      <c r="M3" s="5"/>
      <c r="N3" s="5"/>
      <c r="O3" s="5"/>
      <c r="P3" s="5"/>
      <c r="Q3" s="5"/>
      <c r="R3" s="5"/>
      <c r="S3" s="5"/>
      <c r="T3" s="5"/>
      <c r="U3" s="5"/>
      <c r="V3" s="5"/>
      <c r="W3" s="5"/>
      <c r="X3" s="5"/>
      <c r="Y3" s="5"/>
      <c r="Z3" s="5"/>
      <c r="AA3" s="20"/>
      <c r="AB3" s="530" t="s">
        <v>5</v>
      </c>
      <c r="AC3" s="531"/>
      <c r="AD3" s="531"/>
    </row>
    <row r="4" spans="1:42" s="20" customFormat="1" ht="11.25" customHeight="1" x14ac:dyDescent="0.2">
      <c r="B4" s="781" t="s">
        <v>205</v>
      </c>
      <c r="C4" s="781"/>
      <c r="D4" s="20" t="str">
        <f t="shared" ref="D4:D16" si="0">HLOOKUP(LangChoice,$AB$4:$AE$50,$AA9+1)</f>
        <v>IEA product and flow definitions</v>
      </c>
      <c r="E4" s="783"/>
      <c r="G4" s="778"/>
      <c r="H4" s="779"/>
      <c r="I4" s="779"/>
      <c r="J4" s="779"/>
      <c r="K4" s="779"/>
      <c r="L4" s="779"/>
      <c r="M4" s="779"/>
      <c r="N4" s="779"/>
      <c r="O4" s="779"/>
      <c r="P4" s="779"/>
      <c r="Q4" s="779"/>
      <c r="R4" s="779"/>
      <c r="S4" s="779"/>
      <c r="T4" s="779"/>
      <c r="U4" s="779"/>
      <c r="V4" s="779"/>
      <c r="W4" s="779"/>
      <c r="X4" s="779"/>
      <c r="Y4" s="779"/>
      <c r="Z4" s="779"/>
      <c r="AB4" s="530" t="s">
        <v>7</v>
      </c>
      <c r="AC4" s="530" t="s">
        <v>8</v>
      </c>
      <c r="AD4" s="530" t="s">
        <v>9</v>
      </c>
    </row>
    <row r="5" spans="1:42" s="20" customFormat="1" ht="11.25" customHeight="1" x14ac:dyDescent="0.2">
      <c r="A5" s="2291" t="str">
        <f>HLOOKUP(LangChoice,$AB$4:$AE$50,$AA22+1)</f>
        <v>Data entry</v>
      </c>
      <c r="B5" s="972" t="s">
        <v>206</v>
      </c>
      <c r="C5" s="781"/>
      <c r="D5" s="20" t="str">
        <f t="shared" si="0"/>
        <v>Conversion factors used to convert data from physical to energy units</v>
      </c>
      <c r="E5" s="20" t="str">
        <f>HLOOKUP(LangChoice,$AB$4:$AE$50,$AA25+1)</f>
        <v>See 'Instructions' below</v>
      </c>
      <c r="G5" s="778"/>
      <c r="H5" s="779"/>
      <c r="I5" s="779"/>
      <c r="J5" s="779"/>
      <c r="K5" s="779"/>
      <c r="L5" s="779"/>
      <c r="M5" s="779"/>
      <c r="N5" s="779"/>
      <c r="O5" s="779"/>
      <c r="P5" s="779"/>
      <c r="Q5" s="779"/>
      <c r="R5" s="779"/>
      <c r="S5" s="779"/>
      <c r="T5" s="779"/>
      <c r="U5" s="779"/>
      <c r="V5" s="779"/>
      <c r="W5" s="779"/>
      <c r="X5" s="779"/>
      <c r="Y5" s="779"/>
      <c r="Z5" s="779"/>
      <c r="AA5" s="20">
        <v>1</v>
      </c>
      <c r="AB5" s="20" t="s">
        <v>207</v>
      </c>
      <c r="AC5" s="20" t="s">
        <v>208</v>
      </c>
      <c r="AD5" s="20" t="s">
        <v>148</v>
      </c>
    </row>
    <row r="6" spans="1:42" s="20" customFormat="1" ht="11.25" customHeight="1" x14ac:dyDescent="0.2">
      <c r="A6" s="2292"/>
      <c r="B6" s="972" t="s">
        <v>209</v>
      </c>
      <c r="C6" s="781"/>
      <c r="D6" s="20" t="str">
        <f t="shared" si="0"/>
        <v>Filled by hand or automatically loaded data from the IEA questionnaires</v>
      </c>
      <c r="E6" s="20" t="str">
        <f>E5</f>
        <v>See 'Instructions' below</v>
      </c>
      <c r="G6" s="778"/>
      <c r="H6" s="779"/>
      <c r="I6" s="779"/>
      <c r="J6" s="779"/>
      <c r="K6" s="779"/>
      <c r="L6" s="779"/>
      <c r="M6" s="779"/>
      <c r="N6" s="779"/>
      <c r="O6" s="779"/>
      <c r="P6" s="779"/>
      <c r="Q6" s="779"/>
      <c r="R6" s="779"/>
      <c r="S6" s="779"/>
      <c r="T6" s="779"/>
      <c r="U6" s="779"/>
      <c r="V6" s="779"/>
      <c r="W6" s="779"/>
      <c r="X6" s="779"/>
      <c r="Y6" s="779"/>
      <c r="Z6" s="779"/>
      <c r="AA6" s="20">
        <v>2</v>
      </c>
      <c r="AB6" s="20" t="s">
        <v>210</v>
      </c>
      <c r="AC6" s="20" t="s">
        <v>211</v>
      </c>
      <c r="AD6" s="20" t="s">
        <v>148</v>
      </c>
    </row>
    <row r="7" spans="1:42" s="20" customFormat="1" ht="11.25" customHeight="1" x14ac:dyDescent="0.2">
      <c r="A7" s="2288" t="str">
        <f>HLOOKUP(LangChoice,$AB$4:$AE$50,$AA23+1)</f>
        <v>Data dissemi-nation</v>
      </c>
      <c r="B7" s="781" t="s">
        <v>212</v>
      </c>
      <c r="C7" s="781"/>
      <c r="D7" s="20" t="str">
        <f t="shared" si="0"/>
        <v>All fuels converted to a common energy unit from the data in physical units</v>
      </c>
      <c r="E7" s="801" t="str">
        <f>HLOOKUP(LangChoice,$AB$4:$AE$50,$AA26+1)</f>
        <v>Calculated automatically</v>
      </c>
      <c r="G7" s="778"/>
      <c r="H7" s="779"/>
      <c r="I7" s="779"/>
      <c r="J7" s="779"/>
      <c r="K7" s="779"/>
      <c r="L7" s="779"/>
      <c r="M7" s="779"/>
      <c r="N7" s="779"/>
      <c r="O7" s="779"/>
      <c r="P7" s="779"/>
      <c r="Q7" s="779"/>
      <c r="R7" s="779"/>
      <c r="S7" s="779"/>
      <c r="T7" s="779"/>
      <c r="U7" s="779"/>
      <c r="V7" s="779"/>
      <c r="W7" s="779"/>
      <c r="X7" s="779"/>
      <c r="Y7" s="779"/>
      <c r="Z7" s="779"/>
      <c r="AA7" s="20">
        <v>3</v>
      </c>
      <c r="AB7" s="20" t="s">
        <v>213</v>
      </c>
      <c r="AC7" s="20" t="s">
        <v>214</v>
      </c>
      <c r="AD7" s="20" t="s">
        <v>148</v>
      </c>
    </row>
    <row r="8" spans="1:42" s="20" customFormat="1" ht="11.25" customHeight="1" x14ac:dyDescent="0.2">
      <c r="A8" s="2289"/>
      <c r="B8" s="781" t="s">
        <v>215</v>
      </c>
      <c r="C8" s="781"/>
      <c r="D8" s="20" t="str">
        <f t="shared" si="0"/>
        <v>Energy balance grouped by main fuel source</v>
      </c>
      <c r="E8" s="801" t="str">
        <f>$E$7</f>
        <v>Calculated automatically</v>
      </c>
      <c r="G8" s="778"/>
      <c r="H8" s="779"/>
      <c r="I8" s="779"/>
      <c r="J8" s="779"/>
      <c r="K8" s="779"/>
      <c r="L8" s="779"/>
      <c r="M8" s="779"/>
      <c r="N8" s="779"/>
      <c r="O8" s="779"/>
      <c r="P8" s="779"/>
      <c r="Q8" s="779"/>
      <c r="R8" s="779"/>
      <c r="S8" s="779"/>
      <c r="T8" s="779"/>
      <c r="U8" s="779"/>
      <c r="V8" s="779"/>
      <c r="W8" s="779"/>
      <c r="X8" s="779"/>
      <c r="Y8" s="779"/>
      <c r="Z8" s="779"/>
      <c r="AA8" s="20">
        <v>4</v>
      </c>
      <c r="AB8" s="20" t="s">
        <v>216</v>
      </c>
      <c r="AC8" s="20" t="s">
        <v>217</v>
      </c>
      <c r="AD8" s="20" t="s">
        <v>148</v>
      </c>
    </row>
    <row r="9" spans="1:42" s="20" customFormat="1" ht="11.25" customHeight="1" x14ac:dyDescent="0.2">
      <c r="A9" s="2289"/>
      <c r="B9" s="781" t="s">
        <v>218</v>
      </c>
      <c r="C9" s="20" t="b">
        <v>1</v>
      </c>
      <c r="D9" s="20" t="str">
        <f t="shared" si="0"/>
        <v>Aggregated energy balance as published in IEA World Energy Balances-publication</v>
      </c>
      <c r="E9" s="801" t="str">
        <f t="shared" ref="E9:E16" si="1">$E$7</f>
        <v>Calculated automatically</v>
      </c>
      <c r="G9" s="778"/>
      <c r="H9" s="779"/>
      <c r="I9" s="779"/>
      <c r="J9" s="779"/>
      <c r="K9" s="779"/>
      <c r="L9" s="779"/>
      <c r="M9" s="779"/>
      <c r="N9" s="779"/>
      <c r="O9" s="779"/>
      <c r="P9" s="779"/>
      <c r="Q9" s="779"/>
      <c r="R9" s="779"/>
      <c r="S9" s="779"/>
      <c r="T9" s="779"/>
      <c r="U9" s="779"/>
      <c r="V9" s="779"/>
      <c r="W9" s="779"/>
      <c r="X9" s="779"/>
      <c r="Y9" s="779"/>
      <c r="Z9" s="779"/>
      <c r="AA9" s="20">
        <v>5</v>
      </c>
      <c r="AB9" s="20" t="s">
        <v>219</v>
      </c>
      <c r="AC9" s="20" t="s">
        <v>220</v>
      </c>
      <c r="AD9" s="20" t="s">
        <v>148</v>
      </c>
    </row>
    <row r="10" spans="1:42" s="20" customFormat="1" ht="11.25" customHeight="1" x14ac:dyDescent="0.2">
      <c r="A10" s="2290"/>
      <c r="B10" s="1087" t="s">
        <v>221</v>
      </c>
      <c r="C10" s="20" t="b">
        <v>1</v>
      </c>
      <c r="D10" s="20" t="str">
        <f t="shared" si="0"/>
        <v>Short description of the data with graphs</v>
      </c>
      <c r="E10" s="801" t="str">
        <f t="shared" si="1"/>
        <v>Calculated automatically</v>
      </c>
      <c r="AA10" s="20">
        <v>6</v>
      </c>
      <c r="AB10" s="20" t="s">
        <v>222</v>
      </c>
      <c r="AC10" s="20" t="s">
        <v>223</v>
      </c>
      <c r="AD10" s="20" t="s">
        <v>148</v>
      </c>
    </row>
    <row r="11" spans="1:42" s="20" customFormat="1" ht="11.25" customHeight="1" x14ac:dyDescent="0.2">
      <c r="A11" s="2285" t="str">
        <f>HLOOKUP(LangChoice,$AB$4:$AE$50,$AA24+1)</f>
        <v>Energy-specific checks</v>
      </c>
      <c r="B11" s="1087" t="s">
        <v>224</v>
      </c>
      <c r="C11" s="20" t="b">
        <f ca="1">IF(IronSteel_CokeOven!$K$17="..",FALSE,TRUE)</f>
        <v>1</v>
      </c>
      <c r="D11" s="20" t="str">
        <f t="shared" si="0"/>
        <v>Check for coke oven transformation process</v>
      </c>
      <c r="E11" s="801" t="str">
        <f t="shared" si="1"/>
        <v>Calculated automatically</v>
      </c>
      <c r="AA11" s="20">
        <v>7</v>
      </c>
      <c r="AB11" s="20" t="s">
        <v>225</v>
      </c>
      <c r="AC11" s="20" t="s">
        <v>226</v>
      </c>
      <c r="AD11" s="20" t="s">
        <v>148</v>
      </c>
    </row>
    <row r="12" spans="1:42" s="20" customFormat="1" ht="11.25" customHeight="1" x14ac:dyDescent="0.2">
      <c r="A12" s="2286"/>
      <c r="B12" s="1087" t="s">
        <v>227</v>
      </c>
      <c r="C12" s="20" t="b">
        <f ca="1">IF(IronSteel_BlastFurnace!$K$17="..",FALSE,TRUE)</f>
        <v>1</v>
      </c>
      <c r="D12" s="20" t="str">
        <f t="shared" si="0"/>
        <v>Check for blast furnace transformation process</v>
      </c>
      <c r="E12" s="801" t="str">
        <f t="shared" si="1"/>
        <v>Calculated automatically</v>
      </c>
      <c r="AA12" s="20">
        <v>8</v>
      </c>
      <c r="AB12" s="20" t="s">
        <v>228</v>
      </c>
      <c r="AC12" s="20" t="s">
        <v>229</v>
      </c>
      <c r="AD12" s="20" t="s">
        <v>148</v>
      </c>
    </row>
    <row r="13" spans="1:42" s="20" customFormat="1" ht="11.25" customHeight="1" x14ac:dyDescent="0.2">
      <c r="A13" s="2286"/>
      <c r="B13" s="1087" t="s">
        <v>230</v>
      </c>
      <c r="C13" s="20" t="b">
        <f>IF(Refinery!$J$15="..",FALSE,TRUE)</f>
        <v>1</v>
      </c>
      <c r="D13" s="20" t="str">
        <f t="shared" si="0"/>
        <v>Check for oil refinery transformation process</v>
      </c>
      <c r="E13" s="801" t="str">
        <f t="shared" si="1"/>
        <v>Calculated automatically</v>
      </c>
      <c r="AA13" s="20">
        <v>9</v>
      </c>
      <c r="AB13" s="20" t="s">
        <v>231</v>
      </c>
      <c r="AC13" s="20" t="s">
        <v>232</v>
      </c>
      <c r="AD13" s="20" t="s">
        <v>148</v>
      </c>
    </row>
    <row r="14" spans="1:42" s="20" customFormat="1" ht="11.25" customHeight="1" x14ac:dyDescent="0.2">
      <c r="A14" s="2286"/>
      <c r="B14" s="1087" t="s">
        <v>233</v>
      </c>
      <c r="C14" s="20" t="b">
        <v>1</v>
      </c>
      <c r="D14" s="20" t="str">
        <f t="shared" si="0"/>
        <v>Broad check for electricity and heat generation efficiencies and a calculator</v>
      </c>
      <c r="E14" s="801" t="str">
        <f t="shared" si="1"/>
        <v>Calculated automatically</v>
      </c>
      <c r="AA14" s="20">
        <v>10</v>
      </c>
      <c r="AB14" s="20" t="s">
        <v>234</v>
      </c>
      <c r="AC14" s="20" t="s">
        <v>235</v>
      </c>
      <c r="AD14" s="20" t="s">
        <v>148</v>
      </c>
    </row>
    <row r="15" spans="1:42" s="20" customFormat="1" ht="11.25" customHeight="1" x14ac:dyDescent="0.2">
      <c r="A15" s="2286"/>
      <c r="B15" s="1087" t="s">
        <v>236</v>
      </c>
      <c r="C15" s="20" t="b">
        <v>1</v>
      </c>
      <c r="D15" s="20" t="str">
        <f t="shared" si="0"/>
        <v>Detailed check for electricity and heat generation efficiencies</v>
      </c>
      <c r="E15" s="801" t="str">
        <f t="shared" si="1"/>
        <v>Calculated automatically</v>
      </c>
      <c r="AA15" s="20">
        <v>11</v>
      </c>
      <c r="AB15" s="20" t="s">
        <v>237</v>
      </c>
      <c r="AC15" s="20" t="s">
        <v>238</v>
      </c>
      <c r="AD15" s="20" t="s">
        <v>148</v>
      </c>
    </row>
    <row r="16" spans="1:42" s="20" customFormat="1" ht="11.25" customHeight="1" x14ac:dyDescent="0.2">
      <c r="A16" s="2287"/>
      <c r="B16" s="1087" t="s">
        <v>239</v>
      </c>
      <c r="C16" s="20" t="b">
        <v>1</v>
      </c>
      <c r="D16" s="20" t="str">
        <f t="shared" si="0"/>
        <v>Check for plant capacity factors</v>
      </c>
      <c r="E16" s="801" t="str">
        <f t="shared" si="1"/>
        <v>Calculated automatically</v>
      </c>
      <c r="AA16" s="20">
        <v>12</v>
      </c>
      <c r="AB16" s="20" t="s">
        <v>240</v>
      </c>
      <c r="AC16" s="20" t="s">
        <v>241</v>
      </c>
      <c r="AD16" s="20" t="s">
        <v>148</v>
      </c>
    </row>
    <row r="17" spans="1:30" s="20" customFormat="1" ht="4.5" customHeight="1" x14ac:dyDescent="0.2">
      <c r="AA17" s="20">
        <v>13</v>
      </c>
      <c r="AB17" s="20" t="s">
        <v>242</v>
      </c>
      <c r="AC17" s="20" t="s">
        <v>243</v>
      </c>
      <c r="AD17" s="20" t="s">
        <v>148</v>
      </c>
    </row>
    <row r="18" spans="1:30" s="20" customFormat="1" ht="11.25" customHeight="1" x14ac:dyDescent="0.2">
      <c r="AA18" s="20">
        <v>14</v>
      </c>
      <c r="AB18" s="20" t="s">
        <v>244</v>
      </c>
      <c r="AC18" s="20" t="s">
        <v>245</v>
      </c>
      <c r="AD18" s="20" t="s">
        <v>148</v>
      </c>
    </row>
    <row r="19" spans="1:30" s="20" customFormat="1" ht="15" customHeight="1" x14ac:dyDescent="0.2">
      <c r="A19" s="1015" t="str">
        <f t="shared" ref="A19:A26" si="2">HLOOKUP(LangChoice,$AB$4:$AE$50,$AA27+1)</f>
        <v>Instructions:</v>
      </c>
      <c r="B19" s="789"/>
      <c r="C19" s="1016"/>
      <c r="D19" s="789"/>
      <c r="E19" s="789"/>
      <c r="AA19" s="20">
        <v>15</v>
      </c>
      <c r="AB19" s="20" t="s">
        <v>246</v>
      </c>
      <c r="AC19" s="20" t="s">
        <v>247</v>
      </c>
      <c r="AD19" s="20" t="s">
        <v>148</v>
      </c>
    </row>
    <row r="20" spans="1:30" s="20" customFormat="1" ht="11.25" customHeight="1" x14ac:dyDescent="0.2">
      <c r="A20" s="2293" t="str">
        <f t="shared" si="2"/>
        <v>- Certain cells must always be negative (i.e. exports and bunkers).</v>
      </c>
      <c r="B20" s="2293" t="str">
        <f t="shared" ref="B20:E26" si="3">HLOOKUP(LangChoice,$AB$4:$AE$50,$AA28+1)</f>
        <v>- Certain cells must always be negative (i.e. exports and bunkers).</v>
      </c>
      <c r="C20" s="2293" t="str">
        <f t="shared" si="3"/>
        <v>- Certain cells must always be negative (i.e. exports and bunkers).</v>
      </c>
      <c r="D20" s="2293" t="str">
        <f t="shared" si="3"/>
        <v>- Certain cells must always be negative (i.e. exports and bunkers).</v>
      </c>
      <c r="E20" s="2293" t="str">
        <f t="shared" si="3"/>
        <v>- Certain cells must always be negative (i.e. exports and bunkers).</v>
      </c>
      <c r="F20" s="784"/>
      <c r="G20" s="784"/>
      <c r="H20" s="784"/>
      <c r="I20" s="784"/>
      <c r="J20" s="784"/>
      <c r="K20" s="784"/>
      <c r="L20" s="784"/>
      <c r="M20" s="784"/>
      <c r="N20" s="784"/>
      <c r="O20" s="784"/>
      <c r="P20" s="784"/>
      <c r="Q20" s="784"/>
      <c r="R20" s="784"/>
      <c r="S20" s="784"/>
      <c r="T20" s="784"/>
      <c r="U20" s="784"/>
      <c r="V20" s="784"/>
      <c r="W20" s="784"/>
      <c r="X20" s="784"/>
      <c r="Y20" s="784"/>
      <c r="Z20" s="784"/>
      <c r="AA20" s="20">
        <v>16</v>
      </c>
      <c r="AB20" s="1166" t="s">
        <v>248</v>
      </c>
      <c r="AC20" s="20" t="s">
        <v>249</v>
      </c>
      <c r="AD20" s="20" t="s">
        <v>148</v>
      </c>
    </row>
    <row r="21" spans="1:30" s="20" customFormat="1" ht="22.5" customHeight="1" x14ac:dyDescent="0.2">
      <c r="A21" s="2294" t="str">
        <f t="shared" si="2"/>
        <v>- Certain cells must always be positive (i.e. production, other sources, imports and all the sub-elements for transformation processes, energy industry own use, losses, industry, transport, other and non-energy use)</v>
      </c>
      <c r="B21" s="2294" t="str">
        <f t="shared" si="3"/>
        <v>- Certain cells must always be positive (i.e. production, other sources, imports and all the sub-elements for transformation processes, energy industry own use, losses, industry, transport, other and non-energy use)</v>
      </c>
      <c r="C21" s="2294" t="str">
        <f t="shared" si="3"/>
        <v>- Certain cells must always be positive (i.e. production, other sources, imports and all the sub-elements for transformation processes, energy industry own use, losses, industry, transport, other and non-energy use)</v>
      </c>
      <c r="D21" s="2294" t="str">
        <f t="shared" si="3"/>
        <v>- Certain cells must always be positive (i.e. production, other sources, imports and all the sub-elements for transformation processes, energy industry own use, losses, industry, transport, other and non-energy use)</v>
      </c>
      <c r="E21" s="2294" t="str">
        <f t="shared" si="3"/>
        <v>- Certain cells must always be positive (i.e. production, other sources, imports and all the sub-elements for transformation processes, energy industry own use, losses, industry, transport, other and non-energy use)</v>
      </c>
      <c r="AA21" s="20">
        <v>17</v>
      </c>
      <c r="AB21" s="20" t="s">
        <v>250</v>
      </c>
      <c r="AC21" s="20" t="s">
        <v>251</v>
      </c>
      <c r="AD21" s="20" t="s">
        <v>148</v>
      </c>
    </row>
    <row r="22" spans="1:30" s="20" customFormat="1" ht="11.25" customHeight="1" x14ac:dyDescent="0.2">
      <c r="A22" s="2294" t="str">
        <f t="shared" si="2"/>
        <v>- Sub-totals will be highlighted if they are not equal to the sum of the sub-elements.</v>
      </c>
      <c r="B22" s="2294" t="str">
        <f t="shared" si="3"/>
        <v>- Sub-totals will be highlighted if they are not equal to the sum of the sub-elements.</v>
      </c>
      <c r="C22" s="2294" t="str">
        <f t="shared" si="3"/>
        <v>- Sub-totals will be highlighted if they are not equal to the sum of the sub-elements.</v>
      </c>
      <c r="D22" s="2294" t="str">
        <f t="shared" si="3"/>
        <v>- Sub-totals will be highlighted if they are not equal to the sum of the sub-elements.</v>
      </c>
      <c r="E22" s="2294" t="str">
        <f t="shared" si="3"/>
        <v>- Sub-totals will be highlighted if they are not equal to the sum of the sub-elements.</v>
      </c>
      <c r="F22" s="784"/>
      <c r="G22" s="784"/>
      <c r="H22" s="784"/>
      <c r="I22" s="784"/>
      <c r="J22" s="784"/>
      <c r="K22" s="784"/>
      <c r="L22" s="784"/>
      <c r="M22" s="784"/>
      <c r="N22" s="784"/>
      <c r="O22" s="784"/>
      <c r="P22" s="784"/>
      <c r="Q22" s="784"/>
      <c r="R22" s="784"/>
      <c r="S22" s="784"/>
      <c r="T22" s="784"/>
      <c r="U22" s="784"/>
      <c r="V22" s="784"/>
      <c r="W22" s="784"/>
      <c r="X22" s="784"/>
      <c r="Y22" s="784"/>
      <c r="Z22" s="784"/>
      <c r="AA22" s="20">
        <v>18</v>
      </c>
      <c r="AB22" s="784" t="s">
        <v>252</v>
      </c>
      <c r="AC22" s="20" t="s">
        <v>253</v>
      </c>
      <c r="AD22" s="20" t="s">
        <v>148</v>
      </c>
    </row>
    <row r="23" spans="1:30" s="20" customFormat="1" ht="11.25" customHeight="1" x14ac:dyDescent="0.2">
      <c r="A23" s="2294" t="str">
        <f t="shared" si="2"/>
        <v>- Final consumption will check to see that sums are correct both from the top-down and the bottom-up:</v>
      </c>
      <c r="B23" s="2294" t="str">
        <f t="shared" si="3"/>
        <v>- Final consumption will check to see that sums are correct both from the top-down and the bottom-up:</v>
      </c>
      <c r="C23" s="2294" t="str">
        <f t="shared" si="3"/>
        <v>- Final consumption will check to see that sums are correct both from the top-down and the bottom-up:</v>
      </c>
      <c r="D23" s="2294" t="str">
        <f t="shared" si="3"/>
        <v>- Final consumption will check to see that sums are correct both from the top-down and the bottom-up:</v>
      </c>
      <c r="E23" s="2294" t="str">
        <f t="shared" si="3"/>
        <v>- Final consumption will check to see that sums are correct both from the top-down and the bottom-up:</v>
      </c>
      <c r="F23" s="784"/>
      <c r="G23" s="784"/>
      <c r="H23" s="784"/>
      <c r="I23" s="784"/>
      <c r="J23" s="784"/>
      <c r="K23" s="784"/>
      <c r="L23" s="784"/>
      <c r="M23" s="784"/>
      <c r="N23" s="784"/>
      <c r="O23" s="784"/>
      <c r="P23" s="784"/>
      <c r="Q23" s="784"/>
      <c r="R23" s="784"/>
      <c r="S23" s="784"/>
      <c r="T23" s="784"/>
      <c r="U23" s="784"/>
      <c r="V23" s="784"/>
      <c r="W23" s="784"/>
      <c r="X23" s="784"/>
      <c r="Y23" s="784"/>
      <c r="Z23" s="784"/>
      <c r="AA23" s="20">
        <v>19</v>
      </c>
      <c r="AB23" s="1166" t="s">
        <v>254</v>
      </c>
      <c r="AC23" s="20" t="s">
        <v>255</v>
      </c>
      <c r="AD23" s="20" t="s">
        <v>148</v>
      </c>
    </row>
    <row r="24" spans="1:30" s="20" customFormat="1" ht="11.25" customHeight="1" x14ac:dyDescent="0.2">
      <c r="A24" s="2295" t="str">
        <f t="shared" si="2"/>
        <v>--Final consumption (top-down) = Domestic supply - Transformation processes - Energy industry own use - Losses + Transfers + Statistical difference</v>
      </c>
      <c r="B24" s="2295" t="str">
        <f t="shared" si="3"/>
        <v>--Final consumption (top-down) = Domestic supply - Transformation processes - Energy industry own use - Losses + Transfers + Statistical difference</v>
      </c>
      <c r="C24" s="2295" t="str">
        <f t="shared" si="3"/>
        <v>--Final consumption (top-down) = Domestic supply - Transformation processes - Energy industry own use - Losses + Transfers + Statistical difference</v>
      </c>
      <c r="D24" s="2295" t="str">
        <f t="shared" si="3"/>
        <v>--Final consumption (top-down) = Domestic supply - Transformation processes - Energy industry own use - Losses + Transfers + Statistical difference</v>
      </c>
      <c r="E24" s="2295" t="str">
        <f t="shared" si="3"/>
        <v>--Final consumption (top-down) = Domestic supply - Transformation processes - Energy industry own use - Losses + Transfers + Statistical difference</v>
      </c>
      <c r="F24" s="779"/>
      <c r="G24" s="779"/>
      <c r="H24" s="779"/>
      <c r="I24" s="779"/>
      <c r="J24" s="779"/>
      <c r="K24" s="779"/>
      <c r="L24" s="779"/>
      <c r="M24" s="779"/>
      <c r="N24" s="779"/>
      <c r="O24" s="779"/>
      <c r="P24" s="779"/>
      <c r="Q24" s="779"/>
      <c r="R24" s="779"/>
      <c r="S24" s="779"/>
      <c r="T24" s="779"/>
      <c r="U24" s="779"/>
      <c r="V24" s="779"/>
      <c r="W24" s="779"/>
      <c r="X24" s="779"/>
      <c r="Y24" s="779"/>
      <c r="Z24" s="779"/>
      <c r="AA24" s="20">
        <v>20</v>
      </c>
      <c r="AB24" s="20" t="s">
        <v>256</v>
      </c>
      <c r="AC24" s="20" t="s">
        <v>257</v>
      </c>
      <c r="AD24" s="20" t="s">
        <v>148</v>
      </c>
    </row>
    <row r="25" spans="1:30" s="20" customFormat="1" ht="11.25" customHeight="1" x14ac:dyDescent="0.2">
      <c r="A25" s="2295" t="str">
        <f t="shared" si="2"/>
        <v>--Final consumption (bottom-up) = Industry + Transport + Other + Non-energy use</v>
      </c>
      <c r="B25" s="2295" t="str">
        <f t="shared" si="3"/>
        <v>--Final consumption (bottom-up) = Industry + Transport + Other + Non-energy use</v>
      </c>
      <c r="C25" s="2295" t="str">
        <f t="shared" si="3"/>
        <v>--Final consumption (bottom-up) = Industry + Transport + Other + Non-energy use</v>
      </c>
      <c r="D25" s="2295" t="str">
        <f t="shared" si="3"/>
        <v>--Final consumption (bottom-up) = Industry + Transport + Other + Non-energy use</v>
      </c>
      <c r="E25" s="2295" t="str">
        <f t="shared" si="3"/>
        <v>--Final consumption (bottom-up) = Industry + Transport + Other + Non-energy use</v>
      </c>
      <c r="AA25" s="20">
        <v>21</v>
      </c>
      <c r="AB25" s="20" t="s">
        <v>258</v>
      </c>
      <c r="AC25" s="20" t="s">
        <v>259</v>
      </c>
      <c r="AD25" s="20" t="s">
        <v>148</v>
      </c>
    </row>
    <row r="26" spans="1:30" s="20" customFormat="1" ht="11.25" customHeight="1" x14ac:dyDescent="0.2">
      <c r="A26" s="2294" t="str">
        <f t="shared" si="2"/>
        <v>- For the conversion factors, make sure that there are no zeroes in the table to ensure that all flows are converted to energy units.</v>
      </c>
      <c r="B26" s="2294" t="str">
        <f t="shared" si="3"/>
        <v>- For the conversion factors, make sure that there are no zeroes in the table to ensure that all flows are converted to energy units.</v>
      </c>
      <c r="C26" s="2294" t="str">
        <f t="shared" si="3"/>
        <v>- For the conversion factors, make sure that there are no zeroes in the table to ensure that all flows are converted to energy units.</v>
      </c>
      <c r="D26" s="2294" t="str">
        <f t="shared" si="3"/>
        <v>- For the conversion factors, make sure that there are no zeroes in the table to ensure that all flows are converted to energy units.</v>
      </c>
      <c r="E26" s="2294" t="str">
        <f t="shared" si="3"/>
        <v>- For the conversion factors, make sure that there are no zeroes in the table to ensure that all flows are converted to energy units.</v>
      </c>
      <c r="F26" s="779"/>
      <c r="G26" s="779"/>
      <c r="H26" s="779"/>
      <c r="I26" s="779"/>
      <c r="J26" s="779"/>
      <c r="K26" s="779"/>
      <c r="L26" s="779"/>
      <c r="M26" s="779"/>
      <c r="N26" s="779"/>
      <c r="O26" s="779"/>
      <c r="P26" s="779"/>
      <c r="Q26" s="779"/>
      <c r="R26" s="779"/>
      <c r="S26" s="779"/>
      <c r="T26" s="779"/>
      <c r="U26" s="779"/>
      <c r="V26" s="779"/>
      <c r="W26" s="779"/>
      <c r="X26" s="779"/>
      <c r="Y26" s="779"/>
      <c r="Z26" s="779"/>
      <c r="AA26" s="20">
        <v>22</v>
      </c>
      <c r="AB26" s="20" t="s">
        <v>260</v>
      </c>
      <c r="AC26" s="20" t="s">
        <v>261</v>
      </c>
      <c r="AD26" s="20" t="s">
        <v>148</v>
      </c>
    </row>
    <row r="27" spans="1:30" s="20" customFormat="1" ht="11.25" customHeight="1" x14ac:dyDescent="0.2">
      <c r="AA27" s="20">
        <v>23</v>
      </c>
      <c r="AB27" s="20" t="s">
        <v>262</v>
      </c>
      <c r="AC27" s="20" t="s">
        <v>263</v>
      </c>
      <c r="AD27" s="20" t="s">
        <v>148</v>
      </c>
    </row>
    <row r="28" spans="1:30" s="20" customFormat="1" ht="15" customHeight="1" x14ac:dyDescent="0.2">
      <c r="A28" s="1015" t="str">
        <f t="shared" ref="A28:A33" si="4">HLOOKUP(LangChoice,$AB$4:$AE$50,$AA35+1)</f>
        <v>Help / Further Information:</v>
      </c>
      <c r="B28" s="789"/>
      <c r="C28" s="789"/>
      <c r="D28" s="789"/>
      <c r="E28" s="789"/>
      <c r="AA28" s="20">
        <v>24</v>
      </c>
      <c r="AB28" s="20" t="s">
        <v>264</v>
      </c>
      <c r="AC28" s="20" t="s">
        <v>265</v>
      </c>
      <c r="AD28" s="20" t="s">
        <v>148</v>
      </c>
    </row>
    <row r="29" spans="1:30" s="20" customFormat="1" ht="22.5" customHeight="1" x14ac:dyDescent="0.2">
      <c r="A29" s="2294" t="str">
        <f t="shared" si="4"/>
        <v xml:space="preserve">- Consult the IEA definitions worksheet to understand what is covered by individual products or flows.  Where applicable, row or column headings of the "data in physical units" and balances worksheets are linked directly to the appropriate definition. </v>
      </c>
      <c r="B29" s="2294" t="str">
        <f t="shared" ref="B29:E33" si="5">HLOOKUP(LangChoice,$AB$4:$AE$50,$AA36+1)</f>
        <v xml:space="preserve">- Consult the IEA definitions worksheet to understand what is covered by individual products or flows.  Where applicable, row or column headings of the "data in physical units" and balances worksheets are linked directly to the appropriate definition. </v>
      </c>
      <c r="C29" s="2294" t="str">
        <f t="shared" si="5"/>
        <v xml:space="preserve">- Consult the IEA definitions worksheet to understand what is covered by individual products or flows.  Where applicable, row or column headings of the "data in physical units" and balances worksheets are linked directly to the appropriate definition. </v>
      </c>
      <c r="D29" s="2294" t="str">
        <f t="shared" si="5"/>
        <v xml:space="preserve">- Consult the IEA definitions worksheet to understand what is covered by individual products or flows.  Where applicable, row or column headings of the "data in physical units" and balances worksheets are linked directly to the appropriate definition. </v>
      </c>
      <c r="E29" s="2294" t="str">
        <f t="shared" si="5"/>
        <v xml:space="preserve">- Consult the IEA definitions worksheet to understand what is covered by individual products or flows.  Where applicable, row or column headings of the "data in physical units" and balances worksheets are linked directly to the appropriate definition. </v>
      </c>
      <c r="AA29" s="20">
        <v>25</v>
      </c>
      <c r="AB29" s="20" t="s">
        <v>266</v>
      </c>
      <c r="AC29" s="20" t="s">
        <v>267</v>
      </c>
      <c r="AD29" s="20" t="s">
        <v>148</v>
      </c>
    </row>
    <row r="30" spans="1:30" s="20" customFormat="1" ht="11.25" x14ac:dyDescent="0.2">
      <c r="A30" s="2294" t="str">
        <f t="shared" si="4"/>
        <v>- Please ensure macros are enabled.</v>
      </c>
      <c r="B30" s="2294" t="str">
        <f t="shared" si="5"/>
        <v>- Please ensure macros are enabled.</v>
      </c>
      <c r="C30" s="2294" t="str">
        <f t="shared" si="5"/>
        <v>- Please ensure macros are enabled.</v>
      </c>
      <c r="D30" s="2294" t="str">
        <f t="shared" si="5"/>
        <v>- Please ensure macros are enabled.</v>
      </c>
      <c r="E30" s="2294" t="str">
        <f t="shared" si="5"/>
        <v>- Please ensure macros are enabled.</v>
      </c>
      <c r="AA30" s="20">
        <v>26</v>
      </c>
      <c r="AB30" s="20" t="s">
        <v>268</v>
      </c>
      <c r="AC30" s="20" t="s">
        <v>269</v>
      </c>
      <c r="AD30" s="20" t="s">
        <v>148</v>
      </c>
    </row>
    <row r="31" spans="1:30" s="20" customFormat="1" ht="22.5" customHeight="1" x14ac:dyDescent="0.2">
      <c r="A31" s="2294" t="str">
        <f t="shared" si="4"/>
        <v>-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v>
      </c>
      <c r="B31" s="2294" t="str">
        <f t="shared" si="5"/>
        <v>-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v>
      </c>
      <c r="C31" s="2294" t="str">
        <f t="shared" si="5"/>
        <v>-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v>
      </c>
      <c r="D31" s="2294" t="str">
        <f t="shared" si="5"/>
        <v>-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v>
      </c>
      <c r="E31" s="2294" t="str">
        <f t="shared" si="5"/>
        <v>- The country-specific exceptions listed in the "Exceptions" worksheet are automatically copied to the disaggregated balance when necessary. This worksheet should not be modified, it is made available for information. When "Disaggregated Balance" cells are modified their font color is changed to red.</v>
      </c>
      <c r="AA31" s="20">
        <v>27</v>
      </c>
      <c r="AB31" s="20" t="s">
        <v>270</v>
      </c>
      <c r="AC31" s="20" t="s">
        <v>271</v>
      </c>
      <c r="AD31" s="20" t="s">
        <v>148</v>
      </c>
    </row>
    <row r="32" spans="1:30" s="20" customFormat="1" ht="11.25" x14ac:dyDescent="0.2">
      <c r="A32" s="2294" t="str">
        <f t="shared" si="4"/>
        <v>- Most worksheets are protected to prevent involuntary changes. To unprotect them, right-click the desired worksheet and select "Unprotect sheet".</v>
      </c>
      <c r="B32" s="2294" t="str">
        <f t="shared" si="5"/>
        <v>- Most worksheets are protected to prevent involuntary changes. To unprotect them, right-click the desired worksheet and select "Unprotect sheet".</v>
      </c>
      <c r="C32" s="2294" t="str">
        <f t="shared" si="5"/>
        <v>- Most worksheets are protected to prevent involuntary changes. To unprotect them, right-click the desired worksheet and select "Unprotect sheet".</v>
      </c>
      <c r="D32" s="2294" t="str">
        <f t="shared" si="5"/>
        <v>- Most worksheets are protected to prevent involuntary changes. To unprotect them, right-click the desired worksheet and select "Unprotect sheet".</v>
      </c>
      <c r="E32" s="2294" t="str">
        <f t="shared" si="5"/>
        <v>- Most worksheets are protected to prevent involuntary changes. To unprotect them, right-click the desired worksheet and select "Unprotect sheet".</v>
      </c>
      <c r="AA32" s="20">
        <v>28</v>
      </c>
      <c r="AB32" s="302" t="s">
        <v>272</v>
      </c>
      <c r="AC32" s="1233" t="s">
        <v>273</v>
      </c>
      <c r="AD32" s="20" t="s">
        <v>148</v>
      </c>
    </row>
    <row r="33" spans="1:30" s="20" customFormat="1" ht="22.5" customHeight="1" x14ac:dyDescent="0.2">
      <c r="A33" s="2294" t="str">
        <f t="shared" si="4"/>
        <v>-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v>
      </c>
      <c r="B33" s="2294" t="str">
        <f t="shared" si="5"/>
        <v>-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v>
      </c>
      <c r="C33" s="2294" t="str">
        <f t="shared" si="5"/>
        <v>-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v>
      </c>
      <c r="D33" s="2294" t="str">
        <f t="shared" si="5"/>
        <v>-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v>
      </c>
      <c r="E33" s="2294" t="str">
        <f t="shared" si="5"/>
        <v>- The IEA uses a model to allocate part of the blast furnaces fuel inputs to transformation processes and part to iron and steel consumption. This model is not implemented in the balance builder and, for this reason, the blast furnaces transformation row and iron and steel row might differ from our published data.</v>
      </c>
      <c r="AA33" s="20">
        <v>29</v>
      </c>
      <c r="AB33" s="302" t="s">
        <v>274</v>
      </c>
      <c r="AC33" s="1233" t="s">
        <v>275</v>
      </c>
      <c r="AD33" s="20" t="s">
        <v>148</v>
      </c>
    </row>
    <row r="34" spans="1:30" s="20" customFormat="1" ht="11.25" customHeight="1" x14ac:dyDescent="0.2">
      <c r="AA34" s="20">
        <v>30</v>
      </c>
      <c r="AB34" s="20" t="s">
        <v>276</v>
      </c>
      <c r="AC34" s="20" t="s">
        <v>277</v>
      </c>
      <c r="AD34" s="20" t="s">
        <v>148</v>
      </c>
    </row>
    <row r="35" spans="1:30" s="20" customFormat="1" ht="11.25" customHeight="1" x14ac:dyDescent="0.2">
      <c r="AA35" s="20">
        <v>31</v>
      </c>
      <c r="AB35" s="20" t="s">
        <v>278</v>
      </c>
      <c r="AC35" s="20" t="s">
        <v>279</v>
      </c>
      <c r="AD35" s="20" t="s">
        <v>148</v>
      </c>
    </row>
    <row r="36" spans="1:30" s="20" customFormat="1" ht="11.25" customHeight="1" x14ac:dyDescent="0.2">
      <c r="AA36" s="20">
        <v>32</v>
      </c>
      <c r="AB36" s="20" t="s">
        <v>280</v>
      </c>
      <c r="AC36" s="20" t="s">
        <v>281</v>
      </c>
      <c r="AD36" s="20" t="s">
        <v>148</v>
      </c>
    </row>
    <row r="37" spans="1:30" s="20" customFormat="1" ht="11.25" customHeight="1" x14ac:dyDescent="0.2">
      <c r="AA37" s="20">
        <v>33</v>
      </c>
      <c r="AB37" s="20" t="s">
        <v>282</v>
      </c>
      <c r="AC37" s="20" t="s">
        <v>283</v>
      </c>
      <c r="AD37" s="20" t="s">
        <v>148</v>
      </c>
    </row>
    <row r="38" spans="1:30" s="20" customFormat="1" ht="11.25" x14ac:dyDescent="0.2">
      <c r="B38" s="974"/>
      <c r="AA38" s="20">
        <v>34</v>
      </c>
      <c r="AB38" s="20" t="s">
        <v>284</v>
      </c>
      <c r="AC38" s="20" t="s">
        <v>285</v>
      </c>
      <c r="AD38" s="20" t="s">
        <v>148</v>
      </c>
    </row>
    <row r="39" spans="1:30" s="20" customFormat="1" ht="11.25" x14ac:dyDescent="0.2">
      <c r="AA39" s="20">
        <v>35</v>
      </c>
      <c r="AB39" s="20" t="s">
        <v>286</v>
      </c>
      <c r="AC39" s="20" t="s">
        <v>287</v>
      </c>
      <c r="AD39" s="20" t="s">
        <v>148</v>
      </c>
    </row>
    <row r="40" spans="1:30" s="20" customFormat="1" ht="11.25" x14ac:dyDescent="0.2">
      <c r="AA40" s="20">
        <v>36</v>
      </c>
      <c r="AB40" s="20" t="s">
        <v>288</v>
      </c>
      <c r="AC40" s="20" t="s">
        <v>289</v>
      </c>
      <c r="AD40" s="20" t="s">
        <v>148</v>
      </c>
    </row>
    <row r="41" spans="1:30" s="20" customFormat="1" ht="11.25" x14ac:dyDescent="0.2">
      <c r="AA41" s="20">
        <v>37</v>
      </c>
      <c r="AB41" s="20" t="s">
        <v>290</v>
      </c>
      <c r="AC41" s="20" t="s">
        <v>291</v>
      </c>
      <c r="AD41" s="20" t="s">
        <v>148</v>
      </c>
    </row>
    <row r="42" spans="1:30" s="20" customFormat="1" ht="11.25" x14ac:dyDescent="0.2"/>
    <row r="43" spans="1:30" s="20" customFormat="1" ht="11.25" x14ac:dyDescent="0.2"/>
    <row r="44" spans="1:30" s="20" customFormat="1" ht="11.25" x14ac:dyDescent="0.2"/>
    <row r="45" spans="1:30" s="20" customFormat="1" ht="11.25" x14ac:dyDescent="0.2"/>
    <row r="50" spans="1:4" hidden="1" x14ac:dyDescent="0.2">
      <c r="A50" s="975" t="s">
        <v>184</v>
      </c>
      <c r="B50" s="259" t="s">
        <v>292</v>
      </c>
      <c r="C50" s="20"/>
      <c r="D50" s="20"/>
    </row>
    <row r="51" spans="1:4" ht="22.5" hidden="1" x14ac:dyDescent="0.2">
      <c r="A51" s="20"/>
      <c r="B51" s="576" t="s">
        <v>293</v>
      </c>
      <c r="C51" s="20"/>
      <c r="D51" s="671" t="s">
        <v>294</v>
      </c>
    </row>
    <row r="52" spans="1:4" ht="22.5" hidden="1" x14ac:dyDescent="0.2">
      <c r="A52" s="20"/>
      <c r="B52" s="576" t="s">
        <v>295</v>
      </c>
      <c r="C52" s="20"/>
      <c r="D52" s="671" t="s">
        <v>296</v>
      </c>
    </row>
    <row r="53" spans="1:4" hidden="1" x14ac:dyDescent="0.2">
      <c r="A53" s="20"/>
      <c r="B53" s="812" t="s">
        <v>297</v>
      </c>
      <c r="C53" s="617" t="s">
        <v>298</v>
      </c>
      <c r="D53" s="617" t="s">
        <v>299</v>
      </c>
    </row>
    <row r="54" spans="1:4" hidden="1" x14ac:dyDescent="0.2">
      <c r="B54" s="20" t="s">
        <v>300</v>
      </c>
      <c r="C54" s="20"/>
      <c r="D54" s="20" t="s">
        <v>301</v>
      </c>
    </row>
    <row r="55" spans="1:4" hidden="1" x14ac:dyDescent="0.2">
      <c r="A55" s="20"/>
      <c r="B55" s="20" t="s">
        <v>302</v>
      </c>
      <c r="D55" s="20" t="s">
        <v>301</v>
      </c>
    </row>
    <row r="56" spans="1:4" hidden="1" x14ac:dyDescent="0.2">
      <c r="A56" s="20"/>
    </row>
    <row r="57" spans="1:4" hidden="1" x14ac:dyDescent="0.2"/>
    <row r="58" spans="1:4" hidden="1" x14ac:dyDescent="0.2"/>
    <row r="59" spans="1:4" hidden="1" x14ac:dyDescent="0.2"/>
    <row r="60" spans="1:4" hidden="1" x14ac:dyDescent="0.2"/>
  </sheetData>
  <mergeCells count="15">
    <mergeCell ref="A29:E29"/>
    <mergeCell ref="A30:E30"/>
    <mergeCell ref="A31:E31"/>
    <mergeCell ref="A32:E32"/>
    <mergeCell ref="A33:E33"/>
    <mergeCell ref="A22:E22"/>
    <mergeCell ref="A23:E23"/>
    <mergeCell ref="A24:E24"/>
    <mergeCell ref="A25:E25"/>
    <mergeCell ref="A26:E26"/>
    <mergeCell ref="A11:A16"/>
    <mergeCell ref="A7:A10"/>
    <mergeCell ref="A5:A6"/>
    <mergeCell ref="A20:E20"/>
    <mergeCell ref="A21:E21"/>
  </mergeCells>
  <hyperlinks>
    <hyperlink ref="B4" location="Definitions!A1" display="Definitions" xr:uid="{00000000-0004-0000-0200-000000000000}"/>
    <hyperlink ref="B5" location="'Conversion factors'!A1" display="Conversion Factors" xr:uid="{00000000-0004-0000-0200-000001000000}"/>
    <hyperlink ref="B6" location="'Data in physical units'!A1" display="Data in physical units" xr:uid="{00000000-0004-0000-0200-000002000000}"/>
    <hyperlink ref="B7" location="'Disaggregated Balance'!A1" display="Disaggregated balance" xr:uid="{00000000-0004-0000-0200-000003000000}"/>
    <hyperlink ref="B8" location="'Aggregated Balance'!A1" display="Aggregated balance" xr:uid="{00000000-0004-0000-0200-000004000000}"/>
    <hyperlink ref="B9" location="'Published Balance'!A1" display="Published balance" xr:uid="{00000000-0004-0000-0200-000005000000}"/>
    <hyperlink ref="B10" location="'Balance Summary'!A1" display="Balance summary" xr:uid="{00000000-0004-0000-0200-000006000000}"/>
    <hyperlink ref="B11" location="IronSteel_CokeOven!A1" display="IronSteel_CokeOven" xr:uid="{00000000-0004-0000-0200-000007000000}"/>
    <hyperlink ref="B12" location="IronSteel_BlastFurnace!A1" display="IronSteel_BlastFurnace" xr:uid="{00000000-0004-0000-0200-000008000000}"/>
    <hyperlink ref="B13" location="Refinery!A1" display="Refinery" xr:uid="{00000000-0004-0000-0200-000009000000}"/>
    <hyperlink ref="B14" location="Electricity_Heat_I!A1" display="Electricity_Heat_I" xr:uid="{00000000-0004-0000-0200-00000A000000}"/>
    <hyperlink ref="B15" location="Electricity_Heat_II!A1" display="Electricity_Heat_II" xr:uid="{00000000-0004-0000-0200-00000B000000}"/>
    <hyperlink ref="B16" location="CapacityFactor!A1" display="CapacityFactor" xr:uid="{00000000-0004-0000-0200-00000C000000}"/>
  </hyperlinks>
  <pageMargins left="0.7" right="0.7" top="0.75" bottom="0.75" header="0.3" footer="0.3"/>
  <pageSetup paperSize="9" orientation="landscape" verticalDpi="1200"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theme="7"/>
  </sheetPr>
  <dimension ref="A1:E51"/>
  <sheetViews>
    <sheetView topLeftCell="C4" workbookViewId="0">
      <selection activeCell="J50" sqref="J50"/>
    </sheetView>
  </sheetViews>
  <sheetFormatPr defaultColWidth="9.140625" defaultRowHeight="12.75" x14ac:dyDescent="0.2"/>
  <cols>
    <col min="1" max="2" width="9.140625" style="15" hidden="1" customWidth="1"/>
    <col min="3" max="3" width="37.28515625" style="15" customWidth="1"/>
    <col min="4" max="4" width="3.85546875" style="15" customWidth="1"/>
    <col min="5" max="5" width="17" style="15" customWidth="1"/>
    <col min="6" max="9" width="9.140625" style="15"/>
    <col min="10" max="10" width="11.85546875" style="15" bestFit="1" customWidth="1"/>
    <col min="11" max="26" width="9.140625" style="15"/>
    <col min="27" max="27" width="46.42578125" style="15" customWidth="1"/>
    <col min="28" max="52" width="9.140625" style="15"/>
    <col min="53" max="53" width="36.28515625" style="15" customWidth="1"/>
    <col min="54" max="16384" width="9.140625" style="15"/>
  </cols>
  <sheetData>
    <row r="1" spans="1:5" ht="30" customHeight="1" x14ac:dyDescent="0.25">
      <c r="B1" s="229"/>
      <c r="C1" s="2371" t="s">
        <v>7877</v>
      </c>
      <c r="D1" s="2371"/>
      <c r="E1" s="2371"/>
    </row>
    <row r="2" spans="1:5" ht="12.75" customHeight="1" x14ac:dyDescent="0.25">
      <c r="A2" s="14"/>
      <c r="B2" s="14"/>
      <c r="C2" s="954"/>
      <c r="D2" s="954"/>
      <c r="E2" s="221"/>
    </row>
    <row r="3" spans="1:5" ht="18" customHeight="1" thickBot="1" x14ac:dyDescent="0.25">
      <c r="C3" s="2056" t="str">
        <f>CountryName</f>
        <v>South Africa</v>
      </c>
      <c r="E3" s="222" t="s">
        <v>7878</v>
      </c>
    </row>
    <row r="4" spans="1:5" ht="13.5" thickTop="1" x14ac:dyDescent="0.2">
      <c r="A4" s="919" t="s">
        <v>7797</v>
      </c>
      <c r="B4" s="230" t="s">
        <v>7879</v>
      </c>
      <c r="C4" s="2374">
        <f>DataYear</f>
        <v>2019</v>
      </c>
      <c r="D4" s="955"/>
      <c r="E4" s="2372" t="s">
        <v>7880</v>
      </c>
    </row>
    <row r="5" spans="1:5" ht="15.75" thickBot="1" x14ac:dyDescent="0.25">
      <c r="C5" s="2375" t="s">
        <v>7881</v>
      </c>
      <c r="D5" s="223"/>
      <c r="E5" s="2373"/>
    </row>
    <row r="6" spans="1:5" ht="15.75" thickTop="1" x14ac:dyDescent="0.2">
      <c r="A6" s="956" t="s">
        <v>7882</v>
      </c>
      <c r="C6" s="957" t="s">
        <v>7883</v>
      </c>
      <c r="D6" s="224"/>
      <c r="E6" s="958"/>
    </row>
    <row r="7" spans="1:5" x14ac:dyDescent="0.2">
      <c r="A7" s="919" t="s">
        <v>7235</v>
      </c>
      <c r="B7" s="919" t="s">
        <v>1483</v>
      </c>
      <c r="C7" s="959" t="s">
        <v>7884</v>
      </c>
      <c r="D7" s="960"/>
      <c r="E7" s="958" t="s">
        <v>7239</v>
      </c>
    </row>
    <row r="8" spans="1:5" ht="15" customHeight="1" x14ac:dyDescent="0.2">
      <c r="A8" s="623" t="s">
        <v>7885</v>
      </c>
      <c r="B8" s="1862" t="s">
        <v>750</v>
      </c>
      <c r="C8" s="1851" t="s">
        <v>751</v>
      </c>
      <c r="D8" s="1856">
        <v>1</v>
      </c>
      <c r="E8" s="1878"/>
    </row>
    <row r="9" spans="1:5" ht="15" customHeight="1" x14ac:dyDescent="0.2">
      <c r="A9" s="623" t="s">
        <v>7885</v>
      </c>
      <c r="B9" s="1862" t="s">
        <v>7808</v>
      </c>
      <c r="C9" s="1852" t="s">
        <v>7886</v>
      </c>
      <c r="D9" s="1857">
        <v>2</v>
      </c>
      <c r="E9" s="1879"/>
    </row>
    <row r="10" spans="1:5" ht="15" customHeight="1" x14ac:dyDescent="0.2">
      <c r="A10" s="623" t="s">
        <v>7885</v>
      </c>
      <c r="B10" s="1862" t="s">
        <v>7810</v>
      </c>
      <c r="C10" s="1860" t="s">
        <v>7887</v>
      </c>
      <c r="D10" s="1857">
        <v>3</v>
      </c>
      <c r="E10" s="1879"/>
    </row>
    <row r="11" spans="1:5" ht="15" customHeight="1" x14ac:dyDescent="0.2">
      <c r="A11" s="623" t="s">
        <v>7885</v>
      </c>
      <c r="B11" s="1862" t="s">
        <v>7812</v>
      </c>
      <c r="C11" s="1852" t="s">
        <v>7888</v>
      </c>
      <c r="D11" s="1857">
        <v>4</v>
      </c>
      <c r="E11" s="1879"/>
    </row>
    <row r="12" spans="1:5" ht="15" customHeight="1" x14ac:dyDescent="0.2">
      <c r="A12" s="623" t="s">
        <v>7885</v>
      </c>
      <c r="B12" s="1862" t="s">
        <v>7816</v>
      </c>
      <c r="C12" s="1852" t="s">
        <v>7889</v>
      </c>
      <c r="D12" s="1857">
        <v>5</v>
      </c>
      <c r="E12" s="1879"/>
    </row>
    <row r="13" spans="1:5" ht="15" customHeight="1" x14ac:dyDescent="0.2">
      <c r="A13" s="623" t="s">
        <v>7885</v>
      </c>
      <c r="B13" s="1862" t="s">
        <v>757</v>
      </c>
      <c r="C13" s="1851" t="s">
        <v>758</v>
      </c>
      <c r="D13" s="1857">
        <v>6</v>
      </c>
      <c r="E13" s="1879"/>
    </row>
    <row r="14" spans="1:5" ht="15" customHeight="1" x14ac:dyDescent="0.2">
      <c r="A14" s="623" t="s">
        <v>7885</v>
      </c>
      <c r="B14" s="1862" t="s">
        <v>767</v>
      </c>
      <c r="C14" s="1851" t="s">
        <v>768</v>
      </c>
      <c r="D14" s="1857">
        <v>7</v>
      </c>
      <c r="E14" s="1879"/>
    </row>
    <row r="15" spans="1:5" ht="15" customHeight="1" x14ac:dyDescent="0.2">
      <c r="A15" s="623" t="s">
        <v>7885</v>
      </c>
      <c r="B15" s="1862" t="s">
        <v>7818</v>
      </c>
      <c r="C15" s="1861" t="s">
        <v>7890</v>
      </c>
      <c r="D15" s="1857">
        <v>8</v>
      </c>
      <c r="E15" s="1879"/>
    </row>
    <row r="16" spans="1:5" ht="15" customHeight="1" x14ac:dyDescent="0.2">
      <c r="A16" s="623" t="s">
        <v>7885</v>
      </c>
      <c r="B16" s="1862" t="s">
        <v>7820</v>
      </c>
      <c r="C16" s="1861" t="s">
        <v>7891</v>
      </c>
      <c r="D16" s="1857">
        <v>9</v>
      </c>
      <c r="E16" s="1879"/>
    </row>
    <row r="17" spans="1:5" ht="15" customHeight="1" x14ac:dyDescent="0.2">
      <c r="A17" s="623" t="s">
        <v>7885</v>
      </c>
      <c r="B17" s="1862" t="s">
        <v>7822</v>
      </c>
      <c r="C17" s="1861" t="s">
        <v>7892</v>
      </c>
      <c r="D17" s="1857">
        <v>10</v>
      </c>
      <c r="E17" s="1879"/>
    </row>
    <row r="18" spans="1:5" ht="15" customHeight="1" x14ac:dyDescent="0.2">
      <c r="A18" s="623" t="s">
        <v>7885</v>
      </c>
      <c r="B18" s="1862" t="s">
        <v>7824</v>
      </c>
      <c r="C18" s="1861" t="s">
        <v>7893</v>
      </c>
      <c r="D18" s="1857">
        <v>11</v>
      </c>
      <c r="E18" s="1879"/>
    </row>
    <row r="19" spans="1:5" ht="15" customHeight="1" x14ac:dyDescent="0.2">
      <c r="A19" s="623" t="s">
        <v>7885</v>
      </c>
      <c r="B19" s="1862" t="s">
        <v>774</v>
      </c>
      <c r="C19" s="1851" t="s">
        <v>775</v>
      </c>
      <c r="D19" s="1857">
        <v>12</v>
      </c>
      <c r="E19" s="1879"/>
    </row>
    <row r="20" spans="1:5" ht="15" customHeight="1" x14ac:dyDescent="0.2">
      <c r="A20" s="623" t="s">
        <v>7885</v>
      </c>
      <c r="B20" s="1862" t="s">
        <v>781</v>
      </c>
      <c r="C20" s="1851" t="s">
        <v>7826</v>
      </c>
      <c r="D20" s="1857">
        <v>13</v>
      </c>
      <c r="E20" s="1879"/>
    </row>
    <row r="21" spans="1:5" ht="15" customHeight="1" x14ac:dyDescent="0.2">
      <c r="A21" s="623" t="s">
        <v>7885</v>
      </c>
      <c r="B21" s="1862" t="s">
        <v>788</v>
      </c>
      <c r="C21" s="1851" t="s">
        <v>789</v>
      </c>
      <c r="D21" s="1857">
        <v>14</v>
      </c>
      <c r="E21" s="1879"/>
    </row>
    <row r="22" spans="1:5" ht="15" customHeight="1" x14ac:dyDescent="0.2">
      <c r="A22" s="623" t="s">
        <v>7885</v>
      </c>
      <c r="B22" s="1862" t="s">
        <v>7827</v>
      </c>
      <c r="C22" s="1859" t="s">
        <v>7894</v>
      </c>
      <c r="D22" s="1857">
        <v>15</v>
      </c>
      <c r="E22" s="1879"/>
    </row>
    <row r="23" spans="1:5" ht="15" customHeight="1" x14ac:dyDescent="0.2">
      <c r="A23" s="623" t="s">
        <v>7885</v>
      </c>
      <c r="B23" s="1862" t="s">
        <v>7829</v>
      </c>
      <c r="C23" s="1859" t="s">
        <v>7895</v>
      </c>
      <c r="D23" s="1857">
        <v>16</v>
      </c>
      <c r="E23" s="1879"/>
    </row>
    <row r="24" spans="1:5" ht="15" customHeight="1" x14ac:dyDescent="0.2">
      <c r="A24" s="623" t="s">
        <v>7885</v>
      </c>
      <c r="B24" s="1862" t="s">
        <v>659</v>
      </c>
      <c r="C24" s="1851" t="s">
        <v>660</v>
      </c>
      <c r="D24" s="1857">
        <v>17</v>
      </c>
      <c r="E24" s="1879"/>
    </row>
    <row r="25" spans="1:5" ht="15" customHeight="1" x14ac:dyDescent="0.2">
      <c r="A25" s="623" t="s">
        <v>7885</v>
      </c>
      <c r="B25" s="1862" t="s">
        <v>7833</v>
      </c>
      <c r="C25" s="1851" t="s">
        <v>7834</v>
      </c>
      <c r="D25" s="1857">
        <v>18</v>
      </c>
      <c r="E25" s="1879"/>
    </row>
    <row r="26" spans="1:5" ht="15" customHeight="1" x14ac:dyDescent="0.2">
      <c r="A26" s="623" t="s">
        <v>7885</v>
      </c>
      <c r="B26" s="1862" t="s">
        <v>7841</v>
      </c>
      <c r="C26" s="1853" t="s">
        <v>7842</v>
      </c>
      <c r="D26" s="1857">
        <v>19</v>
      </c>
      <c r="E26" s="1879"/>
    </row>
    <row r="27" spans="1:5" ht="15" customHeight="1" x14ac:dyDescent="0.2">
      <c r="A27" s="623" t="s">
        <v>7885</v>
      </c>
      <c r="B27" s="1862" t="s">
        <v>689</v>
      </c>
      <c r="C27" s="1853" t="s">
        <v>690</v>
      </c>
      <c r="D27" s="1857">
        <v>20</v>
      </c>
      <c r="E27" s="1879"/>
    </row>
    <row r="28" spans="1:5" ht="15" customHeight="1" x14ac:dyDescent="0.2">
      <c r="A28" s="623" t="s">
        <v>7885</v>
      </c>
      <c r="B28" s="1862" t="s">
        <v>710</v>
      </c>
      <c r="C28" s="1854" t="s">
        <v>711</v>
      </c>
      <c r="D28" s="1857">
        <v>21</v>
      </c>
      <c r="E28" s="1879"/>
    </row>
    <row r="29" spans="1:5" ht="15" customHeight="1" x14ac:dyDescent="0.2">
      <c r="A29" s="623" t="s">
        <v>7885</v>
      </c>
      <c r="B29" s="1862" t="s">
        <v>696</v>
      </c>
      <c r="C29" s="1858" t="s">
        <v>7844</v>
      </c>
      <c r="D29" s="1857">
        <v>22</v>
      </c>
      <c r="E29" s="1879"/>
    </row>
    <row r="30" spans="1:5" ht="15" customHeight="1" x14ac:dyDescent="0.2">
      <c r="A30" s="623" t="s">
        <v>7885</v>
      </c>
      <c r="B30" s="1862" t="s">
        <v>717</v>
      </c>
      <c r="C30" s="1855" t="s">
        <v>718</v>
      </c>
      <c r="D30" s="1857">
        <v>23</v>
      </c>
      <c r="E30" s="1879"/>
    </row>
    <row r="31" spans="1:5" ht="15" x14ac:dyDescent="0.2">
      <c r="A31" s="231"/>
      <c r="C31" s="216"/>
      <c r="D31" s="963"/>
      <c r="E31" s="1880"/>
    </row>
    <row r="32" spans="1:5" ht="15" x14ac:dyDescent="0.2">
      <c r="A32" s="231"/>
      <c r="C32" s="216"/>
      <c r="D32" s="963"/>
      <c r="E32" s="1880"/>
    </row>
    <row r="33" spans="1:5" ht="15" x14ac:dyDescent="0.25">
      <c r="A33" s="231"/>
      <c r="B33" s="14"/>
      <c r="C33" s="964" t="s">
        <v>7896</v>
      </c>
      <c r="D33" s="965"/>
      <c r="E33" s="1881"/>
    </row>
    <row r="34" spans="1:5" ht="15" x14ac:dyDescent="0.2">
      <c r="A34" s="231"/>
      <c r="B34" s="14"/>
      <c r="C34" s="218"/>
      <c r="D34" s="227"/>
      <c r="E34" s="1882"/>
    </row>
    <row r="35" spans="1:5" ht="15" customHeight="1" x14ac:dyDescent="0.2">
      <c r="A35" s="225" t="s">
        <v>7885</v>
      </c>
      <c r="B35" s="226" t="s">
        <v>7897</v>
      </c>
      <c r="C35" s="962" t="s">
        <v>7898</v>
      </c>
      <c r="D35" s="961">
        <v>24</v>
      </c>
      <c r="E35" s="1883"/>
    </row>
    <row r="36" spans="1:5" ht="15" x14ac:dyDescent="0.2">
      <c r="A36" s="231"/>
      <c r="B36" s="966"/>
      <c r="C36" s="219"/>
      <c r="E36" s="1401"/>
    </row>
    <row r="37" spans="1:5" ht="14.25" customHeight="1" x14ac:dyDescent="0.25">
      <c r="A37" s="231"/>
      <c r="B37" s="14"/>
      <c r="C37" s="964" t="s">
        <v>7899</v>
      </c>
      <c r="D37" s="965"/>
      <c r="E37" s="1881"/>
    </row>
    <row r="38" spans="1:5" ht="15" x14ac:dyDescent="0.2">
      <c r="A38" s="231"/>
      <c r="B38" s="14"/>
      <c r="C38" s="220"/>
      <c r="D38" s="228"/>
      <c r="E38" s="1884"/>
    </row>
    <row r="39" spans="1:5" ht="15" customHeight="1" x14ac:dyDescent="0.2">
      <c r="A39" s="225" t="s">
        <v>7900</v>
      </c>
      <c r="B39" s="226" t="s">
        <v>696</v>
      </c>
      <c r="C39" s="967" t="s">
        <v>697</v>
      </c>
      <c r="D39" s="968">
        <v>25</v>
      </c>
      <c r="E39" s="1885"/>
    </row>
    <row r="40" spans="1:5" ht="15" customHeight="1" x14ac:dyDescent="0.2">
      <c r="A40" s="225" t="s">
        <v>7900</v>
      </c>
      <c r="B40" s="226" t="s">
        <v>710</v>
      </c>
      <c r="C40" s="969" t="s">
        <v>711</v>
      </c>
      <c r="D40" s="970">
        <v>26</v>
      </c>
      <c r="E40" s="1885"/>
    </row>
    <row r="41" spans="1:5" ht="15" customHeight="1" x14ac:dyDescent="0.2">
      <c r="A41" s="225" t="s">
        <v>7900</v>
      </c>
      <c r="B41" s="226" t="s">
        <v>703</v>
      </c>
      <c r="C41" s="969" t="s">
        <v>704</v>
      </c>
      <c r="D41" s="970">
        <v>27</v>
      </c>
      <c r="E41" s="1885"/>
    </row>
    <row r="42" spans="1:5" x14ac:dyDescent="0.2">
      <c r="A42" s="225" t="s">
        <v>7900</v>
      </c>
      <c r="B42" s="226" t="s">
        <v>717</v>
      </c>
      <c r="C42" s="969" t="s">
        <v>718</v>
      </c>
      <c r="D42" s="970">
        <v>28</v>
      </c>
      <c r="E42" s="1885"/>
    </row>
    <row r="43" spans="1:5" x14ac:dyDescent="0.2">
      <c r="A43" s="231"/>
      <c r="E43" s="1401"/>
    </row>
    <row r="44" spans="1:5" ht="15" x14ac:dyDescent="0.2">
      <c r="A44" s="231"/>
      <c r="C44" s="971" t="s">
        <v>7901</v>
      </c>
      <c r="D44" s="971"/>
      <c r="E44" s="1886"/>
    </row>
    <row r="45" spans="1:5" ht="15" customHeight="1" x14ac:dyDescent="0.2">
      <c r="A45" s="231"/>
      <c r="E45" s="1882"/>
    </row>
    <row r="46" spans="1:5" ht="15" customHeight="1" x14ac:dyDescent="0.2">
      <c r="A46" s="225" t="s">
        <v>1639</v>
      </c>
      <c r="B46" s="226" t="s">
        <v>696</v>
      </c>
      <c r="C46" s="969" t="s">
        <v>7902</v>
      </c>
      <c r="D46" s="970">
        <v>29</v>
      </c>
      <c r="E46" s="1885"/>
    </row>
    <row r="47" spans="1:5" x14ac:dyDescent="0.2">
      <c r="A47" s="225" t="s">
        <v>1639</v>
      </c>
      <c r="B47" s="226" t="s">
        <v>7851</v>
      </c>
      <c r="C47" s="969" t="s">
        <v>7903</v>
      </c>
      <c r="D47" s="970">
        <v>30</v>
      </c>
      <c r="E47" s="1885"/>
    </row>
    <row r="48" spans="1:5" ht="15" customHeight="1" x14ac:dyDescent="0.2">
      <c r="A48" s="225" t="s">
        <v>1639</v>
      </c>
      <c r="B48" s="226" t="s">
        <v>710</v>
      </c>
      <c r="C48" s="969" t="s">
        <v>7904</v>
      </c>
      <c r="D48" s="970">
        <v>31</v>
      </c>
      <c r="E48" s="1885"/>
    </row>
    <row r="49" spans="1:5" x14ac:dyDescent="0.2">
      <c r="A49" s="225" t="s">
        <v>1639</v>
      </c>
      <c r="B49" s="226" t="s">
        <v>703</v>
      </c>
      <c r="C49" s="969" t="s">
        <v>7905</v>
      </c>
      <c r="D49" s="970">
        <v>32</v>
      </c>
      <c r="E49" s="1885"/>
    </row>
    <row r="50" spans="1:5" x14ac:dyDescent="0.2">
      <c r="A50" s="225" t="s">
        <v>1639</v>
      </c>
      <c r="B50" s="226" t="s">
        <v>717</v>
      </c>
      <c r="C50" s="969" t="s">
        <v>7906</v>
      </c>
      <c r="D50" s="970">
        <v>33</v>
      </c>
      <c r="E50" s="1885"/>
    </row>
    <row r="51" spans="1:5" x14ac:dyDescent="0.2">
      <c r="A51" s="225" t="s">
        <v>1639</v>
      </c>
      <c r="B51" s="226" t="s">
        <v>731</v>
      </c>
      <c r="C51" s="969" t="s">
        <v>7907</v>
      </c>
      <c r="D51" s="970">
        <v>34</v>
      </c>
      <c r="E51" s="1885"/>
    </row>
  </sheetData>
  <mergeCells count="3">
    <mergeCell ref="C1:E1"/>
    <mergeCell ref="E4:E5"/>
    <mergeCell ref="C4:C5"/>
  </mergeCells>
  <phoneticPr fontId="58" type="noConversion"/>
  <dataValidations count="1">
    <dataValidation type="decimal" operator="greaterThanOrEqual" allowBlank="1" showInputMessage="1" showErrorMessage="1" error="Positive whole numbers only / Nombres entiers positifs uniquement" sqref="E39:E41 E45:E48 E8:E30" xr:uid="{00000000-0002-0000-1D00-000000000000}">
      <formula1>0</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tabColor theme="4"/>
  </sheetPr>
  <dimension ref="A1:L31"/>
  <sheetViews>
    <sheetView workbookViewId="0">
      <pane xSplit="4" ySplit="5" topLeftCell="E6" activePane="bottomRight" state="frozen"/>
      <selection pane="topRight"/>
      <selection pane="bottomLeft"/>
      <selection pane="bottomRight" activeCell="C3" sqref="C3"/>
    </sheetView>
  </sheetViews>
  <sheetFormatPr defaultColWidth="11.42578125" defaultRowHeight="12.75" x14ac:dyDescent="0.2"/>
  <cols>
    <col min="1" max="2" width="9.42578125" hidden="1" customWidth="1"/>
    <col min="3" max="3" width="31.7109375" customWidth="1"/>
    <col min="4" max="4" width="4" customWidth="1"/>
    <col min="5" max="10" width="13.7109375" customWidth="1"/>
    <col min="11" max="12" width="15.28515625" customWidth="1"/>
    <col min="13" max="26" width="11.42578125" customWidth="1"/>
    <col min="27" max="27" width="38.28515625" customWidth="1"/>
    <col min="28" max="28" width="3.42578125" customWidth="1"/>
    <col min="29" max="29" width="11.42578125" customWidth="1"/>
    <col min="30" max="31" width="11.28515625" customWidth="1"/>
    <col min="32" max="32" width="11.42578125" customWidth="1"/>
    <col min="33" max="33" width="11.28515625" customWidth="1"/>
    <col min="34" max="34" width="11.85546875" customWidth="1"/>
    <col min="35" max="35" width="14.140625" customWidth="1"/>
    <col min="36" max="36" width="15.140625" customWidth="1"/>
    <col min="37" max="52" width="11.42578125" customWidth="1"/>
    <col min="53" max="53" width="40.42578125" customWidth="1"/>
    <col min="54" max="54" width="11.42578125" customWidth="1"/>
    <col min="55" max="57" width="11.28515625" customWidth="1"/>
    <col min="58" max="60" width="11.42578125" customWidth="1"/>
    <col min="61" max="61" width="20.85546875" customWidth="1"/>
    <col min="62" max="78" width="11.42578125" customWidth="1"/>
  </cols>
  <sheetData>
    <row r="1" spans="1:12" ht="30" customHeight="1" thickBot="1" x14ac:dyDescent="0.25">
      <c r="B1" s="8"/>
      <c r="C1" s="442" t="str">
        <f>CountryName</f>
        <v>South Africa</v>
      </c>
      <c r="D1" s="20"/>
      <c r="E1" s="426"/>
      <c r="F1" s="437" t="s">
        <v>7908</v>
      </c>
      <c r="G1" s="426"/>
      <c r="H1" s="426"/>
      <c r="I1" s="426"/>
      <c r="J1" s="426"/>
      <c r="K1" s="426"/>
      <c r="L1" s="426"/>
    </row>
    <row r="2" spans="1:12" ht="13.5" hidden="1" customHeight="1" thickBot="1" x14ac:dyDescent="0.25">
      <c r="A2" s="440" t="s">
        <v>7909</v>
      </c>
      <c r="B2" s="15"/>
      <c r="C2" s="1672"/>
      <c r="D2" s="427"/>
      <c r="E2" s="289" t="s">
        <v>940</v>
      </c>
      <c r="F2" s="289" t="s">
        <v>954</v>
      </c>
      <c r="G2" s="289" t="s">
        <v>968</v>
      </c>
      <c r="H2" s="289" t="s">
        <v>947</v>
      </c>
      <c r="I2" s="289" t="s">
        <v>961</v>
      </c>
      <c r="J2" s="289" t="s">
        <v>975</v>
      </c>
      <c r="K2" s="289" t="s">
        <v>7795</v>
      </c>
      <c r="L2" s="289" t="s">
        <v>7796</v>
      </c>
    </row>
    <row r="3" spans="1:12" ht="20.100000000000001" customHeight="1" thickTop="1" x14ac:dyDescent="0.2">
      <c r="A3" s="441" t="s">
        <v>7797</v>
      </c>
      <c r="B3" s="20" t="s">
        <v>7356</v>
      </c>
      <c r="C3" s="1656">
        <f>DataYear</f>
        <v>2019</v>
      </c>
      <c r="D3" s="425"/>
      <c r="E3" s="428" t="s">
        <v>7798</v>
      </c>
      <c r="F3" s="432"/>
      <c r="G3" s="433"/>
      <c r="H3" s="429" t="s">
        <v>7799</v>
      </c>
      <c r="I3" s="432"/>
      <c r="J3" s="432"/>
      <c r="K3" s="428" t="s">
        <v>7800</v>
      </c>
      <c r="L3" s="434"/>
    </row>
    <row r="4" spans="1:12" ht="18" customHeight="1" x14ac:dyDescent="0.2">
      <c r="A4" s="242" t="s">
        <v>7910</v>
      </c>
      <c r="B4" s="439" t="s">
        <v>1483</v>
      </c>
      <c r="C4" s="435"/>
      <c r="D4" s="436"/>
      <c r="E4" s="431" t="s">
        <v>7801</v>
      </c>
      <c r="F4" s="430" t="s">
        <v>7802</v>
      </c>
      <c r="G4" s="430" t="s">
        <v>830</v>
      </c>
      <c r="H4" s="430" t="s">
        <v>7801</v>
      </c>
      <c r="I4" s="430" t="s">
        <v>7802</v>
      </c>
      <c r="J4" s="430" t="s">
        <v>830</v>
      </c>
      <c r="K4" s="1657" t="s">
        <v>7798</v>
      </c>
      <c r="L4" s="1660" t="s">
        <v>7799</v>
      </c>
    </row>
    <row r="5" spans="1:12" ht="19.5" customHeight="1" x14ac:dyDescent="0.2">
      <c r="A5" s="438" t="s">
        <v>7356</v>
      </c>
      <c r="C5" s="1669" t="s">
        <v>7911</v>
      </c>
      <c r="D5" s="256"/>
      <c r="E5" s="1652" t="s">
        <v>7239</v>
      </c>
      <c r="F5" s="1652" t="s">
        <v>7240</v>
      </c>
      <c r="G5" s="1652" t="s">
        <v>7241</v>
      </c>
      <c r="H5" s="1652" t="s">
        <v>7242</v>
      </c>
      <c r="I5" s="1652" t="s">
        <v>7243</v>
      </c>
      <c r="J5" s="1652" t="s">
        <v>7244</v>
      </c>
      <c r="K5" s="1653" t="s">
        <v>7912</v>
      </c>
      <c r="L5" s="1654" t="s">
        <v>7913</v>
      </c>
    </row>
    <row r="6" spans="1:12" ht="19.5" customHeight="1" x14ac:dyDescent="0.2">
      <c r="A6" s="20" t="s">
        <v>7807</v>
      </c>
      <c r="B6" s="20" t="s">
        <v>823</v>
      </c>
      <c r="C6" s="1662" t="s">
        <v>824</v>
      </c>
      <c r="D6" s="1670">
        <v>1</v>
      </c>
      <c r="E6" s="1788"/>
      <c r="F6" s="1788"/>
      <c r="G6" s="1991"/>
      <c r="H6" s="1788"/>
      <c r="I6" s="1788"/>
      <c r="J6" s="1991"/>
      <c r="K6" s="1788"/>
      <c r="L6" s="2031"/>
    </row>
    <row r="7" spans="1:12" ht="19.5" customHeight="1" x14ac:dyDescent="0.2">
      <c r="A7" s="20" t="s">
        <v>7807</v>
      </c>
      <c r="B7" s="20" t="s">
        <v>740</v>
      </c>
      <c r="C7" s="1663" t="s">
        <v>741</v>
      </c>
      <c r="D7" s="1670">
        <v>2</v>
      </c>
      <c r="E7" s="1786"/>
      <c r="F7" s="1786"/>
      <c r="G7" s="1991"/>
      <c r="H7" s="1786"/>
      <c r="I7" s="1786"/>
      <c r="J7" s="1991"/>
      <c r="K7" s="1788"/>
      <c r="L7" s="2031"/>
    </row>
    <row r="8" spans="1:12" ht="19.5" customHeight="1" x14ac:dyDescent="0.2">
      <c r="A8" s="20" t="s">
        <v>7807</v>
      </c>
      <c r="B8" s="20" t="s">
        <v>750</v>
      </c>
      <c r="C8" s="1663" t="s">
        <v>751</v>
      </c>
      <c r="D8" s="1670">
        <v>3</v>
      </c>
      <c r="E8" s="1786"/>
      <c r="F8" s="1991"/>
      <c r="G8" s="1991"/>
      <c r="H8" s="1786"/>
      <c r="I8" s="1991"/>
      <c r="J8" s="1991"/>
      <c r="K8" s="1788"/>
      <c r="L8" s="2031"/>
    </row>
    <row r="9" spans="1:12" ht="19.5" customHeight="1" x14ac:dyDescent="0.2">
      <c r="A9" s="20" t="s">
        <v>7807</v>
      </c>
      <c r="B9" s="617" t="s">
        <v>7914</v>
      </c>
      <c r="C9" s="1673" t="s">
        <v>7915</v>
      </c>
      <c r="D9" s="1670">
        <v>4</v>
      </c>
      <c r="E9" s="1786"/>
      <c r="F9" s="1991"/>
      <c r="G9" s="1991"/>
      <c r="H9" s="1786"/>
      <c r="I9" s="1991"/>
      <c r="J9" s="1991"/>
      <c r="K9" s="1788"/>
      <c r="L9" s="2031"/>
    </row>
    <row r="10" spans="1:12" ht="19.5" customHeight="1" x14ac:dyDescent="0.2">
      <c r="A10" s="20" t="s">
        <v>7807</v>
      </c>
      <c r="B10" s="20" t="s">
        <v>757</v>
      </c>
      <c r="C10" s="1663" t="s">
        <v>758</v>
      </c>
      <c r="D10" s="1670">
        <v>5</v>
      </c>
      <c r="E10" s="1786"/>
      <c r="F10" s="1786"/>
      <c r="G10" s="1991"/>
      <c r="H10" s="1786"/>
      <c r="I10" s="1786"/>
      <c r="J10" s="1991"/>
      <c r="K10" s="1788"/>
      <c r="L10" s="2031"/>
    </row>
    <row r="11" spans="1:12" ht="19.5" customHeight="1" x14ac:dyDescent="0.2">
      <c r="A11" s="20" t="s">
        <v>7807</v>
      </c>
      <c r="B11" s="20" t="s">
        <v>7916</v>
      </c>
      <c r="C11" s="1663" t="s">
        <v>7917</v>
      </c>
      <c r="D11" s="1670">
        <v>6</v>
      </c>
      <c r="E11" s="1786"/>
      <c r="F11" s="1786"/>
      <c r="G11" s="1991"/>
      <c r="H11" s="1786"/>
      <c r="I11" s="1786"/>
      <c r="J11" s="1991"/>
      <c r="K11" s="1788"/>
      <c r="L11" s="2031"/>
    </row>
    <row r="12" spans="1:12" ht="19.5" customHeight="1" x14ac:dyDescent="0.2">
      <c r="A12" s="20" t="s">
        <v>7807</v>
      </c>
      <c r="B12" s="20" t="s">
        <v>781</v>
      </c>
      <c r="C12" s="1663" t="s">
        <v>7826</v>
      </c>
      <c r="D12" s="1670">
        <v>7</v>
      </c>
      <c r="E12" s="1786"/>
      <c r="F12" s="1991"/>
      <c r="G12" s="1991"/>
      <c r="H12" s="1786"/>
      <c r="I12" s="1991"/>
      <c r="J12" s="1991"/>
      <c r="K12" s="1788"/>
      <c r="L12" s="2031"/>
    </row>
    <row r="13" spans="1:12" ht="19.5" customHeight="1" x14ac:dyDescent="0.2">
      <c r="A13" s="20" t="s">
        <v>7807</v>
      </c>
      <c r="B13" s="20" t="s">
        <v>788</v>
      </c>
      <c r="C13" s="1664" t="s">
        <v>789</v>
      </c>
      <c r="D13" s="1670">
        <v>8</v>
      </c>
      <c r="E13" s="1786"/>
      <c r="F13" s="1991"/>
      <c r="G13" s="1991"/>
      <c r="H13" s="1786"/>
      <c r="I13" s="1991"/>
      <c r="J13" s="1991"/>
      <c r="K13" s="1788"/>
      <c r="L13" s="2031"/>
    </row>
    <row r="14" spans="1:12" ht="19.5" customHeight="1" x14ac:dyDescent="0.2">
      <c r="A14" s="20" t="s">
        <v>7807</v>
      </c>
      <c r="B14" s="20" t="s">
        <v>7918</v>
      </c>
      <c r="C14" s="1663" t="s">
        <v>7919</v>
      </c>
      <c r="D14" s="1670">
        <v>9</v>
      </c>
      <c r="E14" s="1786"/>
      <c r="F14" s="1786"/>
      <c r="G14" s="1991"/>
      <c r="H14" s="1786"/>
      <c r="I14" s="1786"/>
      <c r="J14" s="1991"/>
      <c r="K14" s="1788"/>
      <c r="L14" s="2031"/>
    </row>
    <row r="15" spans="1:12" ht="19.5" customHeight="1" x14ac:dyDescent="0.2">
      <c r="A15" s="20" t="s">
        <v>7807</v>
      </c>
      <c r="B15" s="20" t="s">
        <v>809</v>
      </c>
      <c r="C15" s="1663" t="s">
        <v>810</v>
      </c>
      <c r="D15" s="1670">
        <v>10</v>
      </c>
      <c r="E15" s="1786"/>
      <c r="F15" s="1786"/>
      <c r="G15" s="1991"/>
      <c r="H15" s="1786"/>
      <c r="I15" s="1767"/>
      <c r="J15" s="1991"/>
      <c r="K15" s="1788"/>
      <c r="L15" s="2031"/>
    </row>
    <row r="16" spans="1:12" ht="19.5" customHeight="1" thickBot="1" x14ac:dyDescent="0.25">
      <c r="A16" s="20" t="s">
        <v>7807</v>
      </c>
      <c r="B16" s="20" t="s">
        <v>816</v>
      </c>
      <c r="C16" s="1665" t="s">
        <v>817</v>
      </c>
      <c r="D16" s="451">
        <v>11</v>
      </c>
      <c r="E16" s="1773"/>
      <c r="F16" s="1773"/>
      <c r="G16" s="1776"/>
      <c r="H16" s="1767"/>
      <c r="I16" s="1773"/>
      <c r="J16" s="1776"/>
      <c r="K16" s="1779"/>
      <c r="L16" s="1774"/>
    </row>
    <row r="17" spans="1:12" ht="19.5" customHeight="1" thickTop="1" thickBot="1" x14ac:dyDescent="0.25">
      <c r="C17" s="1658" t="s">
        <v>7920</v>
      </c>
      <c r="D17" s="373"/>
      <c r="E17" s="2032"/>
      <c r="F17" s="2033"/>
      <c r="G17" s="2033"/>
      <c r="H17" s="2034"/>
      <c r="I17" s="2033"/>
      <c r="J17" s="2033"/>
      <c r="K17" s="2033"/>
      <c r="L17" s="2033"/>
    </row>
    <row r="18" spans="1:12" ht="19.5" customHeight="1" thickTop="1" x14ac:dyDescent="0.2">
      <c r="A18" s="20" t="s">
        <v>7846</v>
      </c>
      <c r="B18" s="20" t="s">
        <v>830</v>
      </c>
      <c r="C18" s="1666" t="s">
        <v>831</v>
      </c>
      <c r="D18" s="474">
        <v>12</v>
      </c>
      <c r="E18" s="1778"/>
      <c r="F18" s="1777"/>
      <c r="G18" s="1777"/>
      <c r="H18" s="1991"/>
      <c r="I18" s="1777"/>
      <c r="J18" s="1777"/>
      <c r="K18" s="1777"/>
      <c r="L18" s="2035"/>
    </row>
    <row r="19" spans="1:12" ht="19.5" customHeight="1" x14ac:dyDescent="0.2">
      <c r="A19" s="20" t="s">
        <v>7846</v>
      </c>
      <c r="B19" s="20" t="s">
        <v>740</v>
      </c>
      <c r="C19" s="1663" t="s">
        <v>741</v>
      </c>
      <c r="D19" s="1670">
        <v>13</v>
      </c>
      <c r="E19" s="1991"/>
      <c r="F19" s="1786"/>
      <c r="G19" s="1786"/>
      <c r="H19" s="1991"/>
      <c r="I19" s="1786"/>
      <c r="J19" s="1786"/>
      <c r="K19" s="1788"/>
      <c r="L19" s="2031"/>
    </row>
    <row r="20" spans="1:12" ht="19.5" customHeight="1" x14ac:dyDescent="0.2">
      <c r="A20" s="20" t="s">
        <v>7846</v>
      </c>
      <c r="B20" s="20" t="s">
        <v>757</v>
      </c>
      <c r="C20" s="1663" t="s">
        <v>758</v>
      </c>
      <c r="D20" s="1670">
        <v>14</v>
      </c>
      <c r="E20" s="1991"/>
      <c r="F20" s="1786"/>
      <c r="G20" s="1786"/>
      <c r="H20" s="1991"/>
      <c r="I20" s="1786"/>
      <c r="J20" s="1786"/>
      <c r="K20" s="1788"/>
      <c r="L20" s="2031"/>
    </row>
    <row r="21" spans="1:12" ht="19.5" customHeight="1" x14ac:dyDescent="0.2">
      <c r="A21" s="20" t="s">
        <v>7846</v>
      </c>
      <c r="B21" s="20" t="s">
        <v>7916</v>
      </c>
      <c r="C21" s="1663" t="s">
        <v>7917</v>
      </c>
      <c r="D21" s="1670">
        <v>15</v>
      </c>
      <c r="E21" s="1991"/>
      <c r="F21" s="1786"/>
      <c r="G21" s="1786"/>
      <c r="H21" s="1991"/>
      <c r="I21" s="1786"/>
      <c r="J21" s="1786"/>
      <c r="K21" s="1788"/>
      <c r="L21" s="2031"/>
    </row>
    <row r="22" spans="1:12" ht="19.5" customHeight="1" x14ac:dyDescent="0.2">
      <c r="A22" s="20" t="s">
        <v>7846</v>
      </c>
      <c r="B22" s="20" t="s">
        <v>7918</v>
      </c>
      <c r="C22" s="1663" t="s">
        <v>7919</v>
      </c>
      <c r="D22" s="1670">
        <v>16</v>
      </c>
      <c r="E22" s="1991"/>
      <c r="F22" s="1786"/>
      <c r="G22" s="1786"/>
      <c r="H22" s="1991"/>
      <c r="I22" s="1786"/>
      <c r="J22" s="1786"/>
      <c r="K22" s="1788"/>
      <c r="L22" s="2031"/>
    </row>
    <row r="23" spans="1:12" ht="19.5" customHeight="1" x14ac:dyDescent="0.2">
      <c r="A23" s="20" t="s">
        <v>7846</v>
      </c>
      <c r="B23" s="20" t="s">
        <v>795</v>
      </c>
      <c r="C23" s="1663" t="s">
        <v>796</v>
      </c>
      <c r="D23" s="1670">
        <v>17</v>
      </c>
      <c r="E23" s="1991"/>
      <c r="F23" s="1786"/>
      <c r="G23" s="1786"/>
      <c r="H23" s="1991"/>
      <c r="I23" s="1786"/>
      <c r="J23" s="1786"/>
      <c r="K23" s="1788"/>
      <c r="L23" s="2031"/>
    </row>
    <row r="24" spans="1:12" ht="19.5" customHeight="1" x14ac:dyDescent="0.2">
      <c r="A24" s="20" t="s">
        <v>7846</v>
      </c>
      <c r="B24" s="20" t="s">
        <v>802</v>
      </c>
      <c r="C24" s="1663" t="s">
        <v>803</v>
      </c>
      <c r="D24" s="1670">
        <v>18</v>
      </c>
      <c r="E24" s="1991"/>
      <c r="F24" s="1786"/>
      <c r="G24" s="1786"/>
      <c r="H24" s="1991"/>
      <c r="I24" s="1786"/>
      <c r="J24" s="1786"/>
      <c r="K24" s="1788"/>
      <c r="L24" s="2031"/>
    </row>
    <row r="25" spans="1:12" ht="19.5" customHeight="1" x14ac:dyDescent="0.2">
      <c r="A25" s="20" t="s">
        <v>7846</v>
      </c>
      <c r="B25" s="20" t="s">
        <v>809</v>
      </c>
      <c r="C25" s="1667" t="s">
        <v>810</v>
      </c>
      <c r="D25" s="1670">
        <v>19</v>
      </c>
      <c r="E25" s="1991"/>
      <c r="F25" s="1991"/>
      <c r="G25" s="1991"/>
      <c r="H25" s="1991"/>
      <c r="I25" s="1786"/>
      <c r="J25" s="1786"/>
      <c r="K25" s="2036"/>
      <c r="L25" s="2031"/>
    </row>
    <row r="26" spans="1:12" ht="19.5" customHeight="1" thickBot="1" x14ac:dyDescent="0.25">
      <c r="A26" s="20" t="s">
        <v>7846</v>
      </c>
      <c r="B26" s="20" t="s">
        <v>816</v>
      </c>
      <c r="C26" s="1665" t="s">
        <v>817</v>
      </c>
      <c r="D26" s="451">
        <v>20</v>
      </c>
      <c r="E26" s="1776"/>
      <c r="F26" s="1767"/>
      <c r="G26" s="1767"/>
      <c r="H26" s="1991"/>
      <c r="I26" s="1767"/>
      <c r="J26" s="1767"/>
      <c r="K26" s="1779"/>
      <c r="L26" s="1774"/>
    </row>
    <row r="27" spans="1:12" ht="8.1" customHeight="1" thickTop="1" thickBot="1" x14ac:dyDescent="0.25">
      <c r="C27" s="566"/>
      <c r="D27" s="457"/>
      <c r="E27" s="2037"/>
      <c r="F27" s="2038"/>
      <c r="G27" s="2038"/>
      <c r="H27" s="2038"/>
      <c r="I27" s="2038"/>
      <c r="J27" s="2038"/>
      <c r="K27" s="2038"/>
      <c r="L27" s="2038"/>
    </row>
    <row r="28" spans="1:12" ht="20.100000000000001" customHeight="1" thickTop="1" thickBot="1" x14ac:dyDescent="0.25">
      <c r="C28" s="1668" t="s">
        <v>7921</v>
      </c>
      <c r="D28" s="1671"/>
      <c r="E28" s="1674"/>
      <c r="F28" s="1675"/>
      <c r="G28" s="1675"/>
      <c r="H28" s="1675"/>
      <c r="I28" s="1675"/>
      <c r="J28" s="1675"/>
      <c r="K28" s="1675"/>
      <c r="L28" s="1676"/>
    </row>
    <row r="29" spans="1:12" ht="15" customHeight="1" thickTop="1" x14ac:dyDescent="0.2">
      <c r="C29" s="1659"/>
      <c r="D29" s="1655"/>
      <c r="E29" s="1655"/>
      <c r="F29" s="1655"/>
      <c r="G29" s="1655"/>
      <c r="H29" s="1655"/>
      <c r="I29" s="1655"/>
      <c r="J29" s="1655"/>
      <c r="K29" s="1655"/>
      <c r="L29" s="1655"/>
    </row>
    <row r="30" spans="1:12" ht="9" customHeight="1" x14ac:dyDescent="0.2">
      <c r="C30" s="1661"/>
      <c r="D30" s="1655"/>
      <c r="E30" s="1655"/>
      <c r="F30" s="1655"/>
      <c r="G30" s="1655"/>
      <c r="H30" s="1655"/>
      <c r="I30" s="1655"/>
      <c r="J30" s="1655"/>
      <c r="K30" s="1655"/>
      <c r="L30" s="1655"/>
    </row>
    <row r="31" spans="1:12" ht="12.75" customHeight="1" x14ac:dyDescent="0.2"/>
  </sheetData>
  <phoneticPr fontId="36" type="noConversion"/>
  <dataValidations count="1">
    <dataValidation type="decimal" operator="greaterThanOrEqual" allowBlank="1" showInputMessage="1" showErrorMessage="1" error="Positive whole numbers only / Nombres entiers positifs uniquement" sqref="F26:G26 E7:E14 F7 F10 F14 E16:F16 H7:H16 I7 I10 I14:I16 F19:G24 I19:J26" xr:uid="{00000000-0002-0000-1E00-000000000000}">
      <formula1>0</formula1>
    </dataValidation>
  </dataValidations>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9">
    <tabColor theme="4"/>
  </sheetPr>
  <dimension ref="A1:G36"/>
  <sheetViews>
    <sheetView workbookViewId="0">
      <pane xSplit="5" ySplit="5" topLeftCell="F6" activePane="bottomRight" state="frozen"/>
      <selection pane="topRight"/>
      <selection pane="bottomLeft"/>
      <selection pane="bottomRight" activeCell="W31" sqref="W31"/>
    </sheetView>
  </sheetViews>
  <sheetFormatPr defaultRowHeight="12.75" x14ac:dyDescent="0.2"/>
  <cols>
    <col min="1" max="1" width="9.7109375" hidden="1" customWidth="1"/>
    <col min="2" max="2" width="9.85546875" hidden="1" customWidth="1"/>
    <col min="3" max="3" width="37.42578125" customWidth="1"/>
    <col min="4" max="5" width="4" customWidth="1"/>
    <col min="6" max="7" width="22.85546875" customWidth="1"/>
    <col min="10" max="11" width="8.28515625" customWidth="1"/>
    <col min="23" max="23" width="11.7109375" bestFit="1" customWidth="1"/>
    <col min="24" max="24" width="28.28515625" bestFit="1" customWidth="1"/>
    <col min="27" max="27" width="43.85546875" customWidth="1"/>
    <col min="28" max="29" width="3.7109375" customWidth="1"/>
    <col min="30" max="30" width="13.7109375" customWidth="1"/>
    <col min="31" max="31" width="12" customWidth="1"/>
    <col min="53" max="53" width="41.85546875" customWidth="1"/>
    <col min="54" max="55" width="2.28515625" customWidth="1"/>
    <col min="56" max="56" width="13.7109375" customWidth="1"/>
    <col min="57" max="57" width="10.140625" customWidth="1"/>
  </cols>
  <sheetData>
    <row r="1" spans="1:7" ht="28.5" customHeight="1" x14ac:dyDescent="0.2">
      <c r="C1" s="437" t="s">
        <v>7922</v>
      </c>
      <c r="D1" s="426"/>
      <c r="E1" s="426"/>
      <c r="F1" s="426"/>
      <c r="G1" s="426"/>
    </row>
    <row r="2" spans="1:7" ht="1.5" customHeight="1" x14ac:dyDescent="0.2">
      <c r="A2" s="440" t="s">
        <v>7233</v>
      </c>
      <c r="C2" s="444"/>
      <c r="D2" s="426"/>
      <c r="E2" s="426"/>
      <c r="F2" s="449" t="s">
        <v>823</v>
      </c>
      <c r="G2" s="449" t="s">
        <v>830</v>
      </c>
    </row>
    <row r="3" spans="1:7" ht="21" customHeight="1" thickBot="1" x14ac:dyDescent="0.25">
      <c r="A3" s="441" t="s">
        <v>7797</v>
      </c>
      <c r="B3" s="20" t="s">
        <v>7356</v>
      </c>
      <c r="C3" s="1741" t="str">
        <f>CountryName</f>
        <v>South Africa</v>
      </c>
      <c r="D3" s="426"/>
      <c r="E3" s="426"/>
    </row>
    <row r="4" spans="1:7" ht="20.100000000000001" customHeight="1" thickTop="1" x14ac:dyDescent="0.2">
      <c r="A4" s="242" t="s">
        <v>7235</v>
      </c>
      <c r="B4" s="242" t="s">
        <v>7923</v>
      </c>
      <c r="C4" s="1728">
        <f>DataYear</f>
        <v>2019</v>
      </c>
      <c r="D4" s="1727"/>
      <c r="E4" s="1727"/>
      <c r="F4" s="634" t="s">
        <v>7924</v>
      </c>
      <c r="G4" s="1739" t="s">
        <v>7925</v>
      </c>
    </row>
    <row r="5" spans="1:7" ht="20.100000000000001" customHeight="1" x14ac:dyDescent="0.2">
      <c r="A5" s="438" t="s">
        <v>7356</v>
      </c>
      <c r="B5" s="438" t="s">
        <v>7926</v>
      </c>
      <c r="C5" s="1722"/>
      <c r="D5" s="1723"/>
      <c r="E5" s="1723"/>
      <c r="F5" s="1652" t="s">
        <v>7239</v>
      </c>
      <c r="G5" s="1721" t="s">
        <v>7240</v>
      </c>
    </row>
    <row r="6" spans="1:7" ht="19.5" customHeight="1" x14ac:dyDescent="0.2">
      <c r="A6" s="20" t="s">
        <v>7927</v>
      </c>
      <c r="B6" s="20" t="s">
        <v>7800</v>
      </c>
      <c r="C6" s="1730" t="s">
        <v>7928</v>
      </c>
      <c r="D6" s="446">
        <v>1</v>
      </c>
      <c r="E6" s="446" t="s">
        <v>7929</v>
      </c>
      <c r="F6" s="2039"/>
      <c r="G6" s="2040"/>
    </row>
    <row r="7" spans="1:7" ht="19.5" customHeight="1" x14ac:dyDescent="0.2">
      <c r="A7" s="20" t="s">
        <v>7930</v>
      </c>
      <c r="B7" s="20" t="s">
        <v>7800</v>
      </c>
      <c r="C7" s="1664" t="s">
        <v>7931</v>
      </c>
      <c r="D7" s="446">
        <v>2</v>
      </c>
      <c r="E7" s="446" t="s">
        <v>7932</v>
      </c>
      <c r="F7" s="1788"/>
      <c r="G7" s="2031"/>
    </row>
    <row r="8" spans="1:7" ht="19.5" customHeight="1" x14ac:dyDescent="0.2">
      <c r="A8" s="20" t="s">
        <v>7933</v>
      </c>
      <c r="B8" s="20" t="s">
        <v>7800</v>
      </c>
      <c r="C8" s="1662" t="s">
        <v>7934</v>
      </c>
      <c r="D8" s="446">
        <v>3</v>
      </c>
      <c r="E8" s="446" t="s">
        <v>7929</v>
      </c>
      <c r="F8" s="2039"/>
      <c r="G8" s="2040"/>
    </row>
    <row r="9" spans="1:7" ht="19.5" customHeight="1" x14ac:dyDescent="0.2">
      <c r="A9" s="20" t="s">
        <v>7263</v>
      </c>
      <c r="B9" s="20" t="s">
        <v>7800</v>
      </c>
      <c r="C9" s="1663" t="s">
        <v>7865</v>
      </c>
      <c r="D9" s="446">
        <v>4</v>
      </c>
      <c r="E9" s="446" t="s">
        <v>7935</v>
      </c>
      <c r="F9" s="1786"/>
      <c r="G9" s="1763"/>
    </row>
    <row r="10" spans="1:7" ht="19.5" customHeight="1" x14ac:dyDescent="0.2">
      <c r="A10" s="20" t="s">
        <v>7265</v>
      </c>
      <c r="B10" s="20" t="s">
        <v>7800</v>
      </c>
      <c r="C10" s="1731" t="s">
        <v>7866</v>
      </c>
      <c r="D10" s="446">
        <v>5</v>
      </c>
      <c r="E10" s="446" t="s">
        <v>7932</v>
      </c>
      <c r="F10" s="1786"/>
      <c r="G10" s="1766"/>
    </row>
    <row r="11" spans="1:7" ht="19.5" customHeight="1" x14ac:dyDescent="0.2">
      <c r="A11" s="20" t="s">
        <v>7936</v>
      </c>
      <c r="B11" s="20" t="s">
        <v>7800</v>
      </c>
      <c r="C11" s="1663" t="s">
        <v>7937</v>
      </c>
      <c r="D11" s="446">
        <v>6</v>
      </c>
      <c r="E11" s="446" t="s">
        <v>7932</v>
      </c>
      <c r="F11" s="1786"/>
      <c r="G11" s="2041"/>
    </row>
    <row r="12" spans="1:7" ht="19.5" customHeight="1" x14ac:dyDescent="0.2">
      <c r="A12" s="20" t="s">
        <v>7938</v>
      </c>
      <c r="B12" s="20" t="s">
        <v>7800</v>
      </c>
      <c r="C12" s="1663" t="s">
        <v>7939</v>
      </c>
      <c r="D12" s="446">
        <v>7</v>
      </c>
      <c r="E12" s="446" t="s">
        <v>7932</v>
      </c>
      <c r="F12" s="1786"/>
      <c r="G12" s="2041"/>
    </row>
    <row r="13" spans="1:7" ht="19.5" customHeight="1" x14ac:dyDescent="0.2">
      <c r="A13" s="1742" t="s">
        <v>7940</v>
      </c>
      <c r="B13" s="20" t="s">
        <v>7800</v>
      </c>
      <c r="C13" s="1663" t="s">
        <v>7941</v>
      </c>
      <c r="D13" s="446">
        <v>8</v>
      </c>
      <c r="E13" s="446" t="s">
        <v>7932</v>
      </c>
      <c r="F13" s="1786"/>
      <c r="G13" s="2041"/>
    </row>
    <row r="14" spans="1:7" ht="19.5" customHeight="1" x14ac:dyDescent="0.2">
      <c r="A14" s="1742" t="s">
        <v>7942</v>
      </c>
      <c r="B14" s="20" t="s">
        <v>7800</v>
      </c>
      <c r="C14" s="1663" t="s">
        <v>7943</v>
      </c>
      <c r="D14" s="446">
        <v>9</v>
      </c>
      <c r="E14" s="446" t="s">
        <v>7932</v>
      </c>
      <c r="F14" s="1786"/>
      <c r="G14" s="2041"/>
    </row>
    <row r="15" spans="1:7" ht="19.5" customHeight="1" x14ac:dyDescent="0.2">
      <c r="A15" s="20" t="s">
        <v>7944</v>
      </c>
      <c r="B15" s="20" t="s">
        <v>7800</v>
      </c>
      <c r="C15" s="1663" t="s">
        <v>7945</v>
      </c>
      <c r="D15" s="446">
        <v>10</v>
      </c>
      <c r="E15" s="446" t="s">
        <v>7932</v>
      </c>
      <c r="F15" s="1991"/>
      <c r="G15" s="1766"/>
    </row>
    <row r="16" spans="1:7" ht="19.5" customHeight="1" x14ac:dyDescent="0.2">
      <c r="A16" s="20" t="s">
        <v>7181</v>
      </c>
      <c r="B16" s="20" t="s">
        <v>7800</v>
      </c>
      <c r="C16" s="1662" t="s">
        <v>7946</v>
      </c>
      <c r="D16" s="446">
        <v>11</v>
      </c>
      <c r="E16" s="446" t="s">
        <v>7929</v>
      </c>
      <c r="F16" s="1788"/>
      <c r="G16" s="2042"/>
    </row>
    <row r="17" spans="1:7" ht="19.5" customHeight="1" x14ac:dyDescent="0.2">
      <c r="A17" s="20" t="s">
        <v>1187</v>
      </c>
      <c r="B17" s="20" t="s">
        <v>7800</v>
      </c>
      <c r="C17" s="1664" t="s">
        <v>7465</v>
      </c>
      <c r="D17" s="446">
        <v>12</v>
      </c>
      <c r="E17" s="446" t="s">
        <v>7932</v>
      </c>
      <c r="F17" s="1786"/>
      <c r="G17" s="1763"/>
    </row>
    <row r="18" spans="1:7" ht="19.5" customHeight="1" thickBot="1" x14ac:dyDescent="0.25">
      <c r="A18" s="20" t="s">
        <v>7947</v>
      </c>
      <c r="B18" s="20" t="s">
        <v>7800</v>
      </c>
      <c r="C18" s="1732" t="s">
        <v>7948</v>
      </c>
      <c r="D18" s="1729">
        <v>13</v>
      </c>
      <c r="E18" s="447" t="s">
        <v>7929</v>
      </c>
      <c r="F18" s="1788"/>
      <c r="G18" s="2031"/>
    </row>
    <row r="19" spans="1:7" ht="19.5" customHeight="1" thickTop="1" thickBot="1" x14ac:dyDescent="0.25">
      <c r="A19" s="20" t="s">
        <v>198</v>
      </c>
      <c r="B19" s="20" t="s">
        <v>7800</v>
      </c>
      <c r="C19" s="1733" t="s">
        <v>197</v>
      </c>
      <c r="D19" s="1729">
        <v>14</v>
      </c>
      <c r="E19" s="1726"/>
      <c r="F19" s="1777"/>
      <c r="G19" s="2035"/>
    </row>
    <row r="20" spans="1:7" ht="19.5" customHeight="1" thickTop="1" x14ac:dyDescent="0.2">
      <c r="A20" s="20" t="s">
        <v>7949</v>
      </c>
      <c r="B20" s="20" t="s">
        <v>7800</v>
      </c>
      <c r="C20" s="1734" t="s">
        <v>7950</v>
      </c>
      <c r="D20" s="448">
        <v>15</v>
      </c>
      <c r="E20" s="1724"/>
      <c r="F20" s="1777"/>
      <c r="G20" s="2035"/>
    </row>
    <row r="21" spans="1:7" ht="19.5" customHeight="1" x14ac:dyDescent="0.2">
      <c r="A21" s="20" t="s">
        <v>1082</v>
      </c>
      <c r="B21" s="20" t="s">
        <v>7800</v>
      </c>
      <c r="C21" s="1738" t="s">
        <v>7436</v>
      </c>
      <c r="D21" s="448">
        <v>16</v>
      </c>
      <c r="E21" s="1653"/>
      <c r="F21" s="2043"/>
      <c r="G21" s="2031"/>
    </row>
    <row r="22" spans="1:7" ht="19.5" customHeight="1" x14ac:dyDescent="0.2">
      <c r="A22" s="20" t="s">
        <v>1199</v>
      </c>
      <c r="B22" s="20" t="s">
        <v>7800</v>
      </c>
      <c r="C22" s="1735" t="s">
        <v>7507</v>
      </c>
      <c r="D22" s="448">
        <v>17</v>
      </c>
      <c r="E22" s="1725"/>
      <c r="F22" s="2044"/>
      <c r="G22" s="2045"/>
    </row>
    <row r="23" spans="1:7" ht="19.5" customHeight="1" x14ac:dyDescent="0.2">
      <c r="A23" s="20" t="s">
        <v>1297</v>
      </c>
      <c r="B23" s="20" t="s">
        <v>7800</v>
      </c>
      <c r="C23" s="1736" t="s">
        <v>7494</v>
      </c>
      <c r="D23" s="448">
        <v>18</v>
      </c>
      <c r="E23" s="1725"/>
      <c r="F23" s="2046"/>
      <c r="G23" s="1790"/>
    </row>
    <row r="24" spans="1:7" ht="19.5" customHeight="1" x14ac:dyDescent="0.2">
      <c r="A24" s="20" t="s">
        <v>1318</v>
      </c>
      <c r="B24" s="20" t="s">
        <v>7800</v>
      </c>
      <c r="C24" s="1737" t="s">
        <v>1319</v>
      </c>
      <c r="D24" s="448">
        <v>19</v>
      </c>
      <c r="E24" s="1653"/>
      <c r="F24" s="1786"/>
      <c r="G24" s="2047"/>
    </row>
    <row r="25" spans="1:7" ht="19.5" customHeight="1" x14ac:dyDescent="0.2">
      <c r="A25" s="20" t="s">
        <v>1325</v>
      </c>
      <c r="B25" s="20" t="s">
        <v>7800</v>
      </c>
      <c r="C25" s="1737" t="s">
        <v>1326</v>
      </c>
      <c r="D25" s="448">
        <v>20</v>
      </c>
      <c r="E25" s="1653"/>
      <c r="F25" s="1786"/>
      <c r="G25" s="2047"/>
    </row>
    <row r="26" spans="1:7" ht="19.5" customHeight="1" x14ac:dyDescent="0.2">
      <c r="A26" s="20" t="s">
        <v>1304</v>
      </c>
      <c r="B26" s="20" t="s">
        <v>7800</v>
      </c>
      <c r="C26" s="1737" t="s">
        <v>1312</v>
      </c>
      <c r="D26" s="448">
        <v>21</v>
      </c>
      <c r="E26" s="1653"/>
      <c r="F26" s="1786"/>
      <c r="G26" s="2047"/>
    </row>
    <row r="27" spans="1:7" ht="19.5" customHeight="1" x14ac:dyDescent="0.2">
      <c r="A27" s="20" t="s">
        <v>1339</v>
      </c>
      <c r="B27" s="20" t="s">
        <v>7800</v>
      </c>
      <c r="C27" s="1737" t="s">
        <v>7313</v>
      </c>
      <c r="D27" s="448">
        <v>22</v>
      </c>
      <c r="E27" s="1653"/>
      <c r="F27" s="1786"/>
      <c r="G27" s="2047"/>
    </row>
    <row r="28" spans="1:7" ht="19.5" customHeight="1" x14ac:dyDescent="0.2">
      <c r="A28" s="20" t="s">
        <v>1353</v>
      </c>
      <c r="B28" s="20" t="s">
        <v>7800</v>
      </c>
      <c r="C28" s="1662" t="s">
        <v>1354</v>
      </c>
      <c r="D28" s="448">
        <v>23</v>
      </c>
      <c r="E28" s="1653"/>
      <c r="F28" s="2043"/>
      <c r="G28" s="2048"/>
    </row>
    <row r="29" spans="1:7" ht="19.5" customHeight="1" x14ac:dyDescent="0.2">
      <c r="A29" s="20" t="s">
        <v>1360</v>
      </c>
      <c r="B29" s="20" t="s">
        <v>7800</v>
      </c>
      <c r="C29" s="1730" t="s">
        <v>1361</v>
      </c>
      <c r="D29" s="448">
        <v>24</v>
      </c>
      <c r="E29" s="1653"/>
      <c r="F29" s="2043"/>
      <c r="G29" s="2048"/>
    </row>
    <row r="30" spans="1:7" ht="19.5" customHeight="1" x14ac:dyDescent="0.2">
      <c r="A30" s="20" t="s">
        <v>1367</v>
      </c>
      <c r="B30" s="20" t="s">
        <v>7800</v>
      </c>
      <c r="C30" s="1730" t="s">
        <v>7315</v>
      </c>
      <c r="D30" s="448">
        <v>25</v>
      </c>
      <c r="E30" s="1653"/>
      <c r="F30" s="2043"/>
      <c r="G30" s="2048"/>
    </row>
    <row r="31" spans="1:7" ht="19.5" customHeight="1" x14ac:dyDescent="0.2">
      <c r="A31" s="20" t="s">
        <v>1374</v>
      </c>
      <c r="B31" s="20" t="s">
        <v>7800</v>
      </c>
      <c r="C31" s="1662" t="s">
        <v>1375</v>
      </c>
      <c r="D31" s="448">
        <v>26</v>
      </c>
      <c r="E31" s="1653"/>
      <c r="F31" s="2043"/>
      <c r="G31" s="2048"/>
    </row>
    <row r="32" spans="1:7" ht="15.75" customHeight="1" thickBot="1" x14ac:dyDescent="0.25">
      <c r="A32" s="20" t="s">
        <v>643</v>
      </c>
      <c r="B32" s="20" t="s">
        <v>7800</v>
      </c>
      <c r="C32" s="1740" t="s">
        <v>7951</v>
      </c>
      <c r="D32" s="450">
        <v>27</v>
      </c>
      <c r="E32" s="445"/>
      <c r="F32" s="2049"/>
      <c r="G32" s="2050"/>
    </row>
    <row r="33" spans="3:7" ht="20.100000000000001" customHeight="1" thickTop="1" thickBot="1" x14ac:dyDescent="0.25">
      <c r="C33" s="566"/>
      <c r="D33" s="457"/>
      <c r="E33" s="373"/>
      <c r="F33" s="1887"/>
      <c r="G33" s="1888"/>
    </row>
    <row r="34" spans="3:7" ht="9" customHeight="1" thickTop="1" x14ac:dyDescent="0.2"/>
    <row r="35" spans="3:7" ht="9" customHeight="1" x14ac:dyDescent="0.2"/>
    <row r="36" spans="3:7" ht="9" customHeight="1" x14ac:dyDescent="0.2"/>
  </sheetData>
  <phoneticPr fontId="0" type="noConversion"/>
  <dataValidations count="1">
    <dataValidation type="whole" operator="greaterThanOrEqual" allowBlank="1" showInputMessage="1" showErrorMessage="1" error="Positive whole numbers only / Nombres entiers positifs uniquement" sqref="F8:G10 F27:G31 F6:G6 F23:F26 F16:G16 G14 F11:F13" xr:uid="{00000000-0002-0000-1F00-000000000000}">
      <formula1>0</formula1>
    </dataValidation>
  </dataValidation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0">
    <tabColor theme="4"/>
  </sheetPr>
  <dimension ref="A1:F42"/>
  <sheetViews>
    <sheetView workbookViewId="0">
      <pane xSplit="4" ySplit="5" topLeftCell="E24" activePane="bottomRight" state="frozen"/>
      <selection pane="topRight"/>
      <selection pane="bottomLeft"/>
      <selection pane="bottomRight" activeCell="C3" sqref="C3"/>
    </sheetView>
  </sheetViews>
  <sheetFormatPr defaultRowHeight="12.75" x14ac:dyDescent="0.2"/>
  <cols>
    <col min="1" max="1" width="10.140625" hidden="1" customWidth="1"/>
    <col min="2" max="2" width="9.5703125" hidden="1" customWidth="1"/>
    <col min="3" max="3" width="37.42578125" customWidth="1"/>
    <col min="4" max="4" width="4" customWidth="1"/>
    <col min="5" max="6" width="22.85546875" customWidth="1"/>
    <col min="23" max="24" width="9.85546875" customWidth="1"/>
    <col min="27" max="27" width="43.5703125" customWidth="1"/>
    <col min="28" max="28" width="2.85546875" customWidth="1"/>
    <col min="29" max="29" width="15.140625" customWidth="1"/>
    <col min="53" max="53" width="32.7109375" customWidth="1"/>
    <col min="55" max="55" width="14.5703125" customWidth="1"/>
    <col min="56" max="56" width="11.5703125" customWidth="1"/>
  </cols>
  <sheetData>
    <row r="1" spans="1:6" ht="30" customHeight="1" x14ac:dyDescent="0.2">
      <c r="A1" s="8"/>
      <c r="B1" s="8"/>
      <c r="C1" s="437" t="s">
        <v>7952</v>
      </c>
      <c r="D1" s="426"/>
      <c r="E1" s="426"/>
      <c r="F1" s="426"/>
    </row>
    <row r="2" spans="1:6" ht="12.75" customHeight="1" x14ac:dyDescent="0.2">
      <c r="A2" s="440" t="s">
        <v>7233</v>
      </c>
      <c r="C2" s="444"/>
      <c r="D2" s="426"/>
      <c r="E2" s="1756" t="s">
        <v>823</v>
      </c>
      <c r="F2" s="1756" t="s">
        <v>830</v>
      </c>
    </row>
    <row r="3" spans="1:6" ht="21" customHeight="1" thickBot="1" x14ac:dyDescent="0.25">
      <c r="A3" s="441" t="s">
        <v>7797</v>
      </c>
      <c r="B3" s="20" t="s">
        <v>7356</v>
      </c>
      <c r="C3" s="1741" t="str">
        <f>CountryName</f>
        <v>South Africa</v>
      </c>
      <c r="D3" s="426"/>
      <c r="E3" s="1744"/>
      <c r="F3" s="1745"/>
    </row>
    <row r="4" spans="1:6" ht="20.100000000000001" customHeight="1" thickTop="1" x14ac:dyDescent="0.2">
      <c r="A4" s="242" t="s">
        <v>7235</v>
      </c>
      <c r="B4" s="242" t="s">
        <v>7923</v>
      </c>
      <c r="C4" s="1656">
        <f>DataYear</f>
        <v>2019</v>
      </c>
      <c r="D4" s="425"/>
      <c r="E4" s="634" t="s">
        <v>7924</v>
      </c>
      <c r="F4" s="1757" t="s">
        <v>7925</v>
      </c>
    </row>
    <row r="5" spans="1:6" ht="20.100000000000001" customHeight="1" x14ac:dyDescent="0.2">
      <c r="A5" s="438" t="s">
        <v>7356</v>
      </c>
      <c r="B5" s="438" t="s">
        <v>7926</v>
      </c>
      <c r="C5" s="435"/>
      <c r="D5" s="436"/>
      <c r="E5" s="1652" t="s">
        <v>7239</v>
      </c>
      <c r="F5" s="1721" t="s">
        <v>7240</v>
      </c>
    </row>
    <row r="6" spans="1:6" ht="19.5" customHeight="1" x14ac:dyDescent="0.2">
      <c r="A6" s="20" t="s">
        <v>1082</v>
      </c>
      <c r="B6" s="20" t="s">
        <v>7800</v>
      </c>
      <c r="C6" s="1750" t="s">
        <v>7436</v>
      </c>
      <c r="D6" s="448">
        <v>1</v>
      </c>
      <c r="E6" s="1761"/>
      <c r="F6" s="1762"/>
    </row>
    <row r="7" spans="1:6" ht="19.5" customHeight="1" x14ac:dyDescent="0.2">
      <c r="A7" s="20" t="s">
        <v>1089</v>
      </c>
      <c r="B7" s="20" t="s">
        <v>7800</v>
      </c>
      <c r="C7" s="1663" t="s">
        <v>1090</v>
      </c>
      <c r="D7" s="1670">
        <v>2</v>
      </c>
      <c r="E7" s="1786"/>
      <c r="F7" s="1763"/>
    </row>
    <row r="8" spans="1:6" ht="19.5" customHeight="1" x14ac:dyDescent="0.2">
      <c r="A8" s="20" t="s">
        <v>1096</v>
      </c>
      <c r="B8" s="20" t="s">
        <v>7800</v>
      </c>
      <c r="C8" s="1663" t="s">
        <v>1097</v>
      </c>
      <c r="D8" s="1670">
        <v>3</v>
      </c>
      <c r="E8" s="1764"/>
      <c r="F8" s="1765"/>
    </row>
    <row r="9" spans="1:6" ht="19.5" customHeight="1" x14ac:dyDescent="0.2">
      <c r="A9" s="20" t="s">
        <v>1103</v>
      </c>
      <c r="B9" s="20" t="s">
        <v>7800</v>
      </c>
      <c r="C9" s="1663" t="s">
        <v>7294</v>
      </c>
      <c r="D9" s="1670">
        <v>4</v>
      </c>
      <c r="E9" s="1786"/>
      <c r="F9" s="1766"/>
    </row>
    <row r="10" spans="1:6" ht="19.5" customHeight="1" x14ac:dyDescent="0.2">
      <c r="A10" s="20" t="s">
        <v>1107</v>
      </c>
      <c r="B10" s="20" t="s">
        <v>7800</v>
      </c>
      <c r="C10" s="1731" t="s">
        <v>7295</v>
      </c>
      <c r="D10" s="1670">
        <v>5</v>
      </c>
      <c r="E10" s="1786"/>
      <c r="F10" s="1766"/>
    </row>
    <row r="11" spans="1:6" ht="19.5" customHeight="1" x14ac:dyDescent="0.2">
      <c r="A11" s="20" t="s">
        <v>1127</v>
      </c>
      <c r="B11" s="20" t="s">
        <v>7800</v>
      </c>
      <c r="C11" s="1758" t="s">
        <v>7953</v>
      </c>
      <c r="D11" s="1670">
        <v>6</v>
      </c>
      <c r="E11" s="1786"/>
      <c r="F11" s="1766"/>
    </row>
    <row r="12" spans="1:6" ht="19.5" customHeight="1" x14ac:dyDescent="0.2">
      <c r="A12" s="20" t="s">
        <v>1111</v>
      </c>
      <c r="B12" s="20" t="s">
        <v>7800</v>
      </c>
      <c r="C12" s="1663" t="s">
        <v>7297</v>
      </c>
      <c r="D12" s="1670">
        <v>7</v>
      </c>
      <c r="E12" s="1786"/>
      <c r="F12" s="1766"/>
    </row>
    <row r="13" spans="1:6" ht="19.5" customHeight="1" x14ac:dyDescent="0.2">
      <c r="A13" s="20" t="s">
        <v>1123</v>
      </c>
      <c r="B13" s="20" t="s">
        <v>7800</v>
      </c>
      <c r="C13" s="1663" t="s">
        <v>7298</v>
      </c>
      <c r="D13" s="1670">
        <v>8</v>
      </c>
      <c r="E13" s="1786"/>
      <c r="F13" s="1766"/>
    </row>
    <row r="14" spans="1:6" ht="19.5" customHeight="1" x14ac:dyDescent="0.2">
      <c r="A14" s="20" t="s">
        <v>1132</v>
      </c>
      <c r="B14" s="20" t="s">
        <v>7800</v>
      </c>
      <c r="C14" s="1758" t="s">
        <v>1038</v>
      </c>
      <c r="D14" s="1670">
        <v>9</v>
      </c>
      <c r="E14" s="1786"/>
      <c r="F14" s="1766"/>
    </row>
    <row r="15" spans="1:6" ht="19.5" customHeight="1" x14ac:dyDescent="0.2">
      <c r="A15" s="20" t="s">
        <v>1169</v>
      </c>
      <c r="B15" s="20" t="s">
        <v>7800</v>
      </c>
      <c r="C15" s="1663" t="s">
        <v>1170</v>
      </c>
      <c r="D15" s="1670">
        <v>10</v>
      </c>
      <c r="E15" s="1786"/>
      <c r="F15" s="1766"/>
    </row>
    <row r="16" spans="1:6" ht="19.5" customHeight="1" x14ac:dyDescent="0.2">
      <c r="A16" s="20" t="s">
        <v>1137</v>
      </c>
      <c r="B16" s="20" t="s">
        <v>7800</v>
      </c>
      <c r="C16" s="1751" t="s">
        <v>7299</v>
      </c>
      <c r="D16" s="1670">
        <v>11</v>
      </c>
      <c r="E16" s="1767"/>
      <c r="F16" s="1768"/>
    </row>
    <row r="17" spans="1:6" ht="19.5" customHeight="1" x14ac:dyDescent="0.2">
      <c r="A17" s="20" t="s">
        <v>1143</v>
      </c>
      <c r="B17" s="20" t="s">
        <v>7800</v>
      </c>
      <c r="C17" s="1751" t="s">
        <v>7954</v>
      </c>
      <c r="D17" s="1670">
        <v>12</v>
      </c>
      <c r="E17" s="1767"/>
      <c r="F17" s="1768"/>
    </row>
    <row r="18" spans="1:6" ht="19.5" customHeight="1" x14ac:dyDescent="0.2">
      <c r="A18" s="20" t="s">
        <v>1116</v>
      </c>
      <c r="B18" s="20" t="s">
        <v>7800</v>
      </c>
      <c r="C18" s="1751" t="s">
        <v>7955</v>
      </c>
      <c r="D18" s="1670">
        <v>13</v>
      </c>
      <c r="E18" s="1767"/>
      <c r="F18" s="1768"/>
    </row>
    <row r="19" spans="1:6" ht="19.5" customHeight="1" x14ac:dyDescent="0.2">
      <c r="A19" s="20" t="s">
        <v>1150</v>
      </c>
      <c r="B19" s="20" t="s">
        <v>7800</v>
      </c>
      <c r="C19" s="1751" t="s">
        <v>7457</v>
      </c>
      <c r="D19" s="1670">
        <v>14</v>
      </c>
      <c r="E19" s="1767"/>
      <c r="F19" s="1768"/>
    </row>
    <row r="20" spans="1:6" ht="19.5" customHeight="1" x14ac:dyDescent="0.2">
      <c r="A20" s="20" t="s">
        <v>1176</v>
      </c>
      <c r="B20" s="20" t="s">
        <v>7800</v>
      </c>
      <c r="C20" s="1751" t="s">
        <v>7956</v>
      </c>
      <c r="D20" s="1670">
        <v>15</v>
      </c>
      <c r="E20" s="1767"/>
      <c r="F20" s="1768"/>
    </row>
    <row r="21" spans="1:6" ht="19.5" customHeight="1" thickBot="1" x14ac:dyDescent="0.25">
      <c r="A21" s="20" t="s">
        <v>1180</v>
      </c>
      <c r="B21" s="20" t="s">
        <v>7800</v>
      </c>
      <c r="C21" s="1759" t="s">
        <v>7460</v>
      </c>
      <c r="D21" s="451">
        <v>16</v>
      </c>
      <c r="E21" s="1773"/>
      <c r="F21" s="1769"/>
    </row>
    <row r="22" spans="1:6" ht="19.5" customHeight="1" thickTop="1" thickBot="1" x14ac:dyDescent="0.25">
      <c r="B22" s="15"/>
      <c r="C22" s="1747"/>
      <c r="D22" s="1748"/>
      <c r="E22" s="1770"/>
      <c r="F22" s="1770"/>
    </row>
    <row r="23" spans="1:6" ht="19.5" customHeight="1" thickTop="1" x14ac:dyDescent="0.2">
      <c r="A23" s="20" t="s">
        <v>1199</v>
      </c>
      <c r="B23" s="20" t="s">
        <v>7800</v>
      </c>
      <c r="C23" s="1735" t="s">
        <v>7507</v>
      </c>
      <c r="D23" s="1749">
        <v>17</v>
      </c>
      <c r="E23" s="1761"/>
      <c r="F23" s="1762"/>
    </row>
    <row r="24" spans="1:6" ht="19.5" customHeight="1" x14ac:dyDescent="0.2">
      <c r="A24" s="20" t="s">
        <v>1206</v>
      </c>
      <c r="B24" s="20" t="s">
        <v>7800</v>
      </c>
      <c r="C24" s="1731" t="s">
        <v>1207</v>
      </c>
      <c r="D24" s="1670">
        <v>18</v>
      </c>
      <c r="E24" s="1786"/>
      <c r="F24" s="1763"/>
    </row>
    <row r="25" spans="1:6" ht="19.5" customHeight="1" x14ac:dyDescent="0.2">
      <c r="A25" s="20" t="s">
        <v>1213</v>
      </c>
      <c r="B25" s="20" t="s">
        <v>7800</v>
      </c>
      <c r="C25" s="1758" t="s">
        <v>1214</v>
      </c>
      <c r="D25" s="1670">
        <v>19</v>
      </c>
      <c r="E25" s="1786"/>
      <c r="F25" s="1763"/>
    </row>
    <row r="26" spans="1:6" ht="19.5" customHeight="1" x14ac:dyDescent="0.2">
      <c r="A26" s="20" t="s">
        <v>1220</v>
      </c>
      <c r="B26" s="20" t="s">
        <v>7800</v>
      </c>
      <c r="C26" s="1663" t="s">
        <v>1221</v>
      </c>
      <c r="D26" s="1670">
        <v>20</v>
      </c>
      <c r="E26" s="1786"/>
      <c r="F26" s="1763"/>
    </row>
    <row r="27" spans="1:6" ht="19.5" customHeight="1" x14ac:dyDescent="0.2">
      <c r="A27" s="20" t="s">
        <v>1227</v>
      </c>
      <c r="B27" s="20" t="s">
        <v>7800</v>
      </c>
      <c r="C27" s="1663" t="s">
        <v>1228</v>
      </c>
      <c r="D27" s="1670">
        <v>21</v>
      </c>
      <c r="E27" s="1786"/>
      <c r="F27" s="1763"/>
    </row>
    <row r="28" spans="1:6" ht="19.5" customHeight="1" x14ac:dyDescent="0.2">
      <c r="A28" s="20" t="s">
        <v>1234</v>
      </c>
      <c r="B28" s="20" t="s">
        <v>7800</v>
      </c>
      <c r="C28" s="1663" t="s">
        <v>1235</v>
      </c>
      <c r="D28" s="1670">
        <v>22</v>
      </c>
      <c r="E28" s="1786"/>
      <c r="F28" s="1763"/>
    </row>
    <row r="29" spans="1:6" ht="19.5" customHeight="1" x14ac:dyDescent="0.2">
      <c r="A29" s="20" t="s">
        <v>1241</v>
      </c>
      <c r="B29" s="20" t="s">
        <v>7800</v>
      </c>
      <c r="C29" s="1752" t="s">
        <v>1242</v>
      </c>
      <c r="D29" s="1749">
        <v>23</v>
      </c>
      <c r="E29" s="1787"/>
      <c r="F29" s="1771"/>
    </row>
    <row r="30" spans="1:6" ht="19.5" customHeight="1" x14ac:dyDescent="0.2">
      <c r="A30" s="20" t="s">
        <v>1248</v>
      </c>
      <c r="B30" s="20" t="s">
        <v>7800</v>
      </c>
      <c r="C30" s="1753" t="s">
        <v>1249</v>
      </c>
      <c r="D30" s="1670">
        <v>24</v>
      </c>
      <c r="E30" s="1786"/>
      <c r="F30" s="1763"/>
    </row>
    <row r="31" spans="1:6" ht="19.5" customHeight="1" x14ac:dyDescent="0.2">
      <c r="A31" s="20" t="s">
        <v>1255</v>
      </c>
      <c r="B31" s="20" t="s">
        <v>7800</v>
      </c>
      <c r="C31" s="1754" t="s">
        <v>1256</v>
      </c>
      <c r="D31" s="1670">
        <v>25</v>
      </c>
      <c r="E31" s="1786"/>
      <c r="F31" s="1763"/>
    </row>
    <row r="32" spans="1:6" ht="19.5" customHeight="1" x14ac:dyDescent="0.2">
      <c r="A32" s="20" t="s">
        <v>1262</v>
      </c>
      <c r="B32" s="20" t="s">
        <v>7800</v>
      </c>
      <c r="C32" s="1754" t="s">
        <v>7056</v>
      </c>
      <c r="D32" s="1670">
        <v>26</v>
      </c>
      <c r="E32" s="1786"/>
      <c r="F32" s="1763"/>
    </row>
    <row r="33" spans="1:6" ht="19.5" customHeight="1" x14ac:dyDescent="0.2">
      <c r="A33" s="20" t="s">
        <v>1269</v>
      </c>
      <c r="B33" s="20" t="s">
        <v>7800</v>
      </c>
      <c r="C33" s="1754" t="s">
        <v>1270</v>
      </c>
      <c r="D33" s="1670">
        <v>27</v>
      </c>
      <c r="E33" s="1786"/>
      <c r="F33" s="1763"/>
    </row>
    <row r="34" spans="1:6" ht="19.5" customHeight="1" x14ac:dyDescent="0.2">
      <c r="A34" s="20" t="s">
        <v>1276</v>
      </c>
      <c r="B34" s="20" t="s">
        <v>7800</v>
      </c>
      <c r="C34" s="1754" t="s">
        <v>1277</v>
      </c>
      <c r="D34" s="1670">
        <v>28</v>
      </c>
      <c r="E34" s="1786"/>
      <c r="F34" s="1763"/>
    </row>
    <row r="35" spans="1:6" ht="19.5" customHeight="1" x14ac:dyDescent="0.2">
      <c r="A35" s="20" t="s">
        <v>1283</v>
      </c>
      <c r="B35" s="20" t="s">
        <v>7800</v>
      </c>
      <c r="C35" s="1754" t="s">
        <v>1284</v>
      </c>
      <c r="D35" s="1670">
        <v>29</v>
      </c>
      <c r="E35" s="1786"/>
      <c r="F35" s="1763"/>
    </row>
    <row r="36" spans="1:6" ht="19.5" customHeight="1" thickBot="1" x14ac:dyDescent="0.25">
      <c r="A36" s="20" t="s">
        <v>1290</v>
      </c>
      <c r="B36" s="20" t="s">
        <v>7800</v>
      </c>
      <c r="C36" s="1760" t="s">
        <v>7311</v>
      </c>
      <c r="D36" s="451">
        <v>30</v>
      </c>
      <c r="E36" s="1773"/>
      <c r="F36" s="1772"/>
    </row>
    <row r="37" spans="1:6" ht="8.1" customHeight="1" thickTop="1" thickBot="1" x14ac:dyDescent="0.25">
      <c r="C37" s="1755"/>
      <c r="D37" s="1746"/>
      <c r="E37" s="1746"/>
      <c r="F37" s="1746"/>
    </row>
    <row r="38" spans="1:6" ht="20.100000000000001" customHeight="1" thickTop="1" thickBot="1" x14ac:dyDescent="0.25">
      <c r="C38" s="473" t="s">
        <v>7921</v>
      </c>
      <c r="D38" s="458"/>
      <c r="E38" s="453"/>
      <c r="F38" s="454"/>
    </row>
    <row r="39" spans="1:6" ht="15" customHeight="1" thickTop="1" x14ac:dyDescent="0.2"/>
    <row r="40" spans="1:6" ht="9" customHeight="1" x14ac:dyDescent="0.2"/>
    <row r="41" spans="1:6" ht="9" customHeight="1" x14ac:dyDescent="0.2"/>
    <row r="42" spans="1:6" ht="12" customHeight="1" x14ac:dyDescent="0.2"/>
  </sheetData>
  <phoneticPr fontId="36" type="noConversion"/>
  <dataValidations count="1">
    <dataValidation type="decimal" operator="greaterThanOrEqual" allowBlank="1" showInputMessage="1" showErrorMessage="1" error="Positive whole numbers only / Nombres entiers positifs uniquement" sqref="E7:F21 E24:F36" xr:uid="{00000000-0002-0000-2000-000000000000}">
      <formula1>0</formula1>
    </dataValidation>
  </dataValidations>
  <pageMargins left="0.75" right="0.75" top="1" bottom="1" header="0.5" footer="0.5"/>
  <pageSetup paperSize="9"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1">
    <tabColor theme="4"/>
  </sheetPr>
  <dimension ref="A1:N78"/>
  <sheetViews>
    <sheetView workbookViewId="0">
      <pane xSplit="6" ySplit="6" topLeftCell="G52" activePane="bottomRight" state="frozen"/>
      <selection pane="topRight"/>
      <selection pane="bottomLeft"/>
      <selection pane="bottomRight" activeCell="C4" sqref="C4"/>
    </sheetView>
  </sheetViews>
  <sheetFormatPr defaultRowHeight="12.75" x14ac:dyDescent="0.2"/>
  <cols>
    <col min="1" max="2" width="10.140625" hidden="1" customWidth="1"/>
    <col min="3" max="3" width="18.7109375" customWidth="1"/>
    <col min="4" max="4" width="8.5703125" customWidth="1"/>
    <col min="5" max="5" width="3" customWidth="1"/>
    <col min="6" max="6" width="6.7109375" customWidth="1"/>
    <col min="7" max="14" width="13.85546875" customWidth="1"/>
    <col min="23" max="23" width="12.140625" bestFit="1" customWidth="1"/>
    <col min="24" max="24" width="33" bestFit="1" customWidth="1"/>
    <col min="27" max="27" width="22.85546875" customWidth="1"/>
    <col min="28" max="28" width="10" customWidth="1"/>
    <col min="29" max="29" width="3.140625" customWidth="1"/>
    <col min="31" max="31" width="11.42578125" customWidth="1"/>
    <col min="32" max="33" width="9" customWidth="1"/>
    <col min="34" max="34" width="11.42578125" customWidth="1"/>
    <col min="35" max="36" width="9" customWidth="1"/>
    <col min="37" max="37" width="11.42578125" customWidth="1"/>
    <col min="38" max="38" width="9" customWidth="1"/>
    <col min="53" max="53" width="43.42578125" customWidth="1"/>
    <col min="54" max="54" width="10.42578125" customWidth="1"/>
    <col min="55" max="55" width="3" customWidth="1"/>
    <col min="57" max="57" width="14.42578125" customWidth="1"/>
    <col min="58" max="58" width="14.140625" customWidth="1"/>
    <col min="59" max="59" width="12" customWidth="1"/>
    <col min="60" max="60" width="12.5703125" customWidth="1"/>
    <col min="61" max="61" width="14.140625" customWidth="1"/>
    <col min="63" max="63" width="11.42578125" customWidth="1"/>
  </cols>
  <sheetData>
    <row r="1" spans="1:14" ht="30" customHeight="1" x14ac:dyDescent="0.2">
      <c r="A1" s="8"/>
      <c r="B1" s="44"/>
      <c r="C1" s="437" t="s">
        <v>7957</v>
      </c>
      <c r="D1" s="469"/>
      <c r="E1" s="470"/>
      <c r="F1" s="470"/>
      <c r="G1" s="470"/>
      <c r="H1" s="470"/>
      <c r="I1" s="470"/>
      <c r="J1" s="470"/>
      <c r="K1" s="470"/>
      <c r="L1" s="470"/>
      <c r="M1" s="470"/>
      <c r="N1" s="470"/>
    </row>
    <row r="2" spans="1:14" ht="12.75" hidden="1" customHeight="1" x14ac:dyDescent="0.2">
      <c r="A2" s="440" t="s">
        <v>7909</v>
      </c>
      <c r="B2" s="15"/>
      <c r="C2" s="13"/>
      <c r="D2" s="427"/>
      <c r="E2" s="244"/>
      <c r="F2" s="244"/>
      <c r="G2" s="449" t="s">
        <v>940</v>
      </c>
      <c r="H2" s="449" t="s">
        <v>954</v>
      </c>
      <c r="I2" s="449" t="s">
        <v>968</v>
      </c>
      <c r="J2" s="449" t="s">
        <v>947</v>
      </c>
      <c r="K2" s="449" t="s">
        <v>961</v>
      </c>
      <c r="L2" s="449" t="s">
        <v>975</v>
      </c>
      <c r="M2" s="449" t="s">
        <v>7800</v>
      </c>
      <c r="N2" s="449" t="s">
        <v>7800</v>
      </c>
    </row>
    <row r="3" spans="1:14" ht="21" customHeight="1" thickBot="1" x14ac:dyDescent="0.25">
      <c r="A3" s="441" t="s">
        <v>7797</v>
      </c>
      <c r="B3" s="20" t="s">
        <v>7356</v>
      </c>
      <c r="C3" s="442" t="str">
        <f>CountryName</f>
        <v>South Africa</v>
      </c>
      <c r="D3" s="427"/>
      <c r="E3" s="426"/>
      <c r="F3" s="426"/>
      <c r="G3" s="20"/>
      <c r="H3" s="20"/>
      <c r="I3" s="20"/>
      <c r="J3" s="20"/>
      <c r="K3" s="20"/>
      <c r="L3" s="20"/>
      <c r="M3" s="20"/>
      <c r="N3" s="20"/>
    </row>
    <row r="4" spans="1:14" ht="20.100000000000001" customHeight="1" thickTop="1" x14ac:dyDescent="0.2">
      <c r="C4" s="2054">
        <f>DataYear</f>
        <v>2019</v>
      </c>
      <c r="D4" s="461"/>
      <c r="E4" s="425"/>
      <c r="F4" s="425"/>
      <c r="G4" s="428" t="s">
        <v>7958</v>
      </c>
      <c r="H4" s="432"/>
      <c r="I4" s="433"/>
      <c r="J4" s="429" t="s">
        <v>7959</v>
      </c>
      <c r="K4" s="432"/>
      <c r="L4" s="432"/>
      <c r="M4" s="428" t="s">
        <v>7800</v>
      </c>
      <c r="N4" s="434"/>
    </row>
    <row r="5" spans="1:14" ht="19.5" customHeight="1" x14ac:dyDescent="0.2">
      <c r="A5" s="242" t="s">
        <v>7910</v>
      </c>
      <c r="B5" s="439" t="s">
        <v>1483</v>
      </c>
      <c r="C5" s="435"/>
      <c r="D5" s="462"/>
      <c r="E5" s="436"/>
      <c r="F5" s="436"/>
      <c r="G5" s="431" t="s">
        <v>7801</v>
      </c>
      <c r="H5" s="430" t="s">
        <v>7802</v>
      </c>
      <c r="I5" s="430" t="s">
        <v>830</v>
      </c>
      <c r="J5" s="430" t="s">
        <v>7801</v>
      </c>
      <c r="K5" s="430" t="s">
        <v>7802</v>
      </c>
      <c r="L5" s="430" t="s">
        <v>830</v>
      </c>
      <c r="M5" s="430" t="s">
        <v>7801</v>
      </c>
      <c r="N5" s="485" t="s">
        <v>830</v>
      </c>
    </row>
    <row r="6" spans="1:14" ht="19.5" customHeight="1" thickBot="1" x14ac:dyDescent="0.25">
      <c r="A6" s="438"/>
      <c r="B6" s="471"/>
      <c r="C6" s="455" t="s">
        <v>7960</v>
      </c>
      <c r="D6" s="463"/>
      <c r="E6" s="464"/>
      <c r="F6" s="456" t="s">
        <v>7961</v>
      </c>
      <c r="G6" s="1889" t="s">
        <v>7239</v>
      </c>
      <c r="H6" s="1889" t="s">
        <v>7240</v>
      </c>
      <c r="I6" s="1889" t="s">
        <v>7241</v>
      </c>
      <c r="J6" s="1889" t="s">
        <v>7242</v>
      </c>
      <c r="K6" s="1889" t="s">
        <v>7243</v>
      </c>
      <c r="L6" s="1889" t="s">
        <v>7244</v>
      </c>
      <c r="M6" s="1890" t="s">
        <v>7245</v>
      </c>
      <c r="N6" s="1891" t="s">
        <v>7246</v>
      </c>
    </row>
    <row r="7" spans="1:14" ht="19.5" customHeight="1" thickTop="1" x14ac:dyDescent="0.2">
      <c r="A7" s="20" t="s">
        <v>7962</v>
      </c>
      <c r="B7" s="20" t="s">
        <v>325</v>
      </c>
      <c r="C7" s="2377" t="s">
        <v>7963</v>
      </c>
      <c r="D7" s="477" t="s">
        <v>7964</v>
      </c>
      <c r="E7" s="448">
        <v>1</v>
      </c>
      <c r="F7" s="478" t="s">
        <v>7965</v>
      </c>
      <c r="G7" s="1787"/>
      <c r="H7" s="1787"/>
      <c r="I7" s="1787"/>
      <c r="J7" s="1787"/>
      <c r="K7" s="1787"/>
      <c r="L7" s="1787"/>
      <c r="M7" s="1781"/>
      <c r="N7" s="1782"/>
    </row>
    <row r="8" spans="1:14" ht="19.5" customHeight="1" x14ac:dyDescent="0.2">
      <c r="A8" s="20" t="s">
        <v>7966</v>
      </c>
      <c r="B8" s="20" t="s">
        <v>325</v>
      </c>
      <c r="C8" s="2378"/>
      <c r="D8" s="479" t="s">
        <v>7964</v>
      </c>
      <c r="E8" s="448">
        <v>2</v>
      </c>
      <c r="F8" s="480" t="s">
        <v>7863</v>
      </c>
      <c r="G8" s="1787"/>
      <c r="H8" s="1787"/>
      <c r="I8" s="1787"/>
      <c r="J8" s="1787"/>
      <c r="K8" s="1787"/>
      <c r="L8" s="1787"/>
      <c r="M8" s="1781"/>
      <c r="N8" s="1783"/>
    </row>
    <row r="9" spans="1:14" ht="19.5" customHeight="1" x14ac:dyDescent="0.2">
      <c r="A9" s="20" t="s">
        <v>7807</v>
      </c>
      <c r="B9" s="20" t="s">
        <v>325</v>
      </c>
      <c r="C9" s="2378"/>
      <c r="D9" s="481" t="s">
        <v>7967</v>
      </c>
      <c r="E9" s="448">
        <v>3</v>
      </c>
      <c r="F9" s="482" t="s">
        <v>747</v>
      </c>
      <c r="G9" s="1787"/>
      <c r="H9" s="1787"/>
      <c r="I9" s="1781"/>
      <c r="J9" s="1787"/>
      <c r="K9" s="1787"/>
      <c r="L9" s="1781"/>
      <c r="M9" s="1788"/>
      <c r="N9" s="1783"/>
    </row>
    <row r="10" spans="1:14" ht="19.5" customHeight="1" thickBot="1" x14ac:dyDescent="0.25">
      <c r="A10" s="20" t="s">
        <v>7846</v>
      </c>
      <c r="B10" s="20" t="s">
        <v>325</v>
      </c>
      <c r="C10" s="2379"/>
      <c r="D10" s="483" t="s">
        <v>7968</v>
      </c>
      <c r="E10" s="447">
        <v>4</v>
      </c>
      <c r="F10" s="476" t="s">
        <v>764</v>
      </c>
      <c r="G10" s="1780"/>
      <c r="H10" s="1773"/>
      <c r="I10" s="1773"/>
      <c r="J10" s="1780"/>
      <c r="K10" s="1773"/>
      <c r="L10" s="1773"/>
      <c r="M10" s="1780"/>
      <c r="N10" s="1774"/>
    </row>
    <row r="11" spans="1:14" ht="19.5" customHeight="1" thickTop="1" x14ac:dyDescent="0.2">
      <c r="A11" s="20" t="s">
        <v>7962</v>
      </c>
      <c r="B11" s="20" t="s">
        <v>338</v>
      </c>
      <c r="C11" s="2377" t="s">
        <v>7969</v>
      </c>
      <c r="D11" s="477" t="s">
        <v>7964</v>
      </c>
      <c r="E11" s="448">
        <v>5</v>
      </c>
      <c r="F11" s="478" t="s">
        <v>7965</v>
      </c>
      <c r="G11" s="1787"/>
      <c r="H11" s="1787"/>
      <c r="I11" s="1787"/>
      <c r="J11" s="1787"/>
      <c r="K11" s="1787"/>
      <c r="L11" s="1787"/>
      <c r="M11" s="1781"/>
      <c r="N11" s="1783"/>
    </row>
    <row r="12" spans="1:14" ht="19.5" customHeight="1" x14ac:dyDescent="0.2">
      <c r="A12" s="20" t="s">
        <v>7966</v>
      </c>
      <c r="B12" s="20" t="s">
        <v>338</v>
      </c>
      <c r="C12" s="2378"/>
      <c r="D12" s="479" t="s">
        <v>7964</v>
      </c>
      <c r="E12" s="448">
        <v>6</v>
      </c>
      <c r="F12" s="480" t="s">
        <v>7863</v>
      </c>
      <c r="G12" s="1786"/>
      <c r="H12" s="1786"/>
      <c r="I12" s="1786"/>
      <c r="J12" s="1786"/>
      <c r="K12" s="1786"/>
      <c r="L12" s="1786"/>
      <c r="M12" s="1781"/>
      <c r="N12" s="1783"/>
    </row>
    <row r="13" spans="1:14" ht="19.5" customHeight="1" x14ac:dyDescent="0.2">
      <c r="A13" s="20" t="s">
        <v>7807</v>
      </c>
      <c r="B13" s="20" t="s">
        <v>338</v>
      </c>
      <c r="C13" s="2378"/>
      <c r="D13" s="481" t="s">
        <v>7967</v>
      </c>
      <c r="E13" s="448">
        <v>7</v>
      </c>
      <c r="F13" s="482" t="s">
        <v>747</v>
      </c>
      <c r="G13" s="1786"/>
      <c r="H13" s="1786"/>
      <c r="I13" s="1781"/>
      <c r="J13" s="1786"/>
      <c r="K13" s="1786"/>
      <c r="L13" s="1781"/>
      <c r="M13" s="1788"/>
      <c r="N13" s="1783"/>
    </row>
    <row r="14" spans="1:14" ht="19.5" customHeight="1" thickBot="1" x14ac:dyDescent="0.25">
      <c r="A14" s="20" t="s">
        <v>7846</v>
      </c>
      <c r="B14" s="20" t="s">
        <v>338</v>
      </c>
      <c r="C14" s="2379"/>
      <c r="D14" s="483" t="s">
        <v>7968</v>
      </c>
      <c r="E14" s="447">
        <v>8</v>
      </c>
      <c r="F14" s="476" t="s">
        <v>764</v>
      </c>
      <c r="G14" s="1780"/>
      <c r="H14" s="1773"/>
      <c r="I14" s="1773"/>
      <c r="J14" s="1780"/>
      <c r="K14" s="1773"/>
      <c r="L14" s="1773"/>
      <c r="M14" s="1780"/>
      <c r="N14" s="1774"/>
    </row>
    <row r="15" spans="1:14" ht="19.5" customHeight="1" thickTop="1" x14ac:dyDescent="0.2">
      <c r="A15" s="20" t="s">
        <v>7962</v>
      </c>
      <c r="B15" s="20" t="s">
        <v>348</v>
      </c>
      <c r="C15" s="2353" t="s">
        <v>7970</v>
      </c>
      <c r="D15" s="477" t="s">
        <v>7964</v>
      </c>
      <c r="E15" s="448">
        <v>9</v>
      </c>
      <c r="F15" s="478" t="s">
        <v>7965</v>
      </c>
      <c r="G15" s="1787"/>
      <c r="H15" s="1787"/>
      <c r="I15" s="1787"/>
      <c r="J15" s="1787"/>
      <c r="K15" s="1787"/>
      <c r="L15" s="1787"/>
      <c r="M15" s="1789"/>
      <c r="N15" s="1775"/>
    </row>
    <row r="16" spans="1:14" ht="19.5" customHeight="1" x14ac:dyDescent="0.2">
      <c r="A16" s="20" t="s">
        <v>7966</v>
      </c>
      <c r="B16" s="20" t="s">
        <v>348</v>
      </c>
      <c r="C16" s="2354"/>
      <c r="D16" s="479" t="s">
        <v>7964</v>
      </c>
      <c r="E16" s="448">
        <v>10</v>
      </c>
      <c r="F16" s="480" t="s">
        <v>7863</v>
      </c>
      <c r="G16" s="1786"/>
      <c r="H16" s="1786"/>
      <c r="I16" s="1786"/>
      <c r="J16" s="1786"/>
      <c r="K16" s="1786"/>
      <c r="L16" s="1786"/>
      <c r="M16" s="1789"/>
      <c r="N16" s="1790"/>
    </row>
    <row r="17" spans="1:14" ht="19.5" customHeight="1" x14ac:dyDescent="0.2">
      <c r="A17" s="20" t="s">
        <v>7807</v>
      </c>
      <c r="B17" s="20" t="s">
        <v>348</v>
      </c>
      <c r="C17" s="2354"/>
      <c r="D17" s="481" t="s">
        <v>7967</v>
      </c>
      <c r="E17" s="448">
        <v>11</v>
      </c>
      <c r="F17" s="482" t="s">
        <v>747</v>
      </c>
      <c r="G17" s="1786"/>
      <c r="H17" s="1786"/>
      <c r="I17" s="1789"/>
      <c r="J17" s="1786"/>
      <c r="K17" s="1786"/>
      <c r="L17" s="1789"/>
      <c r="M17" s="1788"/>
      <c r="N17" s="1790"/>
    </row>
    <row r="18" spans="1:14" ht="19.5" customHeight="1" thickBot="1" x14ac:dyDescent="0.25">
      <c r="A18" s="20" t="s">
        <v>7846</v>
      </c>
      <c r="B18" s="20" t="s">
        <v>348</v>
      </c>
      <c r="C18" s="2376"/>
      <c r="D18" s="483" t="s">
        <v>7968</v>
      </c>
      <c r="E18" s="447">
        <v>12</v>
      </c>
      <c r="F18" s="476" t="s">
        <v>764</v>
      </c>
      <c r="G18" s="1776"/>
      <c r="H18" s="1773"/>
      <c r="I18" s="1773"/>
      <c r="J18" s="1776"/>
      <c r="K18" s="1773"/>
      <c r="L18" s="1773"/>
      <c r="M18" s="1776"/>
      <c r="N18" s="1774"/>
    </row>
    <row r="19" spans="1:14" ht="19.5" customHeight="1" thickTop="1" x14ac:dyDescent="0.2">
      <c r="A19" s="20" t="s">
        <v>7962</v>
      </c>
      <c r="B19" s="20" t="s">
        <v>358</v>
      </c>
      <c r="C19" s="2353" t="s">
        <v>7971</v>
      </c>
      <c r="D19" s="477" t="s">
        <v>7964</v>
      </c>
      <c r="E19" s="448">
        <v>13</v>
      </c>
      <c r="F19" s="478" t="s">
        <v>7965</v>
      </c>
      <c r="G19" s="1787"/>
      <c r="H19" s="1787"/>
      <c r="I19" s="1787"/>
      <c r="J19" s="1787"/>
      <c r="K19" s="1787"/>
      <c r="L19" s="1787"/>
      <c r="M19" s="1789"/>
      <c r="N19" s="1775"/>
    </row>
    <row r="20" spans="1:14" ht="19.5" customHeight="1" x14ac:dyDescent="0.2">
      <c r="A20" s="20" t="s">
        <v>7966</v>
      </c>
      <c r="B20" s="20" t="s">
        <v>358</v>
      </c>
      <c r="C20" s="2354"/>
      <c r="D20" s="479" t="s">
        <v>7964</v>
      </c>
      <c r="E20" s="448">
        <v>14</v>
      </c>
      <c r="F20" s="480" t="s">
        <v>7863</v>
      </c>
      <c r="G20" s="1786"/>
      <c r="H20" s="1786"/>
      <c r="I20" s="1786"/>
      <c r="J20" s="1786"/>
      <c r="K20" s="1786"/>
      <c r="L20" s="1786"/>
      <c r="M20" s="1789"/>
      <c r="N20" s="1790"/>
    </row>
    <row r="21" spans="1:14" ht="19.5" customHeight="1" x14ac:dyDescent="0.2">
      <c r="A21" s="20" t="s">
        <v>7807</v>
      </c>
      <c r="B21" s="20" t="s">
        <v>358</v>
      </c>
      <c r="C21" s="2354"/>
      <c r="D21" s="481" t="s">
        <v>7967</v>
      </c>
      <c r="E21" s="448">
        <v>15</v>
      </c>
      <c r="F21" s="482" t="s">
        <v>747</v>
      </c>
      <c r="G21" s="1786"/>
      <c r="H21" s="1786"/>
      <c r="I21" s="1789"/>
      <c r="J21" s="1786"/>
      <c r="K21" s="1786"/>
      <c r="L21" s="1789"/>
      <c r="M21" s="1788"/>
      <c r="N21" s="1790"/>
    </row>
    <row r="22" spans="1:14" ht="19.5" customHeight="1" thickBot="1" x14ac:dyDescent="0.25">
      <c r="A22" s="20" t="s">
        <v>7846</v>
      </c>
      <c r="B22" s="20" t="s">
        <v>358</v>
      </c>
      <c r="C22" s="2376"/>
      <c r="D22" s="483" t="s">
        <v>7968</v>
      </c>
      <c r="E22" s="447">
        <v>16</v>
      </c>
      <c r="F22" s="476" t="s">
        <v>764</v>
      </c>
      <c r="G22" s="1776"/>
      <c r="H22" s="1773"/>
      <c r="I22" s="1773"/>
      <c r="J22" s="1776"/>
      <c r="K22" s="1773"/>
      <c r="L22" s="1773"/>
      <c r="M22" s="1776"/>
      <c r="N22" s="1774"/>
    </row>
    <row r="23" spans="1:14" ht="19.5" customHeight="1" thickTop="1" x14ac:dyDescent="0.2">
      <c r="A23" s="20" t="s">
        <v>7962</v>
      </c>
      <c r="B23" s="20" t="s">
        <v>368</v>
      </c>
      <c r="C23" s="2353" t="s">
        <v>368</v>
      </c>
      <c r="D23" s="477" t="s">
        <v>7964</v>
      </c>
      <c r="E23" s="448">
        <v>17</v>
      </c>
      <c r="F23" s="478" t="s">
        <v>7965</v>
      </c>
      <c r="G23" s="1787"/>
      <c r="H23" s="1787"/>
      <c r="I23" s="1787"/>
      <c r="J23" s="1787"/>
      <c r="K23" s="1787"/>
      <c r="L23" s="1787"/>
      <c r="M23" s="1789"/>
      <c r="N23" s="1775"/>
    </row>
    <row r="24" spans="1:14" ht="19.5" customHeight="1" x14ac:dyDescent="0.2">
      <c r="A24" s="20" t="s">
        <v>7966</v>
      </c>
      <c r="B24" s="20" t="s">
        <v>368</v>
      </c>
      <c r="C24" s="2354"/>
      <c r="D24" s="479" t="s">
        <v>7964</v>
      </c>
      <c r="E24" s="448">
        <v>18</v>
      </c>
      <c r="F24" s="480" t="s">
        <v>7863</v>
      </c>
      <c r="G24" s="1786"/>
      <c r="H24" s="1786"/>
      <c r="I24" s="1786"/>
      <c r="J24" s="1786"/>
      <c r="K24" s="1786"/>
      <c r="L24" s="1786"/>
      <c r="M24" s="1789"/>
      <c r="N24" s="1790"/>
    </row>
    <row r="25" spans="1:14" ht="19.5" customHeight="1" x14ac:dyDescent="0.2">
      <c r="A25" s="20" t="s">
        <v>7807</v>
      </c>
      <c r="B25" s="20" t="s">
        <v>368</v>
      </c>
      <c r="C25" s="2354"/>
      <c r="D25" s="481" t="s">
        <v>7967</v>
      </c>
      <c r="E25" s="448">
        <v>19</v>
      </c>
      <c r="F25" s="482" t="s">
        <v>747</v>
      </c>
      <c r="G25" s="1786"/>
      <c r="H25" s="1786"/>
      <c r="I25" s="1789"/>
      <c r="J25" s="1786"/>
      <c r="K25" s="1786"/>
      <c r="L25" s="1789"/>
      <c r="M25" s="1788"/>
      <c r="N25" s="1790"/>
    </row>
    <row r="26" spans="1:14" ht="19.5" customHeight="1" thickBot="1" x14ac:dyDescent="0.25">
      <c r="A26" s="20" t="s">
        <v>7846</v>
      </c>
      <c r="B26" s="20" t="s">
        <v>368</v>
      </c>
      <c r="C26" s="2376"/>
      <c r="D26" s="483" t="s">
        <v>7968</v>
      </c>
      <c r="E26" s="447">
        <v>20</v>
      </c>
      <c r="F26" s="476" t="s">
        <v>764</v>
      </c>
      <c r="G26" s="1776"/>
      <c r="H26" s="1773"/>
      <c r="I26" s="1773"/>
      <c r="J26" s="1776"/>
      <c r="K26" s="1773"/>
      <c r="L26" s="1773"/>
      <c r="M26" s="1776"/>
      <c r="N26" s="1774"/>
    </row>
    <row r="27" spans="1:14" ht="19.5" customHeight="1" thickTop="1" x14ac:dyDescent="0.2">
      <c r="A27" s="20" t="s">
        <v>7962</v>
      </c>
      <c r="B27" s="20" t="s">
        <v>377</v>
      </c>
      <c r="C27" s="2353" t="s">
        <v>7972</v>
      </c>
      <c r="D27" s="477" t="s">
        <v>7964</v>
      </c>
      <c r="E27" s="486">
        <v>21</v>
      </c>
      <c r="F27" s="478" t="s">
        <v>7965</v>
      </c>
      <c r="G27" s="1787"/>
      <c r="H27" s="1787"/>
      <c r="I27" s="1787"/>
      <c r="J27" s="1787"/>
      <c r="K27" s="1787"/>
      <c r="L27" s="1787"/>
      <c r="M27" s="1789"/>
      <c r="N27" s="1775"/>
    </row>
    <row r="28" spans="1:14" ht="19.5" customHeight="1" x14ac:dyDescent="0.2">
      <c r="A28" s="20" t="s">
        <v>7966</v>
      </c>
      <c r="B28" s="20" t="s">
        <v>377</v>
      </c>
      <c r="C28" s="2354"/>
      <c r="D28" s="479" t="s">
        <v>7964</v>
      </c>
      <c r="E28" s="486">
        <v>22</v>
      </c>
      <c r="F28" s="480" t="s">
        <v>7863</v>
      </c>
      <c r="G28" s="1786"/>
      <c r="H28" s="1786"/>
      <c r="I28" s="1786"/>
      <c r="J28" s="1786"/>
      <c r="K28" s="1786"/>
      <c r="L28" s="1786"/>
      <c r="M28" s="1789"/>
      <c r="N28" s="1790"/>
    </row>
    <row r="29" spans="1:14" ht="19.5" customHeight="1" x14ac:dyDescent="0.2">
      <c r="A29" s="20" t="s">
        <v>7807</v>
      </c>
      <c r="B29" s="20" t="s">
        <v>377</v>
      </c>
      <c r="C29" s="2354"/>
      <c r="D29" s="481" t="s">
        <v>7967</v>
      </c>
      <c r="E29" s="486">
        <v>23</v>
      </c>
      <c r="F29" s="482" t="s">
        <v>747</v>
      </c>
      <c r="G29" s="1786"/>
      <c r="H29" s="1786"/>
      <c r="I29" s="1789"/>
      <c r="J29" s="1786"/>
      <c r="K29" s="1786"/>
      <c r="L29" s="1789"/>
      <c r="M29" s="1788"/>
      <c r="N29" s="1790"/>
    </row>
    <row r="30" spans="1:14" ht="19.5" customHeight="1" thickBot="1" x14ac:dyDescent="0.25">
      <c r="A30" s="20" t="s">
        <v>7846</v>
      </c>
      <c r="B30" s="20" t="s">
        <v>377</v>
      </c>
      <c r="C30" s="2376"/>
      <c r="D30" s="483" t="s">
        <v>7968</v>
      </c>
      <c r="E30" s="450">
        <v>24</v>
      </c>
      <c r="F30" s="476" t="s">
        <v>764</v>
      </c>
      <c r="G30" s="1776"/>
      <c r="H30" s="1773"/>
      <c r="I30" s="1773"/>
      <c r="J30" s="1776"/>
      <c r="K30" s="1773"/>
      <c r="L30" s="1773"/>
      <c r="M30" s="1776"/>
      <c r="N30" s="1774"/>
    </row>
    <row r="31" spans="1:14" ht="19.5" customHeight="1" thickTop="1" x14ac:dyDescent="0.2">
      <c r="A31" s="20" t="s">
        <v>7962</v>
      </c>
      <c r="B31" s="20" t="s">
        <v>387</v>
      </c>
      <c r="C31" s="2353" t="s">
        <v>7973</v>
      </c>
      <c r="D31" s="477" t="s">
        <v>7964</v>
      </c>
      <c r="E31" s="486">
        <v>25</v>
      </c>
      <c r="F31" s="478" t="s">
        <v>7965</v>
      </c>
      <c r="G31" s="1787"/>
      <c r="H31" s="1787"/>
      <c r="I31" s="1787"/>
      <c r="J31" s="1787"/>
      <c r="K31" s="1787"/>
      <c r="L31" s="1787"/>
      <c r="M31" s="1789"/>
      <c r="N31" s="1775"/>
    </row>
    <row r="32" spans="1:14" ht="19.5" customHeight="1" x14ac:dyDescent="0.2">
      <c r="A32" s="20" t="s">
        <v>7966</v>
      </c>
      <c r="B32" s="20" t="s">
        <v>387</v>
      </c>
      <c r="C32" s="2354"/>
      <c r="D32" s="479" t="s">
        <v>7964</v>
      </c>
      <c r="E32" s="486">
        <v>26</v>
      </c>
      <c r="F32" s="480" t="s">
        <v>7863</v>
      </c>
      <c r="G32" s="1786"/>
      <c r="H32" s="1786"/>
      <c r="I32" s="1786"/>
      <c r="J32" s="1786"/>
      <c r="K32" s="1786"/>
      <c r="L32" s="1786"/>
      <c r="M32" s="1789"/>
      <c r="N32" s="1790"/>
    </row>
    <row r="33" spans="1:14" ht="19.5" customHeight="1" x14ac:dyDescent="0.2">
      <c r="A33" s="20" t="s">
        <v>7807</v>
      </c>
      <c r="B33" s="20" t="s">
        <v>387</v>
      </c>
      <c r="C33" s="2354"/>
      <c r="D33" s="481" t="s">
        <v>7967</v>
      </c>
      <c r="E33" s="486">
        <v>27</v>
      </c>
      <c r="F33" s="482" t="s">
        <v>747</v>
      </c>
      <c r="G33" s="1786"/>
      <c r="H33" s="1786"/>
      <c r="I33" s="1789"/>
      <c r="J33" s="1786"/>
      <c r="K33" s="1786"/>
      <c r="L33" s="1789"/>
      <c r="M33" s="1788"/>
      <c r="N33" s="1790"/>
    </row>
    <row r="34" spans="1:14" ht="19.5" customHeight="1" thickBot="1" x14ac:dyDescent="0.25">
      <c r="A34" s="20" t="s">
        <v>7846</v>
      </c>
      <c r="B34" s="20" t="s">
        <v>387</v>
      </c>
      <c r="C34" s="2376"/>
      <c r="D34" s="483" t="s">
        <v>7968</v>
      </c>
      <c r="E34" s="450">
        <v>28</v>
      </c>
      <c r="F34" s="476" t="s">
        <v>764</v>
      </c>
      <c r="G34" s="1776"/>
      <c r="H34" s="1773"/>
      <c r="I34" s="1773"/>
      <c r="J34" s="1776"/>
      <c r="K34" s="1773"/>
      <c r="L34" s="1773"/>
      <c r="M34" s="1776"/>
      <c r="N34" s="1774"/>
    </row>
    <row r="35" spans="1:14" ht="19.5" customHeight="1" thickTop="1" x14ac:dyDescent="0.2">
      <c r="A35" s="20" t="s">
        <v>7962</v>
      </c>
      <c r="B35" s="20" t="s">
        <v>397</v>
      </c>
      <c r="C35" s="2353" t="s">
        <v>7974</v>
      </c>
      <c r="D35" s="477" t="s">
        <v>7964</v>
      </c>
      <c r="E35" s="486">
        <v>29</v>
      </c>
      <c r="F35" s="478" t="s">
        <v>7965</v>
      </c>
      <c r="G35" s="1787"/>
      <c r="H35" s="1787"/>
      <c r="I35" s="1787"/>
      <c r="J35" s="1787"/>
      <c r="K35" s="1787"/>
      <c r="L35" s="1787"/>
      <c r="M35" s="1789"/>
      <c r="N35" s="1775"/>
    </row>
    <row r="36" spans="1:14" ht="19.5" customHeight="1" x14ac:dyDescent="0.2">
      <c r="A36" s="20" t="s">
        <v>7966</v>
      </c>
      <c r="B36" s="20" t="s">
        <v>397</v>
      </c>
      <c r="C36" s="2354"/>
      <c r="D36" s="479" t="s">
        <v>7964</v>
      </c>
      <c r="E36" s="486">
        <v>30</v>
      </c>
      <c r="F36" s="480" t="s">
        <v>7863</v>
      </c>
      <c r="G36" s="1786"/>
      <c r="H36" s="1786"/>
      <c r="I36" s="1786"/>
      <c r="J36" s="1786"/>
      <c r="K36" s="1786"/>
      <c r="L36" s="1786"/>
      <c r="M36" s="1789"/>
      <c r="N36" s="1790"/>
    </row>
    <row r="37" spans="1:14" ht="19.5" customHeight="1" x14ac:dyDescent="0.2">
      <c r="A37" s="20" t="s">
        <v>7807</v>
      </c>
      <c r="B37" s="20" t="s">
        <v>397</v>
      </c>
      <c r="C37" s="2354"/>
      <c r="D37" s="481" t="s">
        <v>7967</v>
      </c>
      <c r="E37" s="486">
        <v>31</v>
      </c>
      <c r="F37" s="482" t="s">
        <v>747</v>
      </c>
      <c r="G37" s="1786"/>
      <c r="H37" s="1786"/>
      <c r="I37" s="1789"/>
      <c r="J37" s="1786"/>
      <c r="K37" s="1786"/>
      <c r="L37" s="1789"/>
      <c r="M37" s="1788"/>
      <c r="N37" s="1790"/>
    </row>
    <row r="38" spans="1:14" ht="19.5" customHeight="1" thickBot="1" x14ac:dyDescent="0.25">
      <c r="A38" s="20" t="s">
        <v>7846</v>
      </c>
      <c r="B38" s="20" t="s">
        <v>397</v>
      </c>
      <c r="C38" s="2376"/>
      <c r="D38" s="483" t="s">
        <v>7968</v>
      </c>
      <c r="E38" s="450">
        <v>32</v>
      </c>
      <c r="F38" s="476" t="s">
        <v>764</v>
      </c>
      <c r="G38" s="1776"/>
      <c r="H38" s="1773"/>
      <c r="I38" s="1773"/>
      <c r="J38" s="1776"/>
      <c r="K38" s="1773"/>
      <c r="L38" s="1773"/>
      <c r="M38" s="1776"/>
      <c r="N38" s="1774"/>
    </row>
    <row r="39" spans="1:14" ht="19.5" customHeight="1" thickTop="1" x14ac:dyDescent="0.2">
      <c r="A39" s="20" t="s">
        <v>7962</v>
      </c>
      <c r="B39" s="20" t="s">
        <v>407</v>
      </c>
      <c r="C39" s="2353" t="s">
        <v>7975</v>
      </c>
      <c r="D39" s="477" t="s">
        <v>7964</v>
      </c>
      <c r="E39" s="486">
        <v>33</v>
      </c>
      <c r="F39" s="478" t="s">
        <v>7965</v>
      </c>
      <c r="G39" s="1787"/>
      <c r="H39" s="1787"/>
      <c r="I39" s="1787"/>
      <c r="J39" s="1787"/>
      <c r="K39" s="1787"/>
      <c r="L39" s="1787"/>
      <c r="M39" s="1789"/>
      <c r="N39" s="1775"/>
    </row>
    <row r="40" spans="1:14" ht="19.5" customHeight="1" x14ac:dyDescent="0.2">
      <c r="A40" s="20" t="s">
        <v>7966</v>
      </c>
      <c r="B40" s="20" t="s">
        <v>407</v>
      </c>
      <c r="C40" s="2354"/>
      <c r="D40" s="479" t="s">
        <v>7964</v>
      </c>
      <c r="E40" s="486">
        <v>34</v>
      </c>
      <c r="F40" s="480" t="s">
        <v>7863</v>
      </c>
      <c r="G40" s="1786"/>
      <c r="H40" s="1786"/>
      <c r="I40" s="1786"/>
      <c r="J40" s="1786"/>
      <c r="K40" s="1786"/>
      <c r="L40" s="1786"/>
      <c r="M40" s="1789"/>
      <c r="N40" s="1790"/>
    </row>
    <row r="41" spans="1:14" ht="19.5" customHeight="1" x14ac:dyDescent="0.2">
      <c r="A41" s="20" t="s">
        <v>7807</v>
      </c>
      <c r="B41" s="20" t="s">
        <v>407</v>
      </c>
      <c r="C41" s="2354"/>
      <c r="D41" s="481" t="s">
        <v>7967</v>
      </c>
      <c r="E41" s="486">
        <v>35</v>
      </c>
      <c r="F41" s="482" t="s">
        <v>747</v>
      </c>
      <c r="G41" s="1786"/>
      <c r="H41" s="1786"/>
      <c r="I41" s="1789"/>
      <c r="J41" s="1786"/>
      <c r="K41" s="1786"/>
      <c r="L41" s="1789"/>
      <c r="M41" s="1788"/>
      <c r="N41" s="1790"/>
    </row>
    <row r="42" spans="1:14" ht="19.5" customHeight="1" thickBot="1" x14ac:dyDescent="0.25">
      <c r="A42" s="20" t="s">
        <v>7846</v>
      </c>
      <c r="B42" s="20" t="s">
        <v>407</v>
      </c>
      <c r="C42" s="2376"/>
      <c r="D42" s="483" t="s">
        <v>7968</v>
      </c>
      <c r="E42" s="450">
        <v>36</v>
      </c>
      <c r="F42" s="476" t="s">
        <v>764</v>
      </c>
      <c r="G42" s="1776"/>
      <c r="H42" s="1773"/>
      <c r="I42" s="1773"/>
      <c r="J42" s="1776"/>
      <c r="K42" s="1773"/>
      <c r="L42" s="1773"/>
      <c r="M42" s="1776"/>
      <c r="N42" s="1774"/>
    </row>
    <row r="43" spans="1:14" ht="19.5" customHeight="1" thickTop="1" x14ac:dyDescent="0.2">
      <c r="A43" s="20" t="s">
        <v>7962</v>
      </c>
      <c r="B43" s="20" t="s">
        <v>418</v>
      </c>
      <c r="C43" s="2353" t="s">
        <v>418</v>
      </c>
      <c r="D43" s="477" t="s">
        <v>7964</v>
      </c>
      <c r="E43" s="486">
        <v>37</v>
      </c>
      <c r="F43" s="478" t="s">
        <v>7965</v>
      </c>
      <c r="G43" s="1787"/>
      <c r="H43" s="1787"/>
      <c r="I43" s="1787"/>
      <c r="J43" s="1787"/>
      <c r="K43" s="1787"/>
      <c r="L43" s="1787"/>
      <c r="M43" s="1789"/>
      <c r="N43" s="1775"/>
    </row>
    <row r="44" spans="1:14" ht="19.5" customHeight="1" x14ac:dyDescent="0.2">
      <c r="A44" s="20" t="s">
        <v>7966</v>
      </c>
      <c r="B44" s="20" t="s">
        <v>418</v>
      </c>
      <c r="C44" s="2354"/>
      <c r="D44" s="479" t="s">
        <v>7964</v>
      </c>
      <c r="E44" s="486">
        <v>38</v>
      </c>
      <c r="F44" s="480" t="s">
        <v>7863</v>
      </c>
      <c r="G44" s="1786"/>
      <c r="H44" s="1786"/>
      <c r="I44" s="1786"/>
      <c r="J44" s="1786"/>
      <c r="K44" s="1786"/>
      <c r="L44" s="1786"/>
      <c r="M44" s="1789"/>
      <c r="N44" s="1790"/>
    </row>
    <row r="45" spans="1:14" ht="19.5" customHeight="1" x14ac:dyDescent="0.2">
      <c r="A45" s="20" t="s">
        <v>7807</v>
      </c>
      <c r="B45" s="20" t="s">
        <v>418</v>
      </c>
      <c r="C45" s="2354"/>
      <c r="D45" s="481" t="s">
        <v>7967</v>
      </c>
      <c r="E45" s="486">
        <v>39</v>
      </c>
      <c r="F45" s="482" t="s">
        <v>747</v>
      </c>
      <c r="G45" s="1786"/>
      <c r="H45" s="1786"/>
      <c r="I45" s="1789"/>
      <c r="J45" s="1786"/>
      <c r="K45" s="1786"/>
      <c r="L45" s="1789"/>
      <c r="M45" s="1788"/>
      <c r="N45" s="1790"/>
    </row>
    <row r="46" spans="1:14" ht="19.5" customHeight="1" thickBot="1" x14ac:dyDescent="0.25">
      <c r="A46" s="20" t="s">
        <v>7846</v>
      </c>
      <c r="B46" s="20" t="s">
        <v>418</v>
      </c>
      <c r="C46" s="2376"/>
      <c r="D46" s="483" t="s">
        <v>7968</v>
      </c>
      <c r="E46" s="450">
        <v>40</v>
      </c>
      <c r="F46" s="476" t="s">
        <v>764</v>
      </c>
      <c r="G46" s="1776"/>
      <c r="H46" s="1773"/>
      <c r="I46" s="1773"/>
      <c r="J46" s="1776"/>
      <c r="K46" s="1773"/>
      <c r="L46" s="1773"/>
      <c r="M46" s="1776"/>
      <c r="N46" s="1774"/>
    </row>
    <row r="47" spans="1:14" ht="19.5" customHeight="1" thickTop="1" x14ac:dyDescent="0.2">
      <c r="A47" s="20" t="s">
        <v>7976</v>
      </c>
      <c r="B47" s="20" t="s">
        <v>428</v>
      </c>
      <c r="C47" s="2353" t="s">
        <v>7977</v>
      </c>
      <c r="D47" s="477" t="s">
        <v>7964</v>
      </c>
      <c r="E47" s="486">
        <v>41</v>
      </c>
      <c r="F47" s="484" t="s">
        <v>7978</v>
      </c>
      <c r="G47" s="1786"/>
      <c r="H47" s="1786"/>
      <c r="I47" s="1786"/>
      <c r="J47" s="1786"/>
      <c r="K47" s="1786"/>
      <c r="L47" s="1786"/>
      <c r="M47" s="1789"/>
      <c r="N47" s="1790"/>
    </row>
    <row r="48" spans="1:14" ht="19.5" customHeight="1" x14ac:dyDescent="0.2">
      <c r="A48" s="20" t="s">
        <v>7807</v>
      </c>
      <c r="B48" s="20" t="s">
        <v>428</v>
      </c>
      <c r="C48" s="2354"/>
      <c r="D48" s="481" t="s">
        <v>7967</v>
      </c>
      <c r="E48" s="486">
        <v>42</v>
      </c>
      <c r="F48" s="482" t="s">
        <v>747</v>
      </c>
      <c r="G48" s="1786"/>
      <c r="H48" s="1786"/>
      <c r="I48" s="1789"/>
      <c r="J48" s="1786"/>
      <c r="K48" s="1786"/>
      <c r="L48" s="1789"/>
      <c r="M48" s="1788"/>
      <c r="N48" s="1790"/>
    </row>
    <row r="49" spans="1:14" ht="19.5" customHeight="1" thickBot="1" x14ac:dyDescent="0.25">
      <c r="A49" s="20" t="s">
        <v>7846</v>
      </c>
      <c r="B49" s="20" t="s">
        <v>428</v>
      </c>
      <c r="C49" s="2376"/>
      <c r="D49" s="483" t="s">
        <v>7968</v>
      </c>
      <c r="E49" s="486">
        <v>43</v>
      </c>
      <c r="F49" s="476" t="s">
        <v>764</v>
      </c>
      <c r="G49" s="1776"/>
      <c r="H49" s="1773"/>
      <c r="I49" s="1773"/>
      <c r="J49" s="1776"/>
      <c r="K49" s="1773"/>
      <c r="L49" s="1773"/>
      <c r="M49" s="1776"/>
      <c r="N49" s="1774"/>
    </row>
    <row r="50" spans="1:14" ht="19.5" customHeight="1" thickTop="1" thickBot="1" x14ac:dyDescent="0.25">
      <c r="A50" s="20" t="s">
        <v>7976</v>
      </c>
      <c r="B50" s="20" t="s">
        <v>441</v>
      </c>
      <c r="C50" s="2353" t="s">
        <v>7979</v>
      </c>
      <c r="D50" s="477" t="s">
        <v>7964</v>
      </c>
      <c r="E50" s="450">
        <v>44</v>
      </c>
      <c r="F50" s="484" t="s">
        <v>7978</v>
      </c>
      <c r="G50" s="1786"/>
      <c r="H50" s="1786"/>
      <c r="I50" s="1786"/>
      <c r="J50" s="1786"/>
      <c r="K50" s="1786"/>
      <c r="L50" s="1786"/>
      <c r="M50" s="1789"/>
      <c r="N50" s="1790"/>
    </row>
    <row r="51" spans="1:14" ht="19.5" customHeight="1" thickTop="1" x14ac:dyDescent="0.2">
      <c r="A51" s="20" t="s">
        <v>7807</v>
      </c>
      <c r="B51" s="20" t="s">
        <v>441</v>
      </c>
      <c r="C51" s="2354"/>
      <c r="D51" s="481" t="s">
        <v>7967</v>
      </c>
      <c r="E51" s="486">
        <v>45</v>
      </c>
      <c r="F51" s="482" t="s">
        <v>747</v>
      </c>
      <c r="G51" s="1786"/>
      <c r="H51" s="1786"/>
      <c r="I51" s="1789"/>
      <c r="J51" s="1786"/>
      <c r="K51" s="1786"/>
      <c r="L51" s="1789"/>
      <c r="M51" s="1788"/>
      <c r="N51" s="1790"/>
    </row>
    <row r="52" spans="1:14" ht="19.5" customHeight="1" thickBot="1" x14ac:dyDescent="0.25">
      <c r="A52" s="20" t="s">
        <v>7846</v>
      </c>
      <c r="B52" s="20" t="s">
        <v>441</v>
      </c>
      <c r="C52" s="2376"/>
      <c r="D52" s="483" t="s">
        <v>7968</v>
      </c>
      <c r="E52" s="486">
        <v>46</v>
      </c>
      <c r="F52" s="476" t="s">
        <v>764</v>
      </c>
      <c r="G52" s="1776"/>
      <c r="H52" s="1773"/>
      <c r="I52" s="1773"/>
      <c r="J52" s="1776"/>
      <c r="K52" s="1773"/>
      <c r="L52" s="1773"/>
      <c r="M52" s="1776"/>
      <c r="N52" s="1774"/>
    </row>
    <row r="53" spans="1:14" ht="19.5" customHeight="1" thickTop="1" thickBot="1" x14ac:dyDescent="0.25">
      <c r="A53" s="20" t="s">
        <v>7976</v>
      </c>
      <c r="B53" s="20" t="s">
        <v>448</v>
      </c>
      <c r="C53" s="2353" t="s">
        <v>7980</v>
      </c>
      <c r="D53" s="477" t="s">
        <v>7964</v>
      </c>
      <c r="E53" s="450">
        <v>47</v>
      </c>
      <c r="F53" s="484" t="s">
        <v>7978</v>
      </c>
      <c r="G53" s="1786"/>
      <c r="H53" s="1786"/>
      <c r="I53" s="1786"/>
      <c r="J53" s="1786"/>
      <c r="K53" s="1786"/>
      <c r="L53" s="1786"/>
      <c r="M53" s="1789"/>
      <c r="N53" s="1790"/>
    </row>
    <row r="54" spans="1:14" ht="19.5" customHeight="1" thickTop="1" x14ac:dyDescent="0.2">
      <c r="A54" s="20" t="s">
        <v>7807</v>
      </c>
      <c r="B54" s="20" t="s">
        <v>448</v>
      </c>
      <c r="C54" s="2354"/>
      <c r="D54" s="481" t="s">
        <v>7967</v>
      </c>
      <c r="E54" s="486">
        <v>48</v>
      </c>
      <c r="F54" s="482" t="s">
        <v>747</v>
      </c>
      <c r="G54" s="1786"/>
      <c r="H54" s="1786"/>
      <c r="I54" s="1789"/>
      <c r="J54" s="1786"/>
      <c r="K54" s="1786"/>
      <c r="L54" s="1789"/>
      <c r="M54" s="1788"/>
      <c r="N54" s="1790"/>
    </row>
    <row r="55" spans="1:14" ht="19.5" customHeight="1" thickBot="1" x14ac:dyDescent="0.25">
      <c r="A55" s="20" t="s">
        <v>7846</v>
      </c>
      <c r="B55" s="20" t="s">
        <v>448</v>
      </c>
      <c r="C55" s="2376"/>
      <c r="D55" s="483" t="s">
        <v>7968</v>
      </c>
      <c r="E55" s="486">
        <v>49</v>
      </c>
      <c r="F55" s="476" t="s">
        <v>764</v>
      </c>
      <c r="G55" s="1776"/>
      <c r="H55" s="1773"/>
      <c r="I55" s="1773"/>
      <c r="J55" s="1776"/>
      <c r="K55" s="1773"/>
      <c r="L55" s="1773"/>
      <c r="M55" s="1776"/>
      <c r="N55" s="1774"/>
    </row>
    <row r="56" spans="1:14" ht="19.5" customHeight="1" thickTop="1" thickBot="1" x14ac:dyDescent="0.25">
      <c r="A56" s="20" t="s">
        <v>7976</v>
      </c>
      <c r="B56" s="230" t="s">
        <v>455</v>
      </c>
      <c r="C56" s="2353" t="s">
        <v>7981</v>
      </c>
      <c r="D56" s="477" t="s">
        <v>7964</v>
      </c>
      <c r="E56" s="450">
        <v>50</v>
      </c>
      <c r="F56" s="484" t="s">
        <v>7978</v>
      </c>
      <c r="G56" s="1786"/>
      <c r="H56" s="1786"/>
      <c r="I56" s="1786"/>
      <c r="J56" s="1786"/>
      <c r="K56" s="1786"/>
      <c r="L56" s="1786"/>
      <c r="M56" s="1789"/>
      <c r="N56" s="1790"/>
    </row>
    <row r="57" spans="1:14" ht="19.5" customHeight="1" thickTop="1" x14ac:dyDescent="0.2">
      <c r="A57" s="20" t="s">
        <v>7807</v>
      </c>
      <c r="B57" s="230" t="s">
        <v>455</v>
      </c>
      <c r="C57" s="2354"/>
      <c r="D57" s="481" t="s">
        <v>7967</v>
      </c>
      <c r="E57" s="486">
        <v>51</v>
      </c>
      <c r="F57" s="482" t="s">
        <v>747</v>
      </c>
      <c r="G57" s="1786"/>
      <c r="H57" s="1786"/>
      <c r="I57" s="1789"/>
      <c r="J57" s="1786"/>
      <c r="K57" s="1786"/>
      <c r="L57" s="1789"/>
      <c r="M57" s="1788"/>
      <c r="N57" s="1790"/>
    </row>
    <row r="58" spans="1:14" ht="19.5" customHeight="1" thickBot="1" x14ac:dyDescent="0.25">
      <c r="A58" s="20" t="s">
        <v>7846</v>
      </c>
      <c r="B58" s="230" t="s">
        <v>455</v>
      </c>
      <c r="C58" s="2376"/>
      <c r="D58" s="483" t="s">
        <v>7968</v>
      </c>
      <c r="E58" s="486">
        <v>52</v>
      </c>
      <c r="F58" s="476" t="s">
        <v>764</v>
      </c>
      <c r="G58" s="1776"/>
      <c r="H58" s="1773"/>
      <c r="I58" s="1773"/>
      <c r="J58" s="1776"/>
      <c r="K58" s="1773"/>
      <c r="L58" s="1773"/>
      <c r="M58" s="1776"/>
      <c r="N58" s="1774"/>
    </row>
    <row r="59" spans="1:14" ht="19.5" customHeight="1" thickTop="1" thickBot="1" x14ac:dyDescent="0.25">
      <c r="A59" s="20" t="s">
        <v>7962</v>
      </c>
      <c r="B59" s="20" t="s">
        <v>469</v>
      </c>
      <c r="C59" s="2377" t="s">
        <v>469</v>
      </c>
      <c r="D59" s="477" t="s">
        <v>7964</v>
      </c>
      <c r="E59" s="450">
        <v>53</v>
      </c>
      <c r="F59" s="478" t="s">
        <v>7965</v>
      </c>
      <c r="G59" s="1787"/>
      <c r="H59" s="1787"/>
      <c r="I59" s="1787"/>
      <c r="J59" s="1787"/>
      <c r="K59" s="1787"/>
      <c r="L59" s="1787"/>
      <c r="M59" s="1789"/>
      <c r="N59" s="1775"/>
    </row>
    <row r="60" spans="1:14" ht="19.5" customHeight="1" thickTop="1" x14ac:dyDescent="0.2">
      <c r="A60" s="20" t="s">
        <v>7966</v>
      </c>
      <c r="B60" s="20" t="s">
        <v>469</v>
      </c>
      <c r="C60" s="2378"/>
      <c r="D60" s="479" t="s">
        <v>7964</v>
      </c>
      <c r="E60" s="486">
        <v>54</v>
      </c>
      <c r="F60" s="479" t="s">
        <v>7863</v>
      </c>
      <c r="G60" s="1786"/>
      <c r="H60" s="1786"/>
      <c r="I60" s="1786"/>
      <c r="J60" s="1786"/>
      <c r="K60" s="1786"/>
      <c r="L60" s="1786"/>
      <c r="M60" s="1789"/>
      <c r="N60" s="1790"/>
    </row>
    <row r="61" spans="1:14" ht="19.5" customHeight="1" x14ac:dyDescent="0.2">
      <c r="A61" s="20" t="s">
        <v>7807</v>
      </c>
      <c r="B61" s="20" t="s">
        <v>469</v>
      </c>
      <c r="C61" s="2378"/>
      <c r="D61" s="481" t="s">
        <v>7967</v>
      </c>
      <c r="E61" s="486">
        <v>55</v>
      </c>
      <c r="F61" s="482" t="s">
        <v>747</v>
      </c>
      <c r="G61" s="1786"/>
      <c r="H61" s="1786"/>
      <c r="I61" s="1789"/>
      <c r="J61" s="1786"/>
      <c r="K61" s="1786"/>
      <c r="L61" s="1789"/>
      <c r="M61" s="1788"/>
      <c r="N61" s="1790"/>
    </row>
    <row r="62" spans="1:14" ht="19.5" customHeight="1" thickBot="1" x14ac:dyDescent="0.25">
      <c r="A62" s="20" t="s">
        <v>7846</v>
      </c>
      <c r="B62" s="20" t="s">
        <v>469</v>
      </c>
      <c r="C62" s="2379"/>
      <c r="D62" s="483" t="s">
        <v>7968</v>
      </c>
      <c r="E62" s="450">
        <v>56</v>
      </c>
      <c r="F62" s="476" t="s">
        <v>764</v>
      </c>
      <c r="G62" s="1776"/>
      <c r="H62" s="1773"/>
      <c r="I62" s="1773"/>
      <c r="J62" s="1776"/>
      <c r="K62" s="1773"/>
      <c r="L62" s="1773"/>
      <c r="M62" s="1776"/>
      <c r="N62" s="1774"/>
    </row>
    <row r="63" spans="1:14" ht="20.100000000000001" customHeight="1" thickTop="1" x14ac:dyDescent="0.2">
      <c r="A63" s="230" t="s">
        <v>7962</v>
      </c>
      <c r="B63" s="230" t="s">
        <v>476</v>
      </c>
      <c r="C63" s="2377" t="s">
        <v>7982</v>
      </c>
      <c r="D63" s="477" t="s">
        <v>7964</v>
      </c>
      <c r="E63" s="486">
        <v>61</v>
      </c>
      <c r="F63" s="487" t="s">
        <v>7965</v>
      </c>
      <c r="G63" s="1787"/>
      <c r="H63" s="1787"/>
      <c r="I63" s="1787"/>
      <c r="J63" s="1787"/>
      <c r="K63" s="1787"/>
      <c r="L63" s="1787"/>
      <c r="M63" s="1789"/>
      <c r="N63" s="1775"/>
    </row>
    <row r="64" spans="1:14" ht="20.100000000000001" customHeight="1" x14ac:dyDescent="0.2">
      <c r="A64" s="230" t="s">
        <v>7966</v>
      </c>
      <c r="B64" s="230" t="s">
        <v>476</v>
      </c>
      <c r="C64" s="2378"/>
      <c r="D64" s="479" t="s">
        <v>7964</v>
      </c>
      <c r="E64" s="486">
        <v>62</v>
      </c>
      <c r="F64" s="479" t="s">
        <v>7863</v>
      </c>
      <c r="G64" s="1786"/>
      <c r="H64" s="1786"/>
      <c r="I64" s="1786"/>
      <c r="J64" s="1786"/>
      <c r="K64" s="1786"/>
      <c r="L64" s="1786"/>
      <c r="M64" s="1789"/>
      <c r="N64" s="1790"/>
    </row>
    <row r="65" spans="1:14" ht="12" customHeight="1" x14ac:dyDescent="0.2">
      <c r="A65" s="230" t="s">
        <v>7807</v>
      </c>
      <c r="B65" s="230" t="s">
        <v>476</v>
      </c>
      <c r="C65" s="2378"/>
      <c r="D65" s="481" t="s">
        <v>7967</v>
      </c>
      <c r="E65" s="486">
        <v>63</v>
      </c>
      <c r="F65" s="488" t="s">
        <v>747</v>
      </c>
      <c r="G65" s="1786"/>
      <c r="H65" s="1786"/>
      <c r="I65" s="1789"/>
      <c r="J65" s="1786"/>
      <c r="K65" s="1786"/>
      <c r="L65" s="1789"/>
      <c r="M65" s="1788"/>
      <c r="N65" s="1790"/>
    </row>
    <row r="66" spans="1:14" ht="13.5" thickBot="1" x14ac:dyDescent="0.25">
      <c r="A66" s="230" t="s">
        <v>7846</v>
      </c>
      <c r="B66" s="230" t="s">
        <v>476</v>
      </c>
      <c r="C66" s="2379"/>
      <c r="D66" s="483" t="s">
        <v>7968</v>
      </c>
      <c r="E66" s="450">
        <v>64</v>
      </c>
      <c r="F66" s="489" t="s">
        <v>764</v>
      </c>
      <c r="G66" s="1776"/>
      <c r="H66" s="1773"/>
      <c r="I66" s="1773"/>
      <c r="J66" s="1776"/>
      <c r="K66" s="1773"/>
      <c r="L66" s="1773"/>
      <c r="M66" s="1776"/>
      <c r="N66" s="1774"/>
    </row>
    <row r="67" spans="1:14" ht="19.5" customHeight="1" thickTop="1" x14ac:dyDescent="0.2">
      <c r="A67" s="230" t="s">
        <v>7962</v>
      </c>
      <c r="B67" s="230" t="s">
        <v>483</v>
      </c>
      <c r="C67" s="2353" t="s">
        <v>7983</v>
      </c>
      <c r="D67" s="477" t="s">
        <v>7964</v>
      </c>
      <c r="E67" s="486">
        <v>57</v>
      </c>
      <c r="F67" s="487" t="s">
        <v>7965</v>
      </c>
      <c r="G67" s="1787"/>
      <c r="H67" s="1787"/>
      <c r="I67" s="1787"/>
      <c r="J67" s="1787"/>
      <c r="K67" s="1787"/>
      <c r="L67" s="1787"/>
      <c r="M67" s="1789"/>
      <c r="N67" s="1775"/>
    </row>
    <row r="68" spans="1:14" ht="19.5" customHeight="1" x14ac:dyDescent="0.2">
      <c r="A68" s="230" t="s">
        <v>7966</v>
      </c>
      <c r="B68" s="230" t="s">
        <v>483</v>
      </c>
      <c r="C68" s="2354"/>
      <c r="D68" s="479" t="s">
        <v>7964</v>
      </c>
      <c r="E68" s="486">
        <v>58</v>
      </c>
      <c r="F68" s="479" t="s">
        <v>7863</v>
      </c>
      <c r="G68" s="1786"/>
      <c r="H68" s="1786"/>
      <c r="I68" s="1786"/>
      <c r="J68" s="1786"/>
      <c r="K68" s="1786"/>
      <c r="L68" s="1786"/>
      <c r="M68" s="1789"/>
      <c r="N68" s="1790"/>
    </row>
    <row r="69" spans="1:14" x14ac:dyDescent="0.2">
      <c r="A69" s="230" t="s">
        <v>7807</v>
      </c>
      <c r="B69" s="230" t="s">
        <v>483</v>
      </c>
      <c r="C69" s="2354"/>
      <c r="D69" s="481" t="s">
        <v>7967</v>
      </c>
      <c r="E69" s="486">
        <v>59</v>
      </c>
      <c r="F69" s="488" t="s">
        <v>747</v>
      </c>
      <c r="G69" s="1786"/>
      <c r="H69" s="1786"/>
      <c r="I69" s="1789"/>
      <c r="J69" s="1786"/>
      <c r="K69" s="1786"/>
      <c r="L69" s="1789"/>
      <c r="M69" s="1788"/>
      <c r="N69" s="1790"/>
    </row>
    <row r="70" spans="1:14" ht="13.5" thickBot="1" x14ac:dyDescent="0.25">
      <c r="A70" s="230" t="s">
        <v>7846</v>
      </c>
      <c r="B70" s="230" t="s">
        <v>483</v>
      </c>
      <c r="C70" s="2376"/>
      <c r="D70" s="483" t="s">
        <v>7968</v>
      </c>
      <c r="E70" s="450">
        <v>60</v>
      </c>
      <c r="F70" s="489" t="s">
        <v>764</v>
      </c>
      <c r="G70" s="1776"/>
      <c r="H70" s="1773"/>
      <c r="I70" s="1773"/>
      <c r="J70" s="1776"/>
      <c r="K70" s="1773"/>
      <c r="L70" s="1773"/>
      <c r="M70" s="1776"/>
      <c r="N70" s="1774"/>
    </row>
    <row r="71" spans="1:14" ht="14.25" thickTop="1" thickBot="1" x14ac:dyDescent="0.25">
      <c r="C71" s="32"/>
      <c r="D71" s="32"/>
      <c r="E71" s="457"/>
      <c r="F71" s="457"/>
      <c r="G71" s="457"/>
      <c r="H71" s="457"/>
      <c r="I71" s="457"/>
      <c r="J71" s="457"/>
      <c r="K71" s="457"/>
      <c r="L71" s="457"/>
      <c r="M71" s="457"/>
      <c r="N71" s="373"/>
    </row>
    <row r="72" spans="1:14" ht="14.25" thickTop="1" thickBot="1" x14ac:dyDescent="0.25">
      <c r="C72" s="473" t="s">
        <v>7921</v>
      </c>
      <c r="D72" s="466"/>
      <c r="E72" s="458"/>
      <c r="F72" s="458"/>
      <c r="G72" s="453"/>
      <c r="H72" s="453"/>
      <c r="I72" s="453"/>
      <c r="J72" s="453"/>
      <c r="K72" s="453"/>
      <c r="L72" s="453"/>
      <c r="M72" s="453"/>
      <c r="N72" s="454"/>
    </row>
    <row r="73" spans="1:14" ht="13.5" thickTop="1" x14ac:dyDescent="0.2">
      <c r="C73" s="460"/>
      <c r="D73" s="460"/>
      <c r="E73" s="373"/>
      <c r="F73" s="373"/>
      <c r="G73" s="373"/>
      <c r="H73" s="373"/>
      <c r="I73" s="373"/>
      <c r="J73" s="373"/>
      <c r="K73" s="373"/>
      <c r="L73" s="373"/>
      <c r="M73" s="373"/>
      <c r="N73" s="373"/>
    </row>
    <row r="74" spans="1:14" ht="13.5" thickBot="1" x14ac:dyDescent="0.25"/>
    <row r="75" spans="1:14" ht="13.5" thickTop="1" x14ac:dyDescent="0.2">
      <c r="A75" s="373" t="s">
        <v>7807</v>
      </c>
      <c r="B75" s="221" t="s">
        <v>7984</v>
      </c>
      <c r="C75" s="467" t="s">
        <v>7800</v>
      </c>
      <c r="D75" s="481" t="s">
        <v>7967</v>
      </c>
      <c r="E75" s="474">
        <v>65</v>
      </c>
      <c r="F75" s="475" t="s">
        <v>747</v>
      </c>
      <c r="G75" s="1777"/>
      <c r="H75" s="1777"/>
      <c r="I75" s="1778"/>
      <c r="J75" s="1777"/>
      <c r="K75" s="1777"/>
      <c r="L75" s="1778"/>
      <c r="M75" s="1777"/>
      <c r="N75" s="1775"/>
    </row>
    <row r="76" spans="1:14" ht="13.5" thickBot="1" x14ac:dyDescent="0.25">
      <c r="A76" s="472" t="s">
        <v>7846</v>
      </c>
      <c r="B76" s="490" t="s">
        <v>7984</v>
      </c>
      <c r="C76" s="468"/>
      <c r="D76" s="483" t="s">
        <v>7968</v>
      </c>
      <c r="E76" s="451">
        <v>66</v>
      </c>
      <c r="F76" s="476" t="s">
        <v>764</v>
      </c>
      <c r="G76" s="1776"/>
      <c r="H76" s="1779"/>
      <c r="I76" s="1779"/>
      <c r="J76" s="1776"/>
      <c r="K76" s="1779"/>
      <c r="L76" s="1779"/>
      <c r="M76" s="1776"/>
      <c r="N76" s="1774"/>
    </row>
    <row r="77" spans="1:14" ht="13.5" thickTop="1" x14ac:dyDescent="0.2"/>
    <row r="78" spans="1:14" x14ac:dyDescent="0.2">
      <c r="J78" s="452"/>
    </row>
  </sheetData>
  <mergeCells count="17">
    <mergeCell ref="C7:C10"/>
    <mergeCell ref="C11:C14"/>
    <mergeCell ref="C15:C18"/>
    <mergeCell ref="C19:C22"/>
    <mergeCell ref="C63:C66"/>
    <mergeCell ref="C50:C52"/>
    <mergeCell ref="C53:C55"/>
    <mergeCell ref="C31:C34"/>
    <mergeCell ref="C23:C26"/>
    <mergeCell ref="C47:C49"/>
    <mergeCell ref="C56:C58"/>
    <mergeCell ref="C59:C62"/>
    <mergeCell ref="C35:C38"/>
    <mergeCell ref="C39:C42"/>
    <mergeCell ref="C43:C46"/>
    <mergeCell ref="C67:C70"/>
    <mergeCell ref="C27:C30"/>
  </mergeCells>
  <phoneticPr fontId="0" type="noConversion"/>
  <dataValidations count="1">
    <dataValidation type="decimal" operator="greaterThanOrEqual" allowBlank="1" showInputMessage="1" showErrorMessage="1" error="Positive whole numbers only / Nombres entiers positifs uniquement" sqref="K62:L62 J61:K61 H62:I62 G61:H61 G59:L60 K58:L58 G47:L47 G43:L44 G33:H33 H34:I34 J33:K33 K34:L34 G35:L36 G37:H37 H38:I38 J37:K37 K38:L38 G41:H41 H42:I42 J41:K41 K42:L42 G45:H45 H46:I46 J45:K45 K46:L46 G48:H48 H49:I49 J48:K48 K49:L49 G51:H51 H52:I52 J51:K51 K52:L52 G53:L53 G54:H54 H55:I55 J54:K54 K55:L55 G56:L56 G57:H57 G50:L50 J57:K57 G27:L28 G29:H29 H30:I30 J29:K29 K30:L30 G31:L32 H58:I58 G39:L40 K26:L26 J25:K25 H26:I26 G25:H25 G23:L24 K22:L22 J21:K21 H22:I22 G21:H21 G19:L20 K18:L18 J17:K17 H18:I18 G17:H17 G15:L16 K14:L14 J13:K13 H14:I14 G13:H13 G11:L12 K10:L10 J9:K9 H10:I10 G9:H9 G7:L8" xr:uid="{00000000-0002-0000-2100-000000000000}">
      <formula1>0</formula1>
    </dataValidation>
  </dataValidations>
  <pageMargins left="0.75" right="0.75" top="1" bottom="1" header="0.5" footer="0.5"/>
  <pageSetup paperSize="9" orientation="portrait" r:id="rId1"/>
  <headerFooter alignWithMargins="0"/>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2">
    <tabColor theme="4"/>
  </sheetPr>
  <dimension ref="A1:N61"/>
  <sheetViews>
    <sheetView workbookViewId="0">
      <pane xSplit="6" ySplit="6" topLeftCell="G37" activePane="bottomRight" state="frozen"/>
      <selection pane="topRight"/>
      <selection pane="bottomLeft"/>
      <selection pane="bottomRight" activeCell="C4" sqref="C4"/>
    </sheetView>
  </sheetViews>
  <sheetFormatPr defaultRowHeight="12.75" x14ac:dyDescent="0.2"/>
  <cols>
    <col min="1" max="2" width="10.140625" hidden="1" customWidth="1"/>
    <col min="3" max="3" width="18.7109375" customWidth="1"/>
    <col min="4" max="4" width="8.5703125" customWidth="1"/>
    <col min="5" max="5" width="3" customWidth="1"/>
    <col min="6" max="6" width="6.7109375" customWidth="1"/>
    <col min="7" max="14" width="13.85546875" customWidth="1"/>
    <col min="27" max="27" width="26.7109375" customWidth="1"/>
    <col min="28" max="28" width="10.7109375" customWidth="1"/>
    <col min="29" max="30" width="2.7109375" customWidth="1"/>
    <col min="53" max="53" width="33.85546875" customWidth="1"/>
    <col min="54" max="54" width="10.42578125" customWidth="1"/>
    <col min="55" max="56" width="4.140625" customWidth="1"/>
  </cols>
  <sheetData>
    <row r="1" spans="1:14" ht="30" customHeight="1" x14ac:dyDescent="0.2">
      <c r="A1" s="8"/>
      <c r="B1" s="8"/>
      <c r="C1" s="437" t="s">
        <v>7985</v>
      </c>
      <c r="D1" s="469"/>
      <c r="E1" s="470"/>
      <c r="F1" s="470"/>
      <c r="G1" s="470"/>
      <c r="H1" s="470"/>
      <c r="I1" s="470"/>
      <c r="J1" s="470"/>
      <c r="K1" s="470"/>
      <c r="L1" s="470"/>
      <c r="M1" s="470"/>
      <c r="N1" s="470"/>
    </row>
    <row r="2" spans="1:14" ht="12.75" customHeight="1" x14ac:dyDescent="0.2">
      <c r="A2" s="440" t="s">
        <v>7909</v>
      </c>
      <c r="C2" s="444"/>
      <c r="D2" s="427"/>
      <c r="E2" s="426"/>
      <c r="F2" s="426"/>
      <c r="G2" s="449" t="s">
        <v>940</v>
      </c>
      <c r="H2" s="449" t="s">
        <v>954</v>
      </c>
      <c r="I2" s="449" t="s">
        <v>968</v>
      </c>
      <c r="J2" s="449" t="s">
        <v>947</v>
      </c>
      <c r="K2" s="449" t="s">
        <v>961</v>
      </c>
      <c r="L2" s="449" t="s">
        <v>975</v>
      </c>
      <c r="M2" s="449" t="s">
        <v>7800</v>
      </c>
      <c r="N2" s="449" t="s">
        <v>7800</v>
      </c>
    </row>
    <row r="3" spans="1:14" ht="21" customHeight="1" thickBot="1" x14ac:dyDescent="0.25">
      <c r="A3" s="441" t="s">
        <v>7797</v>
      </c>
      <c r="B3" s="20" t="s">
        <v>7356</v>
      </c>
      <c r="C3" s="442" t="str">
        <f>CountryName</f>
        <v>South Africa</v>
      </c>
      <c r="D3" s="427"/>
      <c r="E3" s="426"/>
      <c r="F3" s="426"/>
      <c r="G3" s="20"/>
      <c r="H3" s="20"/>
      <c r="I3" s="20"/>
      <c r="J3" s="20"/>
      <c r="K3" s="20"/>
      <c r="L3" s="20"/>
      <c r="M3" s="20"/>
      <c r="N3" s="20"/>
    </row>
    <row r="4" spans="1:14" ht="20.100000000000001" customHeight="1" thickTop="1" x14ac:dyDescent="0.2">
      <c r="C4" s="2054">
        <f>DataYear</f>
        <v>2019</v>
      </c>
      <c r="D4" s="461"/>
      <c r="E4" s="425"/>
      <c r="F4" s="425"/>
      <c r="G4" s="428" t="s">
        <v>7958</v>
      </c>
      <c r="H4" s="432"/>
      <c r="I4" s="433"/>
      <c r="J4" s="429" t="s">
        <v>7959</v>
      </c>
      <c r="K4" s="432"/>
      <c r="L4" s="432"/>
      <c r="M4" s="428" t="s">
        <v>7800</v>
      </c>
      <c r="N4" s="434"/>
    </row>
    <row r="5" spans="1:14" ht="20.100000000000001" customHeight="1" x14ac:dyDescent="0.2">
      <c r="A5" s="242" t="s">
        <v>7910</v>
      </c>
      <c r="B5" s="439" t="s">
        <v>1483</v>
      </c>
      <c r="C5" s="435"/>
      <c r="D5" s="462"/>
      <c r="E5" s="436"/>
      <c r="F5" s="436"/>
      <c r="G5" s="431" t="s">
        <v>7801</v>
      </c>
      <c r="H5" s="430" t="s">
        <v>7802</v>
      </c>
      <c r="I5" s="430" t="s">
        <v>830</v>
      </c>
      <c r="J5" s="430" t="s">
        <v>7801</v>
      </c>
      <c r="K5" s="430" t="s">
        <v>7802</v>
      </c>
      <c r="L5" s="430" t="s">
        <v>830</v>
      </c>
      <c r="M5" s="430" t="s">
        <v>7801</v>
      </c>
      <c r="N5" s="485" t="s">
        <v>830</v>
      </c>
    </row>
    <row r="6" spans="1:14" ht="19.5" customHeight="1" thickBot="1" x14ac:dyDescent="0.25">
      <c r="A6" s="438"/>
      <c r="B6" s="471"/>
      <c r="C6" s="455" t="s">
        <v>7960</v>
      </c>
      <c r="D6" s="463"/>
      <c r="E6" s="464"/>
      <c r="F6" s="456" t="s">
        <v>7961</v>
      </c>
      <c r="G6" s="459" t="s">
        <v>7239</v>
      </c>
      <c r="H6" s="459" t="s">
        <v>7240</v>
      </c>
      <c r="I6" s="459" t="s">
        <v>7241</v>
      </c>
      <c r="J6" s="459" t="s">
        <v>7242</v>
      </c>
      <c r="K6" s="459" t="s">
        <v>7243</v>
      </c>
      <c r="L6" s="459" t="s">
        <v>7244</v>
      </c>
      <c r="M6" s="445" t="s">
        <v>7245</v>
      </c>
      <c r="N6" s="465" t="s">
        <v>7246</v>
      </c>
    </row>
    <row r="7" spans="1:14" ht="19.5" customHeight="1" thickTop="1" x14ac:dyDescent="0.2">
      <c r="A7" s="20" t="s">
        <v>7962</v>
      </c>
      <c r="B7" s="20" t="s">
        <v>493</v>
      </c>
      <c r="C7" s="2353" t="s">
        <v>7986</v>
      </c>
      <c r="D7" s="477" t="s">
        <v>7964</v>
      </c>
      <c r="E7" s="448">
        <v>1</v>
      </c>
      <c r="F7" s="478" t="s">
        <v>7965</v>
      </c>
      <c r="G7" s="1892"/>
      <c r="H7" s="1892"/>
      <c r="I7" s="1892"/>
      <c r="J7" s="1892"/>
      <c r="K7" s="1892"/>
      <c r="L7" s="1892"/>
      <c r="M7" s="1893"/>
      <c r="N7" s="1894"/>
    </row>
    <row r="8" spans="1:14" ht="19.5" customHeight="1" x14ac:dyDescent="0.2">
      <c r="A8" s="20" t="s">
        <v>7966</v>
      </c>
      <c r="B8" s="20" t="s">
        <v>493</v>
      </c>
      <c r="C8" s="2354"/>
      <c r="D8" s="479" t="s">
        <v>7964</v>
      </c>
      <c r="E8" s="448">
        <v>2</v>
      </c>
      <c r="F8" s="480" t="s">
        <v>7863</v>
      </c>
      <c r="G8" s="1895"/>
      <c r="H8" s="1895"/>
      <c r="I8" s="1895"/>
      <c r="J8" s="1895"/>
      <c r="K8" s="1895"/>
      <c r="L8" s="1895"/>
      <c r="M8" s="1893"/>
      <c r="N8" s="1896"/>
    </row>
    <row r="9" spans="1:14" ht="19.5" customHeight="1" x14ac:dyDescent="0.2">
      <c r="A9" s="20" t="s">
        <v>7807</v>
      </c>
      <c r="B9" s="20" t="s">
        <v>493</v>
      </c>
      <c r="C9" s="2354"/>
      <c r="D9" s="481" t="s">
        <v>7967</v>
      </c>
      <c r="E9" s="448">
        <v>3</v>
      </c>
      <c r="F9" s="482" t="s">
        <v>747</v>
      </c>
      <c r="G9" s="1895"/>
      <c r="H9" s="1895"/>
      <c r="I9" s="1893"/>
      <c r="J9" s="1895"/>
      <c r="K9" s="1895"/>
      <c r="L9" s="1893"/>
      <c r="M9" s="1897"/>
      <c r="N9" s="1896"/>
    </row>
    <row r="10" spans="1:14" ht="19.5" customHeight="1" thickBot="1" x14ac:dyDescent="0.25">
      <c r="A10" s="20" t="s">
        <v>7846</v>
      </c>
      <c r="B10" s="20" t="s">
        <v>493</v>
      </c>
      <c r="C10" s="2376"/>
      <c r="D10" s="483" t="s">
        <v>7968</v>
      </c>
      <c r="E10" s="447">
        <v>4</v>
      </c>
      <c r="F10" s="476" t="s">
        <v>764</v>
      </c>
      <c r="G10" s="1898"/>
      <c r="H10" s="1899"/>
      <c r="I10" s="1899"/>
      <c r="J10" s="1898"/>
      <c r="K10" s="1899"/>
      <c r="L10" s="1899"/>
      <c r="M10" s="1898"/>
      <c r="N10" s="1900"/>
    </row>
    <row r="11" spans="1:14" ht="19.5" customHeight="1" thickTop="1" x14ac:dyDescent="0.2">
      <c r="A11" s="20" t="s">
        <v>7962</v>
      </c>
      <c r="B11" s="20" t="s">
        <v>500</v>
      </c>
      <c r="C11" s="2353" t="s">
        <v>7987</v>
      </c>
      <c r="D11" s="477" t="s">
        <v>7964</v>
      </c>
      <c r="E11" s="448">
        <v>5</v>
      </c>
      <c r="F11" s="478" t="s">
        <v>7965</v>
      </c>
      <c r="G11" s="1892"/>
      <c r="H11" s="1892"/>
      <c r="I11" s="1892"/>
      <c r="J11" s="1892"/>
      <c r="K11" s="1892"/>
      <c r="L11" s="1892"/>
      <c r="M11" s="1893"/>
      <c r="N11" s="1894"/>
    </row>
    <row r="12" spans="1:14" ht="19.5" customHeight="1" x14ac:dyDescent="0.2">
      <c r="A12" s="20" t="s">
        <v>7966</v>
      </c>
      <c r="B12" s="20" t="s">
        <v>500</v>
      </c>
      <c r="C12" s="2354"/>
      <c r="D12" s="479" t="s">
        <v>7964</v>
      </c>
      <c r="E12" s="448">
        <v>6</v>
      </c>
      <c r="F12" s="480" t="s">
        <v>7863</v>
      </c>
      <c r="G12" s="1895"/>
      <c r="H12" s="1895"/>
      <c r="I12" s="1895"/>
      <c r="J12" s="1895"/>
      <c r="K12" s="1895"/>
      <c r="L12" s="1895"/>
      <c r="M12" s="1893"/>
      <c r="N12" s="1896"/>
    </row>
    <row r="13" spans="1:14" ht="19.5" customHeight="1" x14ac:dyDescent="0.2">
      <c r="A13" s="20" t="s">
        <v>7807</v>
      </c>
      <c r="B13" s="20" t="s">
        <v>500</v>
      </c>
      <c r="C13" s="2354"/>
      <c r="D13" s="481" t="s">
        <v>7967</v>
      </c>
      <c r="E13" s="448">
        <v>7</v>
      </c>
      <c r="F13" s="482" t="s">
        <v>747</v>
      </c>
      <c r="G13" s="1895"/>
      <c r="H13" s="1895"/>
      <c r="I13" s="1893"/>
      <c r="J13" s="1895"/>
      <c r="K13" s="1895"/>
      <c r="L13" s="1893"/>
      <c r="M13" s="1897"/>
      <c r="N13" s="1896"/>
    </row>
    <row r="14" spans="1:14" ht="19.5" customHeight="1" thickBot="1" x14ac:dyDescent="0.25">
      <c r="A14" s="20" t="s">
        <v>7846</v>
      </c>
      <c r="B14" s="20" t="s">
        <v>500</v>
      </c>
      <c r="C14" s="2376"/>
      <c r="D14" s="483" t="s">
        <v>7968</v>
      </c>
      <c r="E14" s="447">
        <v>8</v>
      </c>
      <c r="F14" s="476" t="s">
        <v>764</v>
      </c>
      <c r="G14" s="1898"/>
      <c r="H14" s="1899"/>
      <c r="I14" s="1899"/>
      <c r="J14" s="1898"/>
      <c r="K14" s="1899"/>
      <c r="L14" s="1899"/>
      <c r="M14" s="1898"/>
      <c r="N14" s="1900"/>
    </row>
    <row r="15" spans="1:14" ht="19.5" customHeight="1" thickTop="1" x14ac:dyDescent="0.2">
      <c r="A15" s="20" t="s">
        <v>7962</v>
      </c>
      <c r="B15" s="20" t="s">
        <v>531</v>
      </c>
      <c r="C15" s="2353" t="s">
        <v>7988</v>
      </c>
      <c r="D15" s="477" t="s">
        <v>7964</v>
      </c>
      <c r="E15" s="448">
        <v>9</v>
      </c>
      <c r="F15" s="478" t="s">
        <v>7965</v>
      </c>
      <c r="G15" s="1892"/>
      <c r="H15" s="1892"/>
      <c r="I15" s="1892"/>
      <c r="J15" s="1892"/>
      <c r="K15" s="1892"/>
      <c r="L15" s="1892"/>
      <c r="M15" s="1893"/>
      <c r="N15" s="1894"/>
    </row>
    <row r="16" spans="1:14" ht="19.5" customHeight="1" x14ac:dyDescent="0.2">
      <c r="A16" s="20" t="s">
        <v>7966</v>
      </c>
      <c r="B16" s="20" t="s">
        <v>531</v>
      </c>
      <c r="C16" s="2354"/>
      <c r="D16" s="479" t="s">
        <v>7964</v>
      </c>
      <c r="E16" s="448">
        <v>10</v>
      </c>
      <c r="F16" s="480" t="s">
        <v>7863</v>
      </c>
      <c r="G16" s="1895"/>
      <c r="H16" s="1895"/>
      <c r="I16" s="1895"/>
      <c r="J16" s="1895"/>
      <c r="K16" s="1895"/>
      <c r="L16" s="1895"/>
      <c r="M16" s="1893"/>
      <c r="N16" s="1896"/>
    </row>
    <row r="17" spans="1:14" ht="19.5" customHeight="1" x14ac:dyDescent="0.2">
      <c r="A17" s="20" t="s">
        <v>7807</v>
      </c>
      <c r="B17" s="20" t="s">
        <v>531</v>
      </c>
      <c r="C17" s="2354"/>
      <c r="D17" s="481" t="s">
        <v>7967</v>
      </c>
      <c r="E17" s="448">
        <v>11</v>
      </c>
      <c r="F17" s="482" t="s">
        <v>747</v>
      </c>
      <c r="G17" s="1895"/>
      <c r="H17" s="1895"/>
      <c r="I17" s="1893"/>
      <c r="J17" s="1895"/>
      <c r="K17" s="1895"/>
      <c r="L17" s="1893"/>
      <c r="M17" s="1897"/>
      <c r="N17" s="1896"/>
    </row>
    <row r="18" spans="1:14" ht="19.5" customHeight="1" thickBot="1" x14ac:dyDescent="0.25">
      <c r="A18" s="20" t="s">
        <v>7846</v>
      </c>
      <c r="B18" s="20" t="s">
        <v>531</v>
      </c>
      <c r="C18" s="2376"/>
      <c r="D18" s="483" t="s">
        <v>7968</v>
      </c>
      <c r="E18" s="447">
        <v>12</v>
      </c>
      <c r="F18" s="476" t="s">
        <v>764</v>
      </c>
      <c r="G18" s="1898"/>
      <c r="H18" s="1899"/>
      <c r="I18" s="1899"/>
      <c r="J18" s="1898"/>
      <c r="K18" s="1899"/>
      <c r="L18" s="1899"/>
      <c r="M18" s="1898"/>
      <c r="N18" s="1900"/>
    </row>
    <row r="19" spans="1:14" ht="19.5" customHeight="1" thickTop="1" x14ac:dyDescent="0.2">
      <c r="A19" s="20" t="s">
        <v>7962</v>
      </c>
      <c r="B19" s="20" t="s">
        <v>545</v>
      </c>
      <c r="C19" s="2353" t="s">
        <v>7989</v>
      </c>
      <c r="D19" s="477" t="s">
        <v>7964</v>
      </c>
      <c r="E19" s="448">
        <v>13</v>
      </c>
      <c r="F19" s="478" t="s">
        <v>7965</v>
      </c>
      <c r="G19" s="1892"/>
      <c r="H19" s="1892"/>
      <c r="I19" s="1892"/>
      <c r="J19" s="1892"/>
      <c r="K19" s="1892"/>
      <c r="L19" s="1892"/>
      <c r="M19" s="1893"/>
      <c r="N19" s="1894"/>
    </row>
    <row r="20" spans="1:14" ht="19.5" customHeight="1" x14ac:dyDescent="0.2">
      <c r="A20" s="20" t="s">
        <v>7966</v>
      </c>
      <c r="B20" s="20" t="s">
        <v>545</v>
      </c>
      <c r="C20" s="2354"/>
      <c r="D20" s="479" t="s">
        <v>7964</v>
      </c>
      <c r="E20" s="448">
        <v>14</v>
      </c>
      <c r="F20" s="480" t="s">
        <v>7863</v>
      </c>
      <c r="G20" s="1895"/>
      <c r="H20" s="1895"/>
      <c r="I20" s="1895"/>
      <c r="J20" s="1895"/>
      <c r="K20" s="1895"/>
      <c r="L20" s="1895"/>
      <c r="M20" s="1893"/>
      <c r="N20" s="1896"/>
    </row>
    <row r="21" spans="1:14" ht="19.5" customHeight="1" x14ac:dyDescent="0.2">
      <c r="A21" s="20" t="s">
        <v>7807</v>
      </c>
      <c r="B21" s="20" t="s">
        <v>545</v>
      </c>
      <c r="C21" s="2354"/>
      <c r="D21" s="481" t="s">
        <v>7967</v>
      </c>
      <c r="E21" s="448">
        <v>15</v>
      </c>
      <c r="F21" s="482" t="s">
        <v>747</v>
      </c>
      <c r="G21" s="1895"/>
      <c r="H21" s="1895"/>
      <c r="I21" s="1893"/>
      <c r="J21" s="1895"/>
      <c r="K21" s="1895"/>
      <c r="L21" s="1893"/>
      <c r="M21" s="1897"/>
      <c r="N21" s="1896"/>
    </row>
    <row r="22" spans="1:14" ht="19.5" customHeight="1" thickBot="1" x14ac:dyDescent="0.25">
      <c r="A22" s="20" t="s">
        <v>7846</v>
      </c>
      <c r="B22" s="20" t="s">
        <v>545</v>
      </c>
      <c r="C22" s="2376"/>
      <c r="D22" s="483" t="s">
        <v>7968</v>
      </c>
      <c r="E22" s="447">
        <v>16</v>
      </c>
      <c r="F22" s="476" t="s">
        <v>764</v>
      </c>
      <c r="G22" s="1898"/>
      <c r="H22" s="1899"/>
      <c r="I22" s="1899"/>
      <c r="J22" s="1898"/>
      <c r="K22" s="1899"/>
      <c r="L22" s="1899"/>
      <c r="M22" s="1898"/>
      <c r="N22" s="1900"/>
    </row>
    <row r="23" spans="1:14" ht="19.5" customHeight="1" thickTop="1" x14ac:dyDescent="0.2">
      <c r="A23" s="20" t="s">
        <v>7962</v>
      </c>
      <c r="B23" s="20" t="s">
        <v>601</v>
      </c>
      <c r="C23" s="2353" t="s">
        <v>601</v>
      </c>
      <c r="D23" s="477" t="s">
        <v>7964</v>
      </c>
      <c r="E23" s="448">
        <v>17</v>
      </c>
      <c r="F23" s="478" t="s">
        <v>7965</v>
      </c>
      <c r="G23" s="1892"/>
      <c r="H23" s="1892"/>
      <c r="I23" s="1892"/>
      <c r="J23" s="1892"/>
      <c r="K23" s="1892"/>
      <c r="L23" s="1892"/>
      <c r="M23" s="1893"/>
      <c r="N23" s="1894"/>
    </row>
    <row r="24" spans="1:14" ht="19.5" customHeight="1" x14ac:dyDescent="0.2">
      <c r="A24" s="20" t="s">
        <v>7966</v>
      </c>
      <c r="B24" s="20" t="s">
        <v>601</v>
      </c>
      <c r="C24" s="2354"/>
      <c r="D24" s="479" t="s">
        <v>7964</v>
      </c>
      <c r="E24" s="448">
        <v>18</v>
      </c>
      <c r="F24" s="480" t="s">
        <v>7863</v>
      </c>
      <c r="G24" s="1895"/>
      <c r="H24" s="1895"/>
      <c r="I24" s="1895"/>
      <c r="J24" s="1895"/>
      <c r="K24" s="1895"/>
      <c r="L24" s="1895"/>
      <c r="M24" s="1893"/>
      <c r="N24" s="1896"/>
    </row>
    <row r="25" spans="1:14" ht="19.5" customHeight="1" x14ac:dyDescent="0.2">
      <c r="A25" s="20" t="s">
        <v>7807</v>
      </c>
      <c r="B25" s="20" t="s">
        <v>601</v>
      </c>
      <c r="C25" s="2354"/>
      <c r="D25" s="481" t="s">
        <v>7967</v>
      </c>
      <c r="E25" s="448">
        <v>19</v>
      </c>
      <c r="F25" s="482" t="s">
        <v>747</v>
      </c>
      <c r="G25" s="1895"/>
      <c r="H25" s="1895"/>
      <c r="I25" s="1893"/>
      <c r="J25" s="1895"/>
      <c r="K25" s="1895"/>
      <c r="L25" s="1893"/>
      <c r="M25" s="1897"/>
      <c r="N25" s="1896"/>
    </row>
    <row r="26" spans="1:14" ht="19.5" customHeight="1" thickBot="1" x14ac:dyDescent="0.25">
      <c r="A26" s="20" t="s">
        <v>7846</v>
      </c>
      <c r="B26" s="20" t="s">
        <v>601</v>
      </c>
      <c r="C26" s="2376"/>
      <c r="D26" s="483" t="s">
        <v>7968</v>
      </c>
      <c r="E26" s="447">
        <v>20</v>
      </c>
      <c r="F26" s="476" t="s">
        <v>764</v>
      </c>
      <c r="G26" s="1898"/>
      <c r="H26" s="1899"/>
      <c r="I26" s="1899"/>
      <c r="J26" s="1898"/>
      <c r="K26" s="1899"/>
      <c r="L26" s="1899"/>
      <c r="M26" s="1898"/>
      <c r="N26" s="1900"/>
    </row>
    <row r="27" spans="1:14" ht="19.5" customHeight="1" thickTop="1" x14ac:dyDescent="0.2">
      <c r="A27" s="20" t="s">
        <v>7962</v>
      </c>
      <c r="B27" s="20" t="s">
        <v>7001</v>
      </c>
      <c r="C27" s="2353" t="s">
        <v>7990</v>
      </c>
      <c r="D27" s="477" t="s">
        <v>7964</v>
      </c>
      <c r="E27" s="448">
        <v>21</v>
      </c>
      <c r="F27" s="478" t="s">
        <v>7965</v>
      </c>
      <c r="G27" s="1892"/>
      <c r="H27" s="1892"/>
      <c r="I27" s="1892"/>
      <c r="J27" s="1892"/>
      <c r="K27" s="1892"/>
      <c r="L27" s="1892"/>
      <c r="M27" s="1893"/>
      <c r="N27" s="1894"/>
    </row>
    <row r="28" spans="1:14" ht="19.5" customHeight="1" x14ac:dyDescent="0.2">
      <c r="A28" s="20" t="s">
        <v>7966</v>
      </c>
      <c r="B28" s="20" t="s">
        <v>7001</v>
      </c>
      <c r="C28" s="2354"/>
      <c r="D28" s="479" t="s">
        <v>7964</v>
      </c>
      <c r="E28" s="448">
        <v>22</v>
      </c>
      <c r="F28" s="480" t="s">
        <v>7863</v>
      </c>
      <c r="G28" s="1895"/>
      <c r="H28" s="1895"/>
      <c r="I28" s="1895"/>
      <c r="J28" s="1895"/>
      <c r="K28" s="1895"/>
      <c r="L28" s="1895"/>
      <c r="M28" s="1893"/>
      <c r="N28" s="1896"/>
    </row>
    <row r="29" spans="1:14" ht="19.5" customHeight="1" x14ac:dyDescent="0.2">
      <c r="A29" s="20" t="s">
        <v>7807</v>
      </c>
      <c r="B29" s="20" t="s">
        <v>7001</v>
      </c>
      <c r="C29" s="2354"/>
      <c r="D29" s="481" t="s">
        <v>7967</v>
      </c>
      <c r="E29" s="448">
        <v>23</v>
      </c>
      <c r="F29" s="482" t="s">
        <v>747</v>
      </c>
      <c r="G29" s="1895"/>
      <c r="H29" s="1895"/>
      <c r="I29" s="1893"/>
      <c r="J29" s="1895"/>
      <c r="K29" s="1895"/>
      <c r="L29" s="1893"/>
      <c r="M29" s="1897"/>
      <c r="N29" s="1896"/>
    </row>
    <row r="30" spans="1:14" ht="19.5" customHeight="1" thickBot="1" x14ac:dyDescent="0.25">
      <c r="A30" s="20" t="s">
        <v>7846</v>
      </c>
      <c r="B30" s="20" t="s">
        <v>7001</v>
      </c>
      <c r="C30" s="2376"/>
      <c r="D30" s="483" t="s">
        <v>7968</v>
      </c>
      <c r="E30" s="447">
        <v>24</v>
      </c>
      <c r="F30" s="476" t="s">
        <v>764</v>
      </c>
      <c r="G30" s="1898"/>
      <c r="H30" s="1899"/>
      <c r="I30" s="1899"/>
      <c r="J30" s="1898"/>
      <c r="K30" s="1899"/>
      <c r="L30" s="1899"/>
      <c r="M30" s="1898"/>
      <c r="N30" s="1900"/>
    </row>
    <row r="31" spans="1:14" ht="19.5" customHeight="1" thickTop="1" x14ac:dyDescent="0.2">
      <c r="A31" s="20" t="s">
        <v>7962</v>
      </c>
      <c r="B31" s="20" t="s">
        <v>580</v>
      </c>
      <c r="C31" s="2353" t="s">
        <v>7991</v>
      </c>
      <c r="D31" s="477" t="s">
        <v>7964</v>
      </c>
      <c r="E31" s="448">
        <v>25</v>
      </c>
      <c r="F31" s="478" t="s">
        <v>7965</v>
      </c>
      <c r="G31" s="1892"/>
      <c r="H31" s="1892"/>
      <c r="I31" s="1892"/>
      <c r="J31" s="1901"/>
      <c r="K31" s="1892"/>
      <c r="L31" s="1892"/>
      <c r="M31" s="1893"/>
      <c r="N31" s="1894"/>
    </row>
    <row r="32" spans="1:14" ht="19.5" customHeight="1" x14ac:dyDescent="0.2">
      <c r="A32" s="20" t="s">
        <v>7966</v>
      </c>
      <c r="B32" s="20" t="s">
        <v>580</v>
      </c>
      <c r="C32" s="2354"/>
      <c r="D32" s="479" t="s">
        <v>7964</v>
      </c>
      <c r="E32" s="448">
        <v>26</v>
      </c>
      <c r="F32" s="480" t="s">
        <v>7863</v>
      </c>
      <c r="G32" s="1895"/>
      <c r="H32" s="1895"/>
      <c r="I32" s="1895"/>
      <c r="J32" s="1895"/>
      <c r="K32" s="1895"/>
      <c r="L32" s="1895"/>
      <c r="M32" s="1893"/>
      <c r="N32" s="1896"/>
    </row>
    <row r="33" spans="1:14" ht="19.5" customHeight="1" x14ac:dyDescent="0.2">
      <c r="A33" s="20" t="s">
        <v>7807</v>
      </c>
      <c r="B33" s="20" t="s">
        <v>580</v>
      </c>
      <c r="C33" s="2354"/>
      <c r="D33" s="481" t="s">
        <v>7967</v>
      </c>
      <c r="E33" s="448">
        <v>27</v>
      </c>
      <c r="F33" s="482" t="s">
        <v>747</v>
      </c>
      <c r="G33" s="1895"/>
      <c r="H33" s="1895"/>
      <c r="I33" s="1893"/>
      <c r="J33" s="1895"/>
      <c r="K33" s="1895"/>
      <c r="L33" s="1893"/>
      <c r="M33" s="1897"/>
      <c r="N33" s="1896"/>
    </row>
    <row r="34" spans="1:14" ht="19.5" customHeight="1" thickBot="1" x14ac:dyDescent="0.25">
      <c r="A34" s="20" t="s">
        <v>7846</v>
      </c>
      <c r="B34" s="20" t="s">
        <v>580</v>
      </c>
      <c r="C34" s="2376"/>
      <c r="D34" s="483" t="s">
        <v>7968</v>
      </c>
      <c r="E34" s="447">
        <v>28</v>
      </c>
      <c r="F34" s="476" t="s">
        <v>764</v>
      </c>
      <c r="G34" s="1898"/>
      <c r="H34" s="1899"/>
      <c r="I34" s="1899"/>
      <c r="J34" s="1898"/>
      <c r="K34" s="1899"/>
      <c r="L34" s="1899"/>
      <c r="M34" s="1898"/>
      <c r="N34" s="1900"/>
    </row>
    <row r="35" spans="1:14" ht="19.5" customHeight="1" thickTop="1" x14ac:dyDescent="0.2">
      <c r="A35" s="20" t="s">
        <v>7962</v>
      </c>
      <c r="B35" s="20" t="s">
        <v>7002</v>
      </c>
      <c r="C35" s="2353" t="s">
        <v>7992</v>
      </c>
      <c r="D35" s="477" t="s">
        <v>7964</v>
      </c>
      <c r="E35" s="448">
        <v>29</v>
      </c>
      <c r="F35" s="478" t="s">
        <v>7965</v>
      </c>
      <c r="G35" s="1892"/>
      <c r="H35" s="1892"/>
      <c r="I35" s="1892"/>
      <c r="J35" s="1892"/>
      <c r="K35" s="1892"/>
      <c r="L35" s="1892"/>
      <c r="M35" s="1893"/>
      <c r="N35" s="1894"/>
    </row>
    <row r="36" spans="1:14" ht="19.5" customHeight="1" x14ac:dyDescent="0.2">
      <c r="A36" s="20" t="s">
        <v>7966</v>
      </c>
      <c r="B36" s="20" t="s">
        <v>7002</v>
      </c>
      <c r="C36" s="2354"/>
      <c r="D36" s="479" t="s">
        <v>7964</v>
      </c>
      <c r="E36" s="448">
        <v>30</v>
      </c>
      <c r="F36" s="480" t="s">
        <v>7863</v>
      </c>
      <c r="G36" s="1895"/>
      <c r="H36" s="1895"/>
      <c r="I36" s="1895"/>
      <c r="J36" s="1895"/>
      <c r="K36" s="1895"/>
      <c r="L36" s="1895"/>
      <c r="M36" s="1893"/>
      <c r="N36" s="1896"/>
    </row>
    <row r="37" spans="1:14" ht="19.5" customHeight="1" x14ac:dyDescent="0.2">
      <c r="A37" s="20" t="s">
        <v>7807</v>
      </c>
      <c r="B37" s="20" t="s">
        <v>7002</v>
      </c>
      <c r="C37" s="2354"/>
      <c r="D37" s="481" t="s">
        <v>7967</v>
      </c>
      <c r="E37" s="448">
        <v>31</v>
      </c>
      <c r="F37" s="482" t="s">
        <v>747</v>
      </c>
      <c r="G37" s="1895"/>
      <c r="H37" s="1895"/>
      <c r="I37" s="1893"/>
      <c r="J37" s="1895"/>
      <c r="K37" s="1895"/>
      <c r="L37" s="1893"/>
      <c r="M37" s="1897"/>
      <c r="N37" s="1896"/>
    </row>
    <row r="38" spans="1:14" ht="19.5" customHeight="1" thickBot="1" x14ac:dyDescent="0.25">
      <c r="A38" s="20" t="s">
        <v>7846</v>
      </c>
      <c r="B38" s="20" t="s">
        <v>7002</v>
      </c>
      <c r="C38" s="2376"/>
      <c r="D38" s="483" t="s">
        <v>7968</v>
      </c>
      <c r="E38" s="447">
        <v>32</v>
      </c>
      <c r="F38" s="476" t="s">
        <v>764</v>
      </c>
      <c r="G38" s="1898"/>
      <c r="H38" s="1899"/>
      <c r="I38" s="1899"/>
      <c r="J38" s="1898"/>
      <c r="K38" s="1899"/>
      <c r="L38" s="1899"/>
      <c r="M38" s="1898"/>
      <c r="N38" s="1900"/>
    </row>
    <row r="39" spans="1:14" ht="19.5" customHeight="1" thickTop="1" x14ac:dyDescent="0.2">
      <c r="A39" s="20" t="s">
        <v>7962</v>
      </c>
      <c r="B39" s="20" t="s">
        <v>594</v>
      </c>
      <c r="C39" s="2353" t="s">
        <v>7993</v>
      </c>
      <c r="D39" s="477" t="s">
        <v>7964</v>
      </c>
      <c r="E39" s="448">
        <v>33</v>
      </c>
      <c r="F39" s="478" t="s">
        <v>7965</v>
      </c>
      <c r="G39" s="1892"/>
      <c r="H39" s="1892"/>
      <c r="I39" s="1892"/>
      <c r="J39" s="1892"/>
      <c r="K39" s="1892"/>
      <c r="L39" s="1892"/>
      <c r="M39" s="1893"/>
      <c r="N39" s="1894"/>
    </row>
    <row r="40" spans="1:14" ht="19.5" customHeight="1" x14ac:dyDescent="0.2">
      <c r="A40" s="20" t="s">
        <v>7966</v>
      </c>
      <c r="B40" s="20" t="s">
        <v>594</v>
      </c>
      <c r="C40" s="2354"/>
      <c r="D40" s="479" t="s">
        <v>7964</v>
      </c>
      <c r="E40" s="448">
        <v>34</v>
      </c>
      <c r="F40" s="480" t="s">
        <v>7863</v>
      </c>
      <c r="G40" s="1895"/>
      <c r="H40" s="1895"/>
      <c r="I40" s="1895"/>
      <c r="J40" s="1895"/>
      <c r="K40" s="1895"/>
      <c r="L40" s="1895"/>
      <c r="M40" s="1893"/>
      <c r="N40" s="1896"/>
    </row>
    <row r="41" spans="1:14" ht="19.5" customHeight="1" x14ac:dyDescent="0.2">
      <c r="A41" s="20" t="s">
        <v>7807</v>
      </c>
      <c r="B41" s="20" t="s">
        <v>594</v>
      </c>
      <c r="C41" s="2354"/>
      <c r="D41" s="481" t="s">
        <v>7967</v>
      </c>
      <c r="E41" s="448">
        <v>35</v>
      </c>
      <c r="F41" s="482" t="s">
        <v>747</v>
      </c>
      <c r="G41" s="1895"/>
      <c r="H41" s="1895"/>
      <c r="I41" s="1893"/>
      <c r="J41" s="1895"/>
      <c r="K41" s="1895"/>
      <c r="L41" s="1893"/>
      <c r="M41" s="1897"/>
      <c r="N41" s="1896"/>
    </row>
    <row r="42" spans="1:14" ht="19.5" customHeight="1" thickBot="1" x14ac:dyDescent="0.25">
      <c r="A42" s="20" t="s">
        <v>7846</v>
      </c>
      <c r="B42" s="20" t="s">
        <v>594</v>
      </c>
      <c r="C42" s="2376"/>
      <c r="D42" s="483" t="s">
        <v>7968</v>
      </c>
      <c r="E42" s="447">
        <v>36</v>
      </c>
      <c r="F42" s="476" t="s">
        <v>764</v>
      </c>
      <c r="G42" s="1898"/>
      <c r="H42" s="1899"/>
      <c r="I42" s="1899"/>
      <c r="J42" s="1898"/>
      <c r="K42" s="1899"/>
      <c r="L42" s="1899"/>
      <c r="M42" s="1898"/>
      <c r="N42" s="1900"/>
    </row>
    <row r="43" spans="1:14" ht="19.5" customHeight="1" thickTop="1" x14ac:dyDescent="0.2">
      <c r="A43" s="20" t="s">
        <v>7962</v>
      </c>
      <c r="B43" s="20" t="s">
        <v>622</v>
      </c>
      <c r="C43" s="2353" t="s">
        <v>622</v>
      </c>
      <c r="D43" s="477" t="s">
        <v>7964</v>
      </c>
      <c r="E43" s="448">
        <v>37</v>
      </c>
      <c r="F43" s="478" t="s">
        <v>7965</v>
      </c>
      <c r="G43" s="1892"/>
      <c r="H43" s="1892"/>
      <c r="I43" s="1892"/>
      <c r="J43" s="1892"/>
      <c r="K43" s="1892"/>
      <c r="L43" s="1892"/>
      <c r="M43" s="1893"/>
      <c r="N43" s="1894"/>
    </row>
    <row r="44" spans="1:14" ht="19.5" customHeight="1" x14ac:dyDescent="0.2">
      <c r="A44" s="20" t="s">
        <v>7966</v>
      </c>
      <c r="B44" s="20" t="s">
        <v>622</v>
      </c>
      <c r="C44" s="2354"/>
      <c r="D44" s="479" t="s">
        <v>7964</v>
      </c>
      <c r="E44" s="448">
        <v>38</v>
      </c>
      <c r="F44" s="480" t="s">
        <v>7863</v>
      </c>
      <c r="G44" s="1895"/>
      <c r="H44" s="1895"/>
      <c r="I44" s="1895"/>
      <c r="J44" s="1895"/>
      <c r="K44" s="1895"/>
      <c r="L44" s="1895"/>
      <c r="M44" s="1893"/>
      <c r="N44" s="1896"/>
    </row>
    <row r="45" spans="1:14" ht="19.5" customHeight="1" x14ac:dyDescent="0.2">
      <c r="A45" s="20" t="s">
        <v>7807</v>
      </c>
      <c r="B45" s="20" t="s">
        <v>622</v>
      </c>
      <c r="C45" s="2354"/>
      <c r="D45" s="481" t="s">
        <v>7967</v>
      </c>
      <c r="E45" s="448">
        <v>39</v>
      </c>
      <c r="F45" s="482" t="s">
        <v>747</v>
      </c>
      <c r="G45" s="1895"/>
      <c r="H45" s="1895"/>
      <c r="I45" s="1893"/>
      <c r="J45" s="1895"/>
      <c r="K45" s="1895"/>
      <c r="L45" s="1893"/>
      <c r="M45" s="1897"/>
      <c r="N45" s="1896"/>
    </row>
    <row r="46" spans="1:14" ht="19.5" customHeight="1" thickBot="1" x14ac:dyDescent="0.25">
      <c r="A46" s="20" t="s">
        <v>7846</v>
      </c>
      <c r="B46" s="20" t="s">
        <v>622</v>
      </c>
      <c r="C46" s="2376"/>
      <c r="D46" s="483" t="s">
        <v>7968</v>
      </c>
      <c r="E46" s="447">
        <v>40</v>
      </c>
      <c r="F46" s="476" t="s">
        <v>764</v>
      </c>
      <c r="G46" s="1898"/>
      <c r="H46" s="1899"/>
      <c r="I46" s="1899"/>
      <c r="J46" s="1898"/>
      <c r="K46" s="1899"/>
      <c r="L46" s="1899"/>
      <c r="M46" s="1898"/>
      <c r="N46" s="1900"/>
    </row>
    <row r="47" spans="1:14" ht="19.5" customHeight="1" thickTop="1" x14ac:dyDescent="0.2">
      <c r="A47" s="20" t="s">
        <v>7962</v>
      </c>
      <c r="B47" s="20" t="s">
        <v>636</v>
      </c>
      <c r="C47" s="2353" t="s">
        <v>7994</v>
      </c>
      <c r="D47" s="477" t="s">
        <v>7964</v>
      </c>
      <c r="E47" s="448">
        <v>41</v>
      </c>
      <c r="F47" s="478" t="s">
        <v>7965</v>
      </c>
      <c r="G47" s="1892"/>
      <c r="H47" s="1892"/>
      <c r="I47" s="1892"/>
      <c r="J47" s="1892"/>
      <c r="K47" s="1892"/>
      <c r="L47" s="1892"/>
      <c r="M47" s="1893"/>
      <c r="N47" s="1894"/>
    </row>
    <row r="48" spans="1:14" ht="19.5" customHeight="1" x14ac:dyDescent="0.2">
      <c r="A48" s="20" t="s">
        <v>7966</v>
      </c>
      <c r="B48" s="20" t="s">
        <v>636</v>
      </c>
      <c r="C48" s="2354"/>
      <c r="D48" s="479" t="s">
        <v>7964</v>
      </c>
      <c r="E48" s="448">
        <v>42</v>
      </c>
      <c r="F48" s="480" t="s">
        <v>7863</v>
      </c>
      <c r="G48" s="1895"/>
      <c r="H48" s="1895"/>
      <c r="I48" s="1895"/>
      <c r="J48" s="1895"/>
      <c r="K48" s="1895"/>
      <c r="L48" s="1895"/>
      <c r="M48" s="1893"/>
      <c r="N48" s="1896"/>
    </row>
    <row r="49" spans="1:14" ht="19.5" customHeight="1" x14ac:dyDescent="0.2">
      <c r="A49" s="20" t="s">
        <v>7807</v>
      </c>
      <c r="B49" s="20" t="s">
        <v>636</v>
      </c>
      <c r="C49" s="2354"/>
      <c r="D49" s="481" t="s">
        <v>7967</v>
      </c>
      <c r="E49" s="448">
        <v>43</v>
      </c>
      <c r="F49" s="482" t="s">
        <v>747</v>
      </c>
      <c r="G49" s="1895"/>
      <c r="H49" s="1895"/>
      <c r="I49" s="1893"/>
      <c r="J49" s="1895"/>
      <c r="K49" s="1895"/>
      <c r="L49" s="1893"/>
      <c r="M49" s="1897"/>
      <c r="N49" s="1896"/>
    </row>
    <row r="50" spans="1:14" ht="19.5" customHeight="1" thickBot="1" x14ac:dyDescent="0.25">
      <c r="A50" s="20" t="s">
        <v>7846</v>
      </c>
      <c r="B50" s="20" t="s">
        <v>636</v>
      </c>
      <c r="C50" s="2376"/>
      <c r="D50" s="483" t="s">
        <v>7968</v>
      </c>
      <c r="E50" s="447">
        <v>44</v>
      </c>
      <c r="F50" s="476" t="s">
        <v>764</v>
      </c>
      <c r="G50" s="1898"/>
      <c r="H50" s="1899"/>
      <c r="I50" s="1899"/>
      <c r="J50" s="1898"/>
      <c r="K50" s="1899"/>
      <c r="L50" s="1899"/>
      <c r="M50" s="1898"/>
      <c r="N50" s="1900"/>
    </row>
    <row r="51" spans="1:14" ht="19.5" customHeight="1" thickTop="1" x14ac:dyDescent="0.2">
      <c r="A51" s="20" t="s">
        <v>7962</v>
      </c>
      <c r="B51" s="20" t="s">
        <v>7603</v>
      </c>
      <c r="C51" s="2353" t="s">
        <v>7995</v>
      </c>
      <c r="D51" s="477" t="s">
        <v>7964</v>
      </c>
      <c r="E51" s="448">
        <v>45</v>
      </c>
      <c r="F51" s="478" t="s">
        <v>7965</v>
      </c>
      <c r="G51" s="1892"/>
      <c r="H51" s="1892"/>
      <c r="I51" s="1892"/>
      <c r="J51" s="1892"/>
      <c r="K51" s="1892"/>
      <c r="L51" s="1892"/>
      <c r="M51" s="1893"/>
      <c r="N51" s="1894"/>
    </row>
    <row r="52" spans="1:14" ht="19.5" customHeight="1" x14ac:dyDescent="0.2">
      <c r="A52" s="20" t="s">
        <v>7966</v>
      </c>
      <c r="B52" s="20" t="s">
        <v>7603</v>
      </c>
      <c r="C52" s="2354"/>
      <c r="D52" s="479" t="s">
        <v>7964</v>
      </c>
      <c r="E52" s="448">
        <v>46</v>
      </c>
      <c r="F52" s="480" t="s">
        <v>7863</v>
      </c>
      <c r="G52" s="1895"/>
      <c r="H52" s="1895"/>
      <c r="I52" s="1895"/>
      <c r="J52" s="1895"/>
      <c r="K52" s="1895"/>
      <c r="L52" s="1895"/>
      <c r="M52" s="1893"/>
      <c r="N52" s="1896"/>
    </row>
    <row r="53" spans="1:14" ht="19.5" customHeight="1" x14ac:dyDescent="0.2">
      <c r="A53" s="20" t="s">
        <v>7807</v>
      </c>
      <c r="B53" s="20" t="s">
        <v>7603</v>
      </c>
      <c r="C53" s="2354"/>
      <c r="D53" s="481" t="s">
        <v>7967</v>
      </c>
      <c r="E53" s="448">
        <v>47</v>
      </c>
      <c r="F53" s="482" t="s">
        <v>747</v>
      </c>
      <c r="G53" s="1895"/>
      <c r="H53" s="1895"/>
      <c r="I53" s="1893"/>
      <c r="J53" s="1895"/>
      <c r="K53" s="1895"/>
      <c r="L53" s="1893"/>
      <c r="M53" s="1897"/>
      <c r="N53" s="1896"/>
    </row>
    <row r="54" spans="1:14" ht="19.5" customHeight="1" thickBot="1" x14ac:dyDescent="0.25">
      <c r="A54" s="20" t="s">
        <v>7846</v>
      </c>
      <c r="B54" s="20" t="s">
        <v>7603</v>
      </c>
      <c r="C54" s="2376"/>
      <c r="D54" s="483" t="s">
        <v>7968</v>
      </c>
      <c r="E54" s="447">
        <v>48</v>
      </c>
      <c r="F54" s="476" t="s">
        <v>764</v>
      </c>
      <c r="G54" s="1898"/>
      <c r="H54" s="1899"/>
      <c r="I54" s="1899"/>
      <c r="J54" s="1898"/>
      <c r="K54" s="1899"/>
      <c r="L54" s="1899"/>
      <c r="M54" s="1898"/>
      <c r="N54" s="1900"/>
    </row>
    <row r="55" spans="1:14" ht="12" customHeight="1" thickTop="1" thickBot="1" x14ac:dyDescent="0.25">
      <c r="C55" s="32"/>
      <c r="D55" s="32"/>
      <c r="E55" s="457"/>
      <c r="F55" s="457"/>
      <c r="G55" s="457"/>
      <c r="H55" s="457"/>
      <c r="I55" s="457"/>
      <c r="J55" s="457"/>
      <c r="K55" s="457"/>
      <c r="L55" s="457"/>
      <c r="M55" s="457"/>
      <c r="N55" s="373"/>
    </row>
    <row r="56" spans="1:14" ht="20.100000000000001" customHeight="1" thickTop="1" thickBot="1" x14ac:dyDescent="0.25">
      <c r="C56" s="473" t="s">
        <v>7921</v>
      </c>
      <c r="D56" s="466"/>
      <c r="E56" s="458"/>
      <c r="F56" s="458"/>
      <c r="G56" s="453"/>
      <c r="H56" s="453"/>
      <c r="I56" s="453"/>
      <c r="J56" s="453"/>
      <c r="K56" s="453"/>
      <c r="L56" s="453"/>
      <c r="M56" s="453"/>
      <c r="N56" s="454"/>
    </row>
    <row r="57" spans="1:14" ht="12" customHeight="1" thickTop="1" x14ac:dyDescent="0.2">
      <c r="C57" s="460"/>
      <c r="D57" s="460"/>
      <c r="E57" s="373"/>
      <c r="F57" s="373"/>
      <c r="G57" s="373"/>
      <c r="H57" s="373"/>
      <c r="I57" s="373"/>
      <c r="J57" s="373"/>
      <c r="K57" s="373"/>
      <c r="L57" s="373"/>
      <c r="M57" s="373"/>
      <c r="N57" s="373"/>
    </row>
    <row r="58" spans="1:14" ht="13.5" thickBot="1" x14ac:dyDescent="0.25"/>
    <row r="59" spans="1:14" ht="19.5" customHeight="1" thickTop="1" x14ac:dyDescent="0.2">
      <c r="A59" s="373" t="s">
        <v>7807</v>
      </c>
      <c r="B59" s="221" t="s">
        <v>7996</v>
      </c>
      <c r="C59" s="467" t="s">
        <v>7800</v>
      </c>
      <c r="D59" s="492" t="s">
        <v>7967</v>
      </c>
      <c r="E59" s="494">
        <v>49</v>
      </c>
      <c r="F59" s="493" t="s">
        <v>747</v>
      </c>
      <c r="G59" s="1777"/>
      <c r="H59" s="1777"/>
      <c r="I59" s="1778"/>
      <c r="J59" s="1777"/>
      <c r="K59" s="1777"/>
      <c r="L59" s="1778"/>
      <c r="M59" s="1777"/>
      <c r="N59" s="1775"/>
    </row>
    <row r="60" spans="1:14" ht="19.5" customHeight="1" thickBot="1" x14ac:dyDescent="0.25">
      <c r="A60" s="472" t="s">
        <v>7846</v>
      </c>
      <c r="B60" s="490" t="s">
        <v>7996</v>
      </c>
      <c r="C60" s="468"/>
      <c r="D60" s="491" t="s">
        <v>7968</v>
      </c>
      <c r="E60" s="459">
        <v>50</v>
      </c>
      <c r="F60" s="464" t="s">
        <v>764</v>
      </c>
      <c r="G60" s="1776"/>
      <c r="H60" s="2051"/>
      <c r="I60" s="1779"/>
      <c r="J60" s="1776"/>
      <c r="K60" s="1779"/>
      <c r="L60" s="1779"/>
      <c r="M60" s="1776"/>
      <c r="N60" s="1774"/>
    </row>
    <row r="61" spans="1:14" ht="13.5" thickTop="1" x14ac:dyDescent="0.2"/>
  </sheetData>
  <mergeCells count="12">
    <mergeCell ref="C27:C30"/>
    <mergeCell ref="C31:C34"/>
    <mergeCell ref="C35:C38"/>
    <mergeCell ref="C39:C42"/>
    <mergeCell ref="C51:C54"/>
    <mergeCell ref="C43:C46"/>
    <mergeCell ref="C47:C50"/>
    <mergeCell ref="C7:C10"/>
    <mergeCell ref="C11:C14"/>
    <mergeCell ref="C15:C18"/>
    <mergeCell ref="C19:C22"/>
    <mergeCell ref="C23:C26"/>
  </mergeCells>
  <phoneticPr fontId="0" type="noConversion"/>
  <dataValidations count="1">
    <dataValidation type="decimal" operator="greaterThanOrEqual" allowBlank="1" showInputMessage="1" showErrorMessage="1" error="Positive whole numbers only / Nombres entiers positifs uniquement" sqref="K26:L26 K54:L54 J25:K25 H26:I26 G25:H25 G23:L24 K22:L22 J21:K21 H22:I22 G21:H21 G19:L20 K18:L18 J17:K17 H18:I18 G17:H17 G15:L16 K14:L14 J13:K13 H14:I14 G13:H13 G11:L12 K10:L10 J9:K9 H10:I10 G9:H9 G7:L8 J53:K53 H54:I54 G53:H53 G51:L52 K50:L50 J49:K49 H50:I50 G49:H49 G47:L48 K46:L46 J45:K45 H46:I46 G45:H45 G43:L44 K42:L42 J41:K41 H42:I42 G41:H41 G39:L40 K38:L38 J37:K37 H38:I38 G37:H37 G35:L36 K34:L34 J33:K33 H34:I34 G33:H33 G31:L32 K30:L30 J29:K29 H30:I30 G29:H29 G27:L28" xr:uid="{00000000-0002-0000-2200-000000000000}">
      <formula1>0</formula1>
    </dataValidation>
  </dataValidations>
  <pageMargins left="0.75" right="0.75" top="1" bottom="1" header="0.5" footer="0.5"/>
  <headerFooter alignWithMargins="0"/>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theme="4"/>
  </sheetPr>
  <dimension ref="A1:N15"/>
  <sheetViews>
    <sheetView topLeftCell="C1" workbookViewId="0">
      <selection activeCell="C4" sqref="C4"/>
    </sheetView>
  </sheetViews>
  <sheetFormatPr defaultRowHeight="12.75" x14ac:dyDescent="0.2"/>
  <cols>
    <col min="1" max="2" width="10.140625" hidden="1" customWidth="1"/>
    <col min="3" max="3" width="18.7109375" customWidth="1"/>
    <col min="4" max="4" width="8.5703125" customWidth="1"/>
    <col min="5" max="5" width="3" customWidth="1"/>
    <col min="6" max="6" width="8.85546875" customWidth="1"/>
    <col min="7" max="14" width="13.85546875" customWidth="1"/>
    <col min="15" max="15" width="8.85546875" customWidth="1"/>
    <col min="27" max="27" width="26.140625" customWidth="1"/>
    <col min="28" max="28" width="12" customWidth="1"/>
    <col min="29" max="29" width="2.5703125" customWidth="1"/>
    <col min="53" max="53" width="30.5703125" customWidth="1"/>
    <col min="54" max="54" width="10" customWidth="1"/>
    <col min="55" max="55" width="2.5703125" customWidth="1"/>
    <col min="56" max="56" width="7" customWidth="1"/>
  </cols>
  <sheetData>
    <row r="1" spans="1:14" ht="30" customHeight="1" x14ac:dyDescent="0.2">
      <c r="A1" s="8"/>
      <c r="B1" s="8"/>
      <c r="C1" s="437" t="s">
        <v>7997</v>
      </c>
      <c r="D1" s="469"/>
      <c r="E1" s="470"/>
      <c r="F1" s="470"/>
      <c r="G1" s="470"/>
      <c r="H1" s="470"/>
      <c r="I1" s="470"/>
      <c r="J1" s="470"/>
      <c r="K1" s="470"/>
      <c r="L1" s="470"/>
      <c r="M1" s="470"/>
      <c r="N1" s="470"/>
    </row>
    <row r="2" spans="1:14" ht="12.75" customHeight="1" x14ac:dyDescent="0.2">
      <c r="A2" s="440" t="s">
        <v>7909</v>
      </c>
      <c r="C2" s="444"/>
      <c r="D2" s="427"/>
      <c r="E2" s="426"/>
      <c r="F2" s="426"/>
      <c r="G2" s="449" t="s">
        <v>940</v>
      </c>
      <c r="H2" s="449" t="s">
        <v>954</v>
      </c>
      <c r="I2" s="449" t="s">
        <v>968</v>
      </c>
      <c r="J2" s="449" t="s">
        <v>947</v>
      </c>
      <c r="K2" s="449" t="s">
        <v>961</v>
      </c>
      <c r="L2" s="449" t="s">
        <v>975</v>
      </c>
      <c r="M2" s="449" t="s">
        <v>7800</v>
      </c>
      <c r="N2" s="449" t="s">
        <v>7800</v>
      </c>
    </row>
    <row r="3" spans="1:14" ht="21" customHeight="1" thickBot="1" x14ac:dyDescent="0.25">
      <c r="A3" s="441" t="s">
        <v>7797</v>
      </c>
      <c r="B3" s="20" t="s">
        <v>7356</v>
      </c>
      <c r="C3" s="442" t="str">
        <f>CountryName</f>
        <v>South Africa</v>
      </c>
      <c r="D3" s="427"/>
      <c r="E3" s="426"/>
      <c r="F3" s="426"/>
      <c r="G3" s="20"/>
      <c r="H3" s="20"/>
      <c r="I3" s="20"/>
      <c r="J3" s="20"/>
      <c r="K3" s="20"/>
      <c r="L3" s="20"/>
      <c r="M3" s="20"/>
      <c r="N3" s="20"/>
    </row>
    <row r="4" spans="1:14" ht="20.100000000000001" customHeight="1" thickTop="1" x14ac:dyDescent="0.2">
      <c r="C4" s="2054">
        <f>DataYear</f>
        <v>2019</v>
      </c>
      <c r="D4" s="461"/>
      <c r="E4" s="425"/>
      <c r="F4" s="425"/>
      <c r="G4" s="428" t="s">
        <v>7958</v>
      </c>
      <c r="H4" s="432"/>
      <c r="I4" s="433"/>
      <c r="J4" s="429" t="s">
        <v>7959</v>
      </c>
      <c r="K4" s="432"/>
      <c r="L4" s="432"/>
      <c r="M4" s="428" t="s">
        <v>7800</v>
      </c>
      <c r="N4" s="434"/>
    </row>
    <row r="5" spans="1:14" ht="20.100000000000001" customHeight="1" x14ac:dyDescent="0.2">
      <c r="A5" s="242" t="s">
        <v>7910</v>
      </c>
      <c r="B5" s="439" t="s">
        <v>1483</v>
      </c>
      <c r="C5" s="435"/>
      <c r="D5" s="462"/>
      <c r="E5" s="436"/>
      <c r="F5" s="436"/>
      <c r="G5" s="431" t="s">
        <v>7801</v>
      </c>
      <c r="H5" s="430" t="s">
        <v>7802</v>
      </c>
      <c r="I5" s="430" t="s">
        <v>830</v>
      </c>
      <c r="J5" s="430" t="s">
        <v>7801</v>
      </c>
      <c r="K5" s="430" t="s">
        <v>7802</v>
      </c>
      <c r="L5" s="430" t="s">
        <v>830</v>
      </c>
      <c r="M5" s="430" t="s">
        <v>7801</v>
      </c>
      <c r="N5" s="485" t="s">
        <v>830</v>
      </c>
    </row>
    <row r="6" spans="1:14" ht="19.5" customHeight="1" thickBot="1" x14ac:dyDescent="0.25">
      <c r="A6" s="438"/>
      <c r="B6" s="471"/>
      <c r="C6" s="455" t="s">
        <v>7960</v>
      </c>
      <c r="D6" s="463"/>
      <c r="E6" s="464"/>
      <c r="F6" s="456" t="s">
        <v>7961</v>
      </c>
      <c r="G6" s="459" t="s">
        <v>7239</v>
      </c>
      <c r="H6" s="459" t="s">
        <v>7240</v>
      </c>
      <c r="I6" s="459" t="s">
        <v>7241</v>
      </c>
      <c r="J6" s="459" t="s">
        <v>7242</v>
      </c>
      <c r="K6" s="459" t="s">
        <v>7243</v>
      </c>
      <c r="L6" s="459" t="s">
        <v>7244</v>
      </c>
      <c r="M6" s="445" t="s">
        <v>7245</v>
      </c>
      <c r="N6" s="465" t="s">
        <v>7246</v>
      </c>
    </row>
    <row r="7" spans="1:14" ht="19.5" customHeight="1" thickTop="1" x14ac:dyDescent="0.2">
      <c r="A7" s="20" t="s">
        <v>7976</v>
      </c>
      <c r="B7" s="20" t="s">
        <v>653</v>
      </c>
      <c r="C7" s="2377" t="s">
        <v>7998</v>
      </c>
      <c r="D7" s="477" t="s">
        <v>7964</v>
      </c>
      <c r="E7" s="448">
        <v>1</v>
      </c>
      <c r="F7" s="496" t="s">
        <v>7978</v>
      </c>
      <c r="G7" s="1895"/>
      <c r="H7" s="1895"/>
      <c r="I7" s="1895"/>
      <c r="J7" s="1895"/>
      <c r="K7" s="1895"/>
      <c r="L7" s="1895"/>
      <c r="M7" s="1893"/>
      <c r="N7" s="1896"/>
    </row>
    <row r="8" spans="1:14" ht="19.5" customHeight="1" x14ac:dyDescent="0.2">
      <c r="A8" s="20" t="s">
        <v>7807</v>
      </c>
      <c r="B8" s="20" t="s">
        <v>653</v>
      </c>
      <c r="C8" s="2378"/>
      <c r="D8" s="495" t="s">
        <v>7967</v>
      </c>
      <c r="E8" s="446">
        <v>2</v>
      </c>
      <c r="F8" s="482" t="s">
        <v>747</v>
      </c>
      <c r="G8" s="1895"/>
      <c r="H8" s="1895"/>
      <c r="I8" s="1893"/>
      <c r="J8" s="1895"/>
      <c r="K8" s="1895"/>
      <c r="L8" s="1893"/>
      <c r="M8" s="1897"/>
      <c r="N8" s="1896"/>
    </row>
    <row r="9" spans="1:14" ht="19.5" customHeight="1" thickBot="1" x14ac:dyDescent="0.25">
      <c r="A9" s="20" t="s">
        <v>7846</v>
      </c>
      <c r="B9" s="20" t="s">
        <v>653</v>
      </c>
      <c r="C9" s="2379"/>
      <c r="D9" s="497" t="s">
        <v>7968</v>
      </c>
      <c r="E9" s="447">
        <v>3</v>
      </c>
      <c r="F9" s="498" t="s">
        <v>764</v>
      </c>
      <c r="G9" s="1898"/>
      <c r="H9" s="1899"/>
      <c r="I9" s="1899"/>
      <c r="J9" s="1898"/>
      <c r="K9" s="1899"/>
      <c r="L9" s="1899"/>
      <c r="M9" s="1898"/>
      <c r="N9" s="1900"/>
    </row>
    <row r="10" spans="1:14" ht="18.75" customHeight="1" thickTop="1" thickBot="1" x14ac:dyDescent="0.25">
      <c r="C10" s="32"/>
      <c r="D10" s="32"/>
      <c r="E10" s="457"/>
      <c r="F10" s="457"/>
      <c r="G10" s="1888"/>
      <c r="H10" s="1888"/>
      <c r="I10" s="1888"/>
      <c r="J10" s="1888"/>
      <c r="K10" s="1888"/>
      <c r="L10" s="1888"/>
      <c r="M10" s="1888"/>
      <c r="N10" s="1902"/>
    </row>
    <row r="11" spans="1:14" ht="20.100000000000001" customHeight="1" thickTop="1" thickBot="1" x14ac:dyDescent="0.25">
      <c r="C11" s="473" t="s">
        <v>7921</v>
      </c>
      <c r="D11" s="466"/>
      <c r="E11" s="458"/>
      <c r="F11" s="458"/>
      <c r="G11" s="1903"/>
      <c r="H11" s="1903"/>
      <c r="I11" s="1903"/>
      <c r="J11" s="1903"/>
      <c r="K11" s="1903"/>
      <c r="L11" s="1903"/>
      <c r="M11" s="1903"/>
      <c r="N11" s="1904"/>
    </row>
    <row r="12" spans="1:14" ht="18.75" customHeight="1" thickTop="1" thickBot="1" x14ac:dyDescent="0.25">
      <c r="C12" s="460"/>
      <c r="D12" s="460"/>
      <c r="E12" s="373"/>
      <c r="F12" s="373"/>
      <c r="G12" s="1902"/>
      <c r="H12" s="1902"/>
      <c r="I12" s="1902"/>
      <c r="J12" s="1902"/>
      <c r="K12" s="1902"/>
      <c r="L12" s="1902"/>
      <c r="M12" s="1902"/>
      <c r="N12" s="1902"/>
    </row>
    <row r="13" spans="1:14" ht="19.5" customHeight="1" thickTop="1" x14ac:dyDescent="0.2">
      <c r="A13" s="373" t="s">
        <v>7807</v>
      </c>
      <c r="C13" s="467" t="s">
        <v>7800</v>
      </c>
      <c r="D13" s="499" t="s">
        <v>7967</v>
      </c>
      <c r="E13" s="474">
        <v>4</v>
      </c>
      <c r="F13" s="475" t="s">
        <v>747</v>
      </c>
      <c r="G13" s="1905"/>
      <c r="H13" s="1905"/>
      <c r="I13" s="1906"/>
      <c r="J13" s="1905"/>
      <c r="K13" s="1905"/>
      <c r="L13" s="1906"/>
      <c r="M13" s="1905"/>
      <c r="N13" s="1894"/>
    </row>
    <row r="14" spans="1:14" ht="19.5" customHeight="1" thickBot="1" x14ac:dyDescent="0.25">
      <c r="A14" s="472" t="s">
        <v>7846</v>
      </c>
      <c r="C14" s="468"/>
      <c r="D14" s="497" t="s">
        <v>7968</v>
      </c>
      <c r="E14" s="451">
        <v>5</v>
      </c>
      <c r="F14" s="498" t="s">
        <v>764</v>
      </c>
      <c r="G14" s="1898"/>
      <c r="H14" s="1907"/>
      <c r="I14" s="1907"/>
      <c r="J14" s="1898"/>
      <c r="K14" s="1907"/>
      <c r="L14" s="1907"/>
      <c r="M14" s="1898"/>
      <c r="N14" s="1900"/>
    </row>
    <row r="15" spans="1:14" ht="13.5" thickTop="1" x14ac:dyDescent="0.2"/>
  </sheetData>
  <mergeCells count="1">
    <mergeCell ref="C7:C9"/>
  </mergeCells>
  <phoneticPr fontId="59"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theme="4"/>
  </sheetPr>
  <dimension ref="A1:N45"/>
  <sheetViews>
    <sheetView topLeftCell="C1" zoomScaleNormal="100" workbookViewId="0">
      <selection activeCell="C4" sqref="C4"/>
    </sheetView>
  </sheetViews>
  <sheetFormatPr defaultRowHeight="12.75" x14ac:dyDescent="0.2"/>
  <cols>
    <col min="1" max="2" width="10.140625" hidden="1" customWidth="1"/>
    <col min="3" max="3" width="18.7109375" customWidth="1"/>
    <col min="4" max="4" width="8.5703125" customWidth="1"/>
    <col min="5" max="5" width="3" customWidth="1"/>
    <col min="6" max="6" width="10.140625" customWidth="1"/>
    <col min="7" max="14" width="13.85546875" customWidth="1"/>
    <col min="24" max="25" width="8" customWidth="1"/>
    <col min="27" max="27" width="44.7109375" customWidth="1"/>
    <col min="28" max="28" width="10" customWidth="1"/>
    <col min="53" max="53" width="42.140625" customWidth="1"/>
    <col min="54" max="54" width="10.7109375" customWidth="1"/>
    <col min="55" max="55" width="4.85546875" customWidth="1"/>
  </cols>
  <sheetData>
    <row r="1" spans="1:14" ht="30" customHeight="1" x14ac:dyDescent="0.2">
      <c r="A1" s="8"/>
      <c r="B1" s="8"/>
      <c r="C1" s="437" t="s">
        <v>7999</v>
      </c>
      <c r="D1" s="469"/>
      <c r="E1" s="470"/>
      <c r="F1" s="470"/>
      <c r="G1" s="470"/>
      <c r="H1" s="470"/>
      <c r="I1" s="470"/>
      <c r="J1" s="470"/>
      <c r="K1" s="470"/>
      <c r="L1" s="470"/>
      <c r="M1" s="470"/>
      <c r="N1" s="470"/>
    </row>
    <row r="2" spans="1:14" ht="12.75" customHeight="1" x14ac:dyDescent="0.2">
      <c r="A2" s="440" t="s">
        <v>7909</v>
      </c>
      <c r="B2" s="15"/>
      <c r="C2" s="13"/>
      <c r="D2" s="427"/>
      <c r="E2" s="244"/>
      <c r="F2" s="244"/>
      <c r="G2" s="449" t="s">
        <v>940</v>
      </c>
      <c r="H2" s="449" t="s">
        <v>954</v>
      </c>
      <c r="I2" s="449" t="s">
        <v>968</v>
      </c>
      <c r="J2" s="449" t="s">
        <v>947</v>
      </c>
      <c r="K2" s="449" t="s">
        <v>961</v>
      </c>
      <c r="L2" s="449" t="s">
        <v>975</v>
      </c>
      <c r="M2" s="449" t="s">
        <v>7800</v>
      </c>
      <c r="N2" s="449" t="s">
        <v>7800</v>
      </c>
    </row>
    <row r="3" spans="1:14" ht="21" customHeight="1" thickBot="1" x14ac:dyDescent="0.25">
      <c r="A3" s="441" t="s">
        <v>7797</v>
      </c>
      <c r="B3" s="20" t="s">
        <v>7356</v>
      </c>
      <c r="C3" s="442" t="str">
        <f>CountryName</f>
        <v>South Africa</v>
      </c>
      <c r="D3" s="427"/>
      <c r="E3" s="426"/>
      <c r="F3" s="426"/>
      <c r="G3" s="20"/>
      <c r="H3" s="20"/>
      <c r="I3" s="20"/>
      <c r="J3" s="20"/>
      <c r="K3" s="20"/>
      <c r="L3" s="20"/>
      <c r="M3" s="20"/>
      <c r="N3" s="20"/>
    </row>
    <row r="4" spans="1:14" ht="19.5" customHeight="1" thickTop="1" x14ac:dyDescent="0.2">
      <c r="C4" s="2054">
        <f>DataYear</f>
        <v>2019</v>
      </c>
      <c r="D4" s="461"/>
      <c r="E4" s="425"/>
      <c r="F4" s="425"/>
      <c r="G4" s="428" t="s">
        <v>7958</v>
      </c>
      <c r="H4" s="432"/>
      <c r="I4" s="433"/>
      <c r="J4" s="429" t="s">
        <v>7959</v>
      </c>
      <c r="K4" s="432"/>
      <c r="L4" s="432"/>
      <c r="M4" s="428" t="s">
        <v>7800</v>
      </c>
      <c r="N4" s="434"/>
    </row>
    <row r="5" spans="1:14" ht="20.100000000000001" customHeight="1" x14ac:dyDescent="0.2">
      <c r="A5" s="242" t="s">
        <v>7910</v>
      </c>
      <c r="B5" s="439" t="s">
        <v>1483</v>
      </c>
      <c r="C5" s="435"/>
      <c r="D5" s="462"/>
      <c r="E5" s="436"/>
      <c r="F5" s="436"/>
      <c r="G5" s="431" t="s">
        <v>7801</v>
      </c>
      <c r="H5" s="430" t="s">
        <v>7802</v>
      </c>
      <c r="I5" s="430" t="s">
        <v>830</v>
      </c>
      <c r="J5" s="430" t="s">
        <v>7801</v>
      </c>
      <c r="K5" s="430" t="s">
        <v>7802</v>
      </c>
      <c r="L5" s="430" t="s">
        <v>830</v>
      </c>
      <c r="M5" s="430" t="s">
        <v>7801</v>
      </c>
      <c r="N5" s="485" t="s">
        <v>830</v>
      </c>
    </row>
    <row r="6" spans="1:14" ht="19.5" customHeight="1" thickBot="1" x14ac:dyDescent="0.25">
      <c r="A6" s="438"/>
      <c r="B6" s="471"/>
      <c r="C6" s="455" t="s">
        <v>7960</v>
      </c>
      <c r="D6" s="463"/>
      <c r="E6" s="464"/>
      <c r="F6" s="456" t="s">
        <v>7961</v>
      </c>
      <c r="G6" s="459" t="s">
        <v>7239</v>
      </c>
      <c r="H6" s="459" t="s">
        <v>7240</v>
      </c>
      <c r="I6" s="459" t="s">
        <v>7241</v>
      </c>
      <c r="J6" s="459" t="s">
        <v>7242</v>
      </c>
      <c r="K6" s="459" t="s">
        <v>7243</v>
      </c>
      <c r="L6" s="459" t="s">
        <v>7244</v>
      </c>
      <c r="M6" s="445" t="s">
        <v>7245</v>
      </c>
      <c r="N6" s="465" t="s">
        <v>7246</v>
      </c>
    </row>
    <row r="7" spans="1:14" ht="19.5" customHeight="1" thickTop="1" x14ac:dyDescent="0.2">
      <c r="A7" s="20" t="s">
        <v>7966</v>
      </c>
      <c r="B7" s="20" t="s">
        <v>659</v>
      </c>
      <c r="C7" s="2353" t="s">
        <v>8000</v>
      </c>
      <c r="D7" s="477" t="s">
        <v>7964</v>
      </c>
      <c r="E7" s="448">
        <v>1</v>
      </c>
      <c r="F7" s="506" t="s">
        <v>7863</v>
      </c>
      <c r="G7" s="1895"/>
      <c r="H7" s="1895"/>
      <c r="I7" s="1895"/>
      <c r="J7" s="1895"/>
      <c r="K7" s="1895"/>
      <c r="L7" s="1895"/>
      <c r="M7" s="1893"/>
      <c r="N7" s="1896"/>
    </row>
    <row r="8" spans="1:14" ht="19.5" customHeight="1" x14ac:dyDescent="0.2">
      <c r="A8" s="20" t="s">
        <v>7807</v>
      </c>
      <c r="B8" s="20" t="s">
        <v>659</v>
      </c>
      <c r="C8" s="2354"/>
      <c r="D8" s="481" t="s">
        <v>7967</v>
      </c>
      <c r="E8" s="448">
        <v>2</v>
      </c>
      <c r="F8" s="482" t="s">
        <v>747</v>
      </c>
      <c r="G8" s="1895"/>
      <c r="H8" s="1895"/>
      <c r="I8" s="1893"/>
      <c r="J8" s="1895"/>
      <c r="K8" s="1895"/>
      <c r="L8" s="1893"/>
      <c r="M8" s="1897"/>
      <c r="N8" s="1896"/>
    </row>
    <row r="9" spans="1:14" ht="19.5" customHeight="1" thickBot="1" x14ac:dyDescent="0.25">
      <c r="A9" s="20" t="s">
        <v>7846</v>
      </c>
      <c r="B9" s="20" t="s">
        <v>659</v>
      </c>
      <c r="C9" s="2376"/>
      <c r="D9" s="509" t="s">
        <v>7968</v>
      </c>
      <c r="E9" s="447">
        <v>3</v>
      </c>
      <c r="F9" s="476" t="s">
        <v>764</v>
      </c>
      <c r="G9" s="1898"/>
      <c r="H9" s="1899"/>
      <c r="I9" s="1899"/>
      <c r="J9" s="1898"/>
      <c r="K9" s="1899"/>
      <c r="L9" s="1899"/>
      <c r="M9" s="1898"/>
      <c r="N9" s="1900"/>
    </row>
    <row r="10" spans="1:14" ht="19.5" customHeight="1" thickTop="1" x14ac:dyDescent="0.2">
      <c r="A10" s="20" t="s">
        <v>7966</v>
      </c>
      <c r="B10" s="20" t="s">
        <v>669</v>
      </c>
      <c r="C10" s="2353" t="s">
        <v>8001</v>
      </c>
      <c r="D10" s="477" t="s">
        <v>7964</v>
      </c>
      <c r="E10" s="448">
        <v>4</v>
      </c>
      <c r="F10" s="506" t="s">
        <v>7863</v>
      </c>
      <c r="G10" s="1895"/>
      <c r="H10" s="1895"/>
      <c r="I10" s="1895"/>
      <c r="J10" s="1895"/>
      <c r="K10" s="1895"/>
      <c r="L10" s="1895"/>
      <c r="M10" s="1893"/>
      <c r="N10" s="1896"/>
    </row>
    <row r="11" spans="1:14" ht="19.5" customHeight="1" x14ac:dyDescent="0.2">
      <c r="A11" s="20" t="s">
        <v>7807</v>
      </c>
      <c r="B11" s="20" t="s">
        <v>669</v>
      </c>
      <c r="C11" s="2354"/>
      <c r="D11" s="481" t="s">
        <v>7967</v>
      </c>
      <c r="E11" s="448">
        <v>5</v>
      </c>
      <c r="F11" s="482" t="s">
        <v>747</v>
      </c>
      <c r="G11" s="1895"/>
      <c r="H11" s="1895"/>
      <c r="I11" s="1893"/>
      <c r="J11" s="1895"/>
      <c r="K11" s="1895"/>
      <c r="L11" s="1893"/>
      <c r="M11" s="1897"/>
      <c r="N11" s="1896"/>
    </row>
    <row r="12" spans="1:14" ht="19.5" customHeight="1" thickBot="1" x14ac:dyDescent="0.25">
      <c r="A12" s="20" t="s">
        <v>7846</v>
      </c>
      <c r="B12" s="20" t="s">
        <v>669</v>
      </c>
      <c r="C12" s="2376"/>
      <c r="D12" s="509" t="s">
        <v>7968</v>
      </c>
      <c r="E12" s="447">
        <v>6</v>
      </c>
      <c r="F12" s="476" t="s">
        <v>764</v>
      </c>
      <c r="G12" s="1898"/>
      <c r="H12" s="1899"/>
      <c r="I12" s="1899"/>
      <c r="J12" s="1898"/>
      <c r="K12" s="1899"/>
      <c r="L12" s="1899"/>
      <c r="M12" s="1898"/>
      <c r="N12" s="1900"/>
    </row>
    <row r="13" spans="1:14" ht="19.5" customHeight="1" thickTop="1" x14ac:dyDescent="0.2">
      <c r="A13" s="20" t="s">
        <v>7966</v>
      </c>
      <c r="B13" s="20" t="s">
        <v>676</v>
      </c>
      <c r="C13" s="2353" t="s">
        <v>8002</v>
      </c>
      <c r="D13" s="477" t="s">
        <v>7964</v>
      </c>
      <c r="E13" s="448">
        <v>7</v>
      </c>
      <c r="F13" s="506" t="s">
        <v>7863</v>
      </c>
      <c r="G13" s="1895"/>
      <c r="H13" s="1895"/>
      <c r="I13" s="1895"/>
      <c r="J13" s="1895"/>
      <c r="K13" s="1895"/>
      <c r="L13" s="1895"/>
      <c r="M13" s="1893"/>
      <c r="N13" s="1896"/>
    </row>
    <row r="14" spans="1:14" ht="19.5" customHeight="1" x14ac:dyDescent="0.2">
      <c r="A14" s="20" t="s">
        <v>7807</v>
      </c>
      <c r="B14" s="20" t="s">
        <v>676</v>
      </c>
      <c r="C14" s="2354"/>
      <c r="D14" s="481" t="s">
        <v>7967</v>
      </c>
      <c r="E14" s="448">
        <v>8</v>
      </c>
      <c r="F14" s="482" t="s">
        <v>747</v>
      </c>
      <c r="G14" s="1895"/>
      <c r="H14" s="1895"/>
      <c r="I14" s="1893"/>
      <c r="J14" s="1895"/>
      <c r="K14" s="1895"/>
      <c r="L14" s="1893"/>
      <c r="M14" s="1897"/>
      <c r="N14" s="1896"/>
    </row>
    <row r="15" spans="1:14" ht="19.5" customHeight="1" thickBot="1" x14ac:dyDescent="0.25">
      <c r="A15" s="20" t="s">
        <v>7846</v>
      </c>
      <c r="B15" s="20" t="s">
        <v>676</v>
      </c>
      <c r="C15" s="2376"/>
      <c r="D15" s="509" t="s">
        <v>7968</v>
      </c>
      <c r="E15" s="447">
        <v>9</v>
      </c>
      <c r="F15" s="476" t="s">
        <v>764</v>
      </c>
      <c r="G15" s="1898"/>
      <c r="H15" s="1899"/>
      <c r="I15" s="1899"/>
      <c r="J15" s="1898"/>
      <c r="K15" s="1899"/>
      <c r="L15" s="1899"/>
      <c r="M15" s="1898"/>
      <c r="N15" s="1900"/>
    </row>
    <row r="16" spans="1:14" ht="19.5" customHeight="1" thickTop="1" x14ac:dyDescent="0.2">
      <c r="A16" s="230" t="s">
        <v>7966</v>
      </c>
      <c r="B16" s="230" t="s">
        <v>7841</v>
      </c>
      <c r="C16" s="2353" t="s">
        <v>7854</v>
      </c>
      <c r="D16" s="477" t="s">
        <v>7964</v>
      </c>
      <c r="E16" s="486">
        <v>10</v>
      </c>
      <c r="F16" s="506" t="s">
        <v>7863</v>
      </c>
      <c r="G16" s="1895"/>
      <c r="H16" s="1895"/>
      <c r="I16" s="1895"/>
      <c r="J16" s="1895"/>
      <c r="K16" s="1895"/>
      <c r="L16" s="1895"/>
      <c r="M16" s="1893"/>
      <c r="N16" s="1896"/>
    </row>
    <row r="17" spans="1:14" ht="19.5" customHeight="1" x14ac:dyDescent="0.2">
      <c r="A17" s="230" t="s">
        <v>7807</v>
      </c>
      <c r="B17" s="230" t="s">
        <v>7841</v>
      </c>
      <c r="C17" s="2354"/>
      <c r="D17" s="481" t="s">
        <v>7967</v>
      </c>
      <c r="E17" s="486">
        <v>11</v>
      </c>
      <c r="F17" s="488" t="s">
        <v>747</v>
      </c>
      <c r="G17" s="1895"/>
      <c r="H17" s="1895"/>
      <c r="I17" s="1893"/>
      <c r="J17" s="1895"/>
      <c r="K17" s="1895"/>
      <c r="L17" s="1893"/>
      <c r="M17" s="1897"/>
      <c r="N17" s="1896"/>
    </row>
    <row r="18" spans="1:14" ht="19.5" customHeight="1" thickBot="1" x14ac:dyDescent="0.25">
      <c r="A18" s="230" t="s">
        <v>7846</v>
      </c>
      <c r="B18" s="230" t="s">
        <v>7841</v>
      </c>
      <c r="C18" s="2376"/>
      <c r="D18" s="509" t="s">
        <v>7968</v>
      </c>
      <c r="E18" s="450">
        <v>12</v>
      </c>
      <c r="F18" s="489" t="s">
        <v>764</v>
      </c>
      <c r="G18" s="1898"/>
      <c r="H18" s="1899"/>
      <c r="I18" s="1899"/>
      <c r="J18" s="1898"/>
      <c r="K18" s="1899"/>
      <c r="L18" s="1899"/>
      <c r="M18" s="1898"/>
      <c r="N18" s="1900"/>
    </row>
    <row r="19" spans="1:14" ht="19.5" customHeight="1" thickTop="1" x14ac:dyDescent="0.2">
      <c r="A19" s="230" t="s">
        <v>7966</v>
      </c>
      <c r="B19" s="230" t="s">
        <v>689</v>
      </c>
      <c r="C19" s="2353" t="s">
        <v>689</v>
      </c>
      <c r="D19" s="477" t="s">
        <v>7964</v>
      </c>
      <c r="E19" s="486">
        <v>13</v>
      </c>
      <c r="F19" s="506" t="s">
        <v>7863</v>
      </c>
      <c r="G19" s="1895"/>
      <c r="H19" s="1895"/>
      <c r="I19" s="1895"/>
      <c r="J19" s="1895"/>
      <c r="K19" s="1895"/>
      <c r="L19" s="1895"/>
      <c r="M19" s="1893"/>
      <c r="N19" s="1896"/>
    </row>
    <row r="20" spans="1:14" ht="19.5" customHeight="1" x14ac:dyDescent="0.2">
      <c r="A20" s="230" t="s">
        <v>7807</v>
      </c>
      <c r="B20" s="230" t="s">
        <v>689</v>
      </c>
      <c r="C20" s="2354"/>
      <c r="D20" s="481" t="s">
        <v>7967</v>
      </c>
      <c r="E20" s="486">
        <v>14</v>
      </c>
      <c r="F20" s="488" t="s">
        <v>747</v>
      </c>
      <c r="G20" s="1895"/>
      <c r="H20" s="1895"/>
      <c r="I20" s="1893"/>
      <c r="J20" s="1895"/>
      <c r="K20" s="1895"/>
      <c r="L20" s="1893"/>
      <c r="M20" s="1897"/>
      <c r="N20" s="1896"/>
    </row>
    <row r="21" spans="1:14" ht="19.5" customHeight="1" thickBot="1" x14ac:dyDescent="0.25">
      <c r="A21" s="230" t="s">
        <v>7846</v>
      </c>
      <c r="B21" s="230" t="s">
        <v>689</v>
      </c>
      <c r="C21" s="2376"/>
      <c r="D21" s="509" t="s">
        <v>7968</v>
      </c>
      <c r="E21" s="450">
        <v>15</v>
      </c>
      <c r="F21" s="489" t="s">
        <v>764</v>
      </c>
      <c r="G21" s="1898"/>
      <c r="H21" s="1899"/>
      <c r="I21" s="1899"/>
      <c r="J21" s="1898"/>
      <c r="K21" s="1899"/>
      <c r="L21" s="1899"/>
      <c r="M21" s="1898"/>
      <c r="N21" s="1900"/>
    </row>
    <row r="22" spans="1:14" ht="19.5" customHeight="1" thickTop="1" x14ac:dyDescent="0.2">
      <c r="A22" s="230" t="s">
        <v>7962</v>
      </c>
      <c r="B22" s="230" t="s">
        <v>710</v>
      </c>
      <c r="C22" s="2380" t="s">
        <v>8003</v>
      </c>
      <c r="D22" s="513" t="s">
        <v>7964</v>
      </c>
      <c r="E22" s="514">
        <v>16</v>
      </c>
      <c r="F22" s="487" t="s">
        <v>7965</v>
      </c>
      <c r="G22" s="1892"/>
      <c r="H22" s="1892"/>
      <c r="I22" s="1892"/>
      <c r="J22" s="1892"/>
      <c r="K22" s="1892"/>
      <c r="L22" s="1892"/>
      <c r="M22" s="1893"/>
      <c r="N22" s="1894"/>
    </row>
    <row r="23" spans="1:14" ht="19.5" customHeight="1" x14ac:dyDescent="0.2">
      <c r="A23" s="230" t="s">
        <v>7966</v>
      </c>
      <c r="B23" s="230" t="s">
        <v>710</v>
      </c>
      <c r="C23" s="2381"/>
      <c r="D23" s="510" t="s">
        <v>7964</v>
      </c>
      <c r="E23" s="486">
        <v>17</v>
      </c>
      <c r="F23" s="506" t="s">
        <v>7863</v>
      </c>
      <c r="G23" s="1895"/>
      <c r="H23" s="1895"/>
      <c r="I23" s="1895"/>
      <c r="J23" s="1895"/>
      <c r="K23" s="1895"/>
      <c r="L23" s="1895"/>
      <c r="M23" s="1893"/>
      <c r="N23" s="1896"/>
    </row>
    <row r="24" spans="1:14" ht="19.5" customHeight="1" x14ac:dyDescent="0.2">
      <c r="A24" s="230" t="s">
        <v>7807</v>
      </c>
      <c r="B24" s="230" t="s">
        <v>710</v>
      </c>
      <c r="C24" s="2381"/>
      <c r="D24" s="512" t="s">
        <v>7967</v>
      </c>
      <c r="E24" s="486">
        <v>18</v>
      </c>
      <c r="F24" s="488" t="s">
        <v>747</v>
      </c>
      <c r="G24" s="1895"/>
      <c r="H24" s="1895"/>
      <c r="I24" s="1893"/>
      <c r="J24" s="1895"/>
      <c r="K24" s="1895"/>
      <c r="L24" s="1893"/>
      <c r="M24" s="1897"/>
      <c r="N24" s="1896"/>
    </row>
    <row r="25" spans="1:14" ht="19.5" customHeight="1" thickBot="1" x14ac:dyDescent="0.25">
      <c r="A25" s="230" t="s">
        <v>7846</v>
      </c>
      <c r="B25" s="230" t="s">
        <v>710</v>
      </c>
      <c r="C25" s="2382"/>
      <c r="D25" s="511" t="s">
        <v>7968</v>
      </c>
      <c r="E25" s="450">
        <v>19</v>
      </c>
      <c r="F25" s="489" t="s">
        <v>764</v>
      </c>
      <c r="G25" s="1898"/>
      <c r="H25" s="1899"/>
      <c r="I25" s="1899"/>
      <c r="J25" s="1898"/>
      <c r="K25" s="1899"/>
      <c r="L25" s="1899"/>
      <c r="M25" s="1898"/>
      <c r="N25" s="1900"/>
    </row>
    <row r="26" spans="1:14" ht="19.5" customHeight="1" thickTop="1" x14ac:dyDescent="0.2">
      <c r="A26" s="1793" t="s">
        <v>7962</v>
      </c>
      <c r="B26" s="1793" t="s">
        <v>696</v>
      </c>
      <c r="C26" s="2353" t="s">
        <v>8004</v>
      </c>
      <c r="D26" s="513" t="s">
        <v>7964</v>
      </c>
      <c r="E26" s="514">
        <v>20</v>
      </c>
      <c r="F26" s="487" t="s">
        <v>8005</v>
      </c>
      <c r="G26" s="1892"/>
      <c r="H26" s="1892"/>
      <c r="I26" s="1892"/>
      <c r="J26" s="1892"/>
      <c r="K26" s="1892"/>
      <c r="L26" s="1892"/>
      <c r="M26" s="1893"/>
      <c r="N26" s="1894"/>
    </row>
    <row r="27" spans="1:14" ht="19.5" customHeight="1" x14ac:dyDescent="0.2">
      <c r="A27" s="1793" t="s">
        <v>7966</v>
      </c>
      <c r="B27" s="1793" t="s">
        <v>696</v>
      </c>
      <c r="C27" s="2385"/>
      <c r="D27" s="510" t="s">
        <v>7964</v>
      </c>
      <c r="E27" s="486">
        <v>21</v>
      </c>
      <c r="F27" s="506" t="s">
        <v>7863</v>
      </c>
      <c r="G27" s="1895"/>
      <c r="H27" s="1895"/>
      <c r="I27" s="1895"/>
      <c r="J27" s="1895"/>
      <c r="K27" s="1895"/>
      <c r="L27" s="1895"/>
      <c r="M27" s="1893"/>
      <c r="N27" s="1896"/>
    </row>
    <row r="28" spans="1:14" ht="19.5" customHeight="1" x14ac:dyDescent="0.2">
      <c r="A28" s="1793" t="s">
        <v>7807</v>
      </c>
      <c r="B28" s="1793" t="s">
        <v>696</v>
      </c>
      <c r="C28" s="2385"/>
      <c r="D28" s="512" t="s">
        <v>7967</v>
      </c>
      <c r="E28" s="486">
        <v>22</v>
      </c>
      <c r="F28" s="488" t="s">
        <v>747</v>
      </c>
      <c r="G28" s="1895"/>
      <c r="H28" s="1895"/>
      <c r="I28" s="1893"/>
      <c r="J28" s="1895"/>
      <c r="K28" s="1895"/>
      <c r="L28" s="1893"/>
      <c r="M28" s="1897"/>
      <c r="N28" s="1896"/>
    </row>
    <row r="29" spans="1:14" ht="19.5" customHeight="1" thickBot="1" x14ac:dyDescent="0.25">
      <c r="A29" s="1793" t="s">
        <v>7846</v>
      </c>
      <c r="B29" s="1793" t="s">
        <v>696</v>
      </c>
      <c r="C29" s="2386"/>
      <c r="D29" s="511" t="s">
        <v>7968</v>
      </c>
      <c r="E29" s="450">
        <v>23</v>
      </c>
      <c r="F29" s="489" t="s">
        <v>764</v>
      </c>
      <c r="G29" s="1898"/>
      <c r="H29" s="1899"/>
      <c r="I29" s="1899"/>
      <c r="J29" s="1898"/>
      <c r="K29" s="1899"/>
      <c r="L29" s="1899"/>
      <c r="M29" s="1898"/>
      <c r="N29" s="1900"/>
    </row>
    <row r="30" spans="1:14" ht="19.5" customHeight="1" thickTop="1" x14ac:dyDescent="0.2">
      <c r="A30" s="230" t="s">
        <v>7962</v>
      </c>
      <c r="B30" s="230" t="s">
        <v>717</v>
      </c>
      <c r="C30" s="2380" t="s">
        <v>8006</v>
      </c>
      <c r="D30" s="513" t="s">
        <v>7964</v>
      </c>
      <c r="E30" s="514">
        <v>24</v>
      </c>
      <c r="F30" s="487" t="s">
        <v>7965</v>
      </c>
      <c r="G30" s="1892"/>
      <c r="H30" s="1892"/>
      <c r="I30" s="1892"/>
      <c r="J30" s="1892"/>
      <c r="K30" s="1892"/>
      <c r="L30" s="1892"/>
      <c r="M30" s="1893"/>
      <c r="N30" s="1894"/>
    </row>
    <row r="31" spans="1:14" ht="19.5" customHeight="1" x14ac:dyDescent="0.2">
      <c r="A31" s="230" t="s">
        <v>7966</v>
      </c>
      <c r="B31" s="230" t="s">
        <v>717</v>
      </c>
      <c r="C31" s="2383"/>
      <c r="D31" s="510" t="s">
        <v>7964</v>
      </c>
      <c r="E31" s="486">
        <v>25</v>
      </c>
      <c r="F31" s="506" t="s">
        <v>7863</v>
      </c>
      <c r="G31" s="1895"/>
      <c r="H31" s="1895"/>
      <c r="I31" s="1895"/>
      <c r="J31" s="1895"/>
      <c r="K31" s="1895"/>
      <c r="L31" s="1895"/>
      <c r="M31" s="1893"/>
      <c r="N31" s="1896"/>
    </row>
    <row r="32" spans="1:14" ht="19.5" customHeight="1" x14ac:dyDescent="0.2">
      <c r="A32" s="230" t="s">
        <v>7807</v>
      </c>
      <c r="B32" s="230" t="s">
        <v>717</v>
      </c>
      <c r="C32" s="2383"/>
      <c r="D32" s="512" t="s">
        <v>7967</v>
      </c>
      <c r="E32" s="486">
        <v>26</v>
      </c>
      <c r="F32" s="488" t="s">
        <v>747</v>
      </c>
      <c r="G32" s="1895"/>
      <c r="H32" s="1895"/>
      <c r="I32" s="1893"/>
      <c r="J32" s="1895"/>
      <c r="K32" s="1895"/>
      <c r="L32" s="1893"/>
      <c r="M32" s="1897"/>
      <c r="N32" s="1896"/>
    </row>
    <row r="33" spans="1:14" ht="19.5" customHeight="1" thickBot="1" x14ac:dyDescent="0.25">
      <c r="A33" s="230" t="s">
        <v>7846</v>
      </c>
      <c r="B33" s="230" t="s">
        <v>717</v>
      </c>
      <c r="C33" s="2384"/>
      <c r="D33" s="511" t="s">
        <v>7968</v>
      </c>
      <c r="E33" s="450">
        <v>27</v>
      </c>
      <c r="F33" s="489" t="s">
        <v>764</v>
      </c>
      <c r="G33" s="1898"/>
      <c r="H33" s="1899"/>
      <c r="I33" s="1899"/>
      <c r="J33" s="1898"/>
      <c r="K33" s="1899"/>
      <c r="L33" s="1899"/>
      <c r="M33" s="1898"/>
      <c r="N33" s="1900"/>
    </row>
    <row r="34" spans="1:14" ht="18.75" customHeight="1" thickTop="1" thickBot="1" x14ac:dyDescent="0.25">
      <c r="C34" s="443"/>
      <c r="D34" s="501"/>
      <c r="E34" s="373"/>
      <c r="F34" s="20"/>
      <c r="G34" s="458"/>
      <c r="H34" s="458"/>
      <c r="I34" s="458"/>
      <c r="J34" s="458"/>
      <c r="K34" s="502"/>
      <c r="L34" s="502"/>
      <c r="M34" s="458"/>
      <c r="N34" s="458"/>
    </row>
    <row r="35" spans="1:14" ht="18.75" customHeight="1" thickTop="1" thickBot="1" x14ac:dyDescent="0.25">
      <c r="C35" s="473" t="s">
        <v>7921</v>
      </c>
      <c r="D35" s="466"/>
      <c r="E35" s="458"/>
      <c r="F35" s="458"/>
      <c r="G35" s="453"/>
      <c r="H35" s="453"/>
      <c r="I35" s="453"/>
      <c r="J35" s="453"/>
      <c r="K35" s="453"/>
      <c r="L35" s="453"/>
      <c r="M35" s="453"/>
      <c r="N35" s="454"/>
    </row>
    <row r="36" spans="1:14" ht="18.75" customHeight="1" thickTop="1" thickBot="1" x14ac:dyDescent="0.25">
      <c r="C36" s="443"/>
      <c r="E36" s="373"/>
      <c r="F36" s="20"/>
      <c r="G36" s="373"/>
      <c r="H36" s="373"/>
      <c r="I36" s="373"/>
      <c r="J36" s="373"/>
      <c r="K36" s="503"/>
      <c r="L36" s="503"/>
      <c r="M36" s="373"/>
      <c r="N36" s="373"/>
    </row>
    <row r="37" spans="1:14" ht="19.5" customHeight="1" thickTop="1" x14ac:dyDescent="0.2">
      <c r="A37" s="373" t="s">
        <v>7807</v>
      </c>
      <c r="B37" s="221" t="s">
        <v>8007</v>
      </c>
      <c r="C37" s="467" t="s">
        <v>7800</v>
      </c>
      <c r="D37" s="505" t="s">
        <v>7967</v>
      </c>
      <c r="E37" s="1791">
        <v>28</v>
      </c>
      <c r="F37" s="515" t="s">
        <v>747</v>
      </c>
      <c r="G37" s="1777"/>
      <c r="H37" s="1777"/>
      <c r="I37" s="1778"/>
      <c r="J37" s="1777"/>
      <c r="K37" s="1777"/>
      <c r="L37" s="1778"/>
      <c r="M37" s="1777"/>
      <c r="N37" s="1775"/>
    </row>
    <row r="38" spans="1:14" ht="19.5" customHeight="1" thickBot="1" x14ac:dyDescent="0.25">
      <c r="A38" s="472" t="s">
        <v>7846</v>
      </c>
      <c r="B38" s="490" t="s">
        <v>8007</v>
      </c>
      <c r="C38" s="468"/>
      <c r="D38" s="483" t="s">
        <v>7968</v>
      </c>
      <c r="E38" s="1792">
        <v>29</v>
      </c>
      <c r="F38" s="489" t="s">
        <v>764</v>
      </c>
      <c r="G38" s="1776"/>
      <c r="H38" s="1779"/>
      <c r="I38" s="1779"/>
      <c r="J38" s="1776"/>
      <c r="K38" s="1779"/>
      <c r="L38" s="1779"/>
      <c r="M38" s="1776"/>
      <c r="N38" s="1774"/>
    </row>
    <row r="39" spans="1:14" ht="18.75" customHeight="1" thickTop="1" thickBot="1" x14ac:dyDescent="0.25">
      <c r="C39" s="373"/>
      <c r="D39" s="504"/>
      <c r="E39" s="221"/>
      <c r="F39" s="230"/>
      <c r="G39" s="2052"/>
      <c r="H39" s="2052"/>
      <c r="I39" s="2052"/>
      <c r="J39" s="2052"/>
      <c r="K39" s="2053"/>
      <c r="L39" s="2053"/>
      <c r="M39" s="2052"/>
      <c r="N39" s="2052"/>
    </row>
    <row r="40" spans="1:14" ht="19.5" customHeight="1" thickTop="1" x14ac:dyDescent="0.2">
      <c r="C40" s="467" t="s">
        <v>7800</v>
      </c>
      <c r="D40" s="507" t="s">
        <v>7967</v>
      </c>
      <c r="E40" s="1791">
        <v>30</v>
      </c>
      <c r="F40" s="515" t="s">
        <v>747</v>
      </c>
      <c r="G40" s="1777"/>
      <c r="H40" s="1777"/>
      <c r="I40" s="1778"/>
      <c r="J40" s="1777"/>
      <c r="K40" s="1777"/>
      <c r="L40" s="1778"/>
      <c r="M40" s="1777"/>
      <c r="N40" s="1775"/>
    </row>
    <row r="41" spans="1:14" ht="19.5" customHeight="1" thickBot="1" x14ac:dyDescent="0.25">
      <c r="C41" s="500" t="s">
        <v>8008</v>
      </c>
      <c r="D41" s="508" t="s">
        <v>7968</v>
      </c>
      <c r="E41" s="1792">
        <v>31</v>
      </c>
      <c r="F41" s="489" t="s">
        <v>764</v>
      </c>
      <c r="G41" s="1776"/>
      <c r="H41" s="1779"/>
      <c r="I41" s="1779"/>
      <c r="J41" s="1776"/>
      <c r="K41" s="1779"/>
      <c r="L41" s="1779"/>
      <c r="M41" s="1776"/>
      <c r="N41" s="1774"/>
    </row>
    <row r="42" spans="1:14" ht="15" customHeight="1" thickTop="1" x14ac:dyDescent="0.2"/>
    <row r="43" spans="1:14" ht="9" customHeight="1" x14ac:dyDescent="0.2"/>
    <row r="44" spans="1:14" ht="8.25" customHeight="1" x14ac:dyDescent="0.2"/>
    <row r="45" spans="1:14" ht="9" customHeight="1" x14ac:dyDescent="0.2"/>
  </sheetData>
  <mergeCells count="8">
    <mergeCell ref="C22:C25"/>
    <mergeCell ref="C30:C33"/>
    <mergeCell ref="C7:C9"/>
    <mergeCell ref="C10:C12"/>
    <mergeCell ref="C13:C15"/>
    <mergeCell ref="C16:C18"/>
    <mergeCell ref="C19:C21"/>
    <mergeCell ref="C26:C29"/>
  </mergeCells>
  <phoneticPr fontId="58" type="noConversion"/>
  <dataValidations count="1">
    <dataValidation type="decimal" operator="greaterThanOrEqual" allowBlank="1" showInputMessage="1" showErrorMessage="1" error="Positive whole numbers only / Nombres entiers positifs uniquement" sqref="M40 K33:L33 G30:L31 G40:I41 J32:K32 G32:I33 G37:I38 K41:M41 J40:K40 G7:L7 G8:H8 H9:I9 J8:K8 K9:L9 G10:L10 G11:H11 H12:I12 J11:K11 K12:L12 G13:L13 G14:H14 H15:I15 J14:K14 G23:K23 K15:L15 K24:L29 G16:L16 J17:K17 G17:H17 G20:K20 K18:L18 G22:L22 H18:I18 G19:L19 K21:L21 H21:I21 H24:I24 G25:I29" xr:uid="{00000000-0002-0000-2400-000000000000}">
      <formula1>0</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tabColor theme="4"/>
    <pageSetUpPr fitToPage="1"/>
  </sheetPr>
  <dimension ref="A1:G34"/>
  <sheetViews>
    <sheetView showGridLines="0" zoomScaleNormal="100" workbookViewId="0">
      <pane xSplit="4" ySplit="6" topLeftCell="E7" activePane="bottomRight" state="frozen"/>
      <selection pane="topRight"/>
      <selection pane="bottomLeft"/>
      <selection pane="bottomRight" activeCell="C4" sqref="C4"/>
    </sheetView>
  </sheetViews>
  <sheetFormatPr defaultColWidth="9.140625" defaultRowHeight="12.75" x14ac:dyDescent="0.2"/>
  <cols>
    <col min="1" max="2" width="10.7109375" hidden="1" customWidth="1"/>
    <col min="3" max="3" width="10.7109375" customWidth="1"/>
    <col min="4" max="4" width="26.28515625" customWidth="1"/>
    <col min="5" max="5" width="26" customWidth="1"/>
    <col min="6" max="6" width="23.140625" customWidth="1"/>
    <col min="7" max="7" width="18.7109375" customWidth="1"/>
  </cols>
  <sheetData>
    <row r="1" spans="1:7" ht="33" customHeight="1" x14ac:dyDescent="0.2">
      <c r="C1" s="2387" t="s">
        <v>8009</v>
      </c>
      <c r="D1" s="2387"/>
      <c r="E1" s="2387"/>
      <c r="F1" s="2387"/>
      <c r="G1" s="427"/>
    </row>
    <row r="2" spans="1:7" s="20" customFormat="1" ht="12.75" customHeight="1" x14ac:dyDescent="0.2">
      <c r="C2" s="444"/>
      <c r="D2" s="630"/>
      <c r="E2" s="449"/>
      <c r="F2" s="449"/>
      <c r="G2" s="631"/>
    </row>
    <row r="3" spans="1:7" s="20" customFormat="1" ht="21" customHeight="1" x14ac:dyDescent="0.2">
      <c r="C3" s="632" t="str">
        <f>CountryName</f>
        <v>South Africa</v>
      </c>
      <c r="D3" s="630"/>
      <c r="G3" s="631"/>
    </row>
    <row r="4" spans="1:7" ht="19.5" customHeight="1" thickBot="1" x14ac:dyDescent="0.25">
      <c r="C4" s="2055">
        <f>DataYear</f>
        <v>2019</v>
      </c>
      <c r="F4" s="633" t="s">
        <v>7878</v>
      </c>
    </row>
    <row r="5" spans="1:7" ht="19.5" customHeight="1" thickTop="1" x14ac:dyDescent="0.2">
      <c r="A5" t="s">
        <v>1483</v>
      </c>
      <c r="B5" t="s">
        <v>7923</v>
      </c>
      <c r="C5" s="2388"/>
      <c r="D5" s="2389"/>
      <c r="E5" s="634" t="s">
        <v>8010</v>
      </c>
      <c r="F5" s="635" t="s">
        <v>8011</v>
      </c>
      <c r="G5" s="636"/>
    </row>
    <row r="6" spans="1:7" ht="19.5" customHeight="1" x14ac:dyDescent="0.2">
      <c r="B6" t="s">
        <v>8012</v>
      </c>
      <c r="C6" s="2390" t="s">
        <v>8013</v>
      </c>
      <c r="D6" s="2391"/>
      <c r="E6" s="637" t="s">
        <v>7239</v>
      </c>
      <c r="F6" s="638" t="s">
        <v>7240</v>
      </c>
      <c r="G6" s="373"/>
    </row>
    <row r="7" spans="1:7" ht="18.600000000000001" customHeight="1" x14ac:dyDescent="0.2">
      <c r="A7" s="20" t="s">
        <v>7885</v>
      </c>
      <c r="C7" s="639"/>
      <c r="D7" s="1914" t="s">
        <v>8014</v>
      </c>
      <c r="E7" s="1897"/>
      <c r="F7" s="1908"/>
      <c r="G7" s="640"/>
    </row>
    <row r="8" spans="1:7" ht="18.399999999999999" customHeight="1" x14ac:dyDescent="0.2">
      <c r="A8" s="20" t="s">
        <v>740</v>
      </c>
      <c r="C8" s="639"/>
      <c r="D8" s="1915" t="s">
        <v>8015</v>
      </c>
      <c r="E8" s="1909"/>
      <c r="F8" s="1910"/>
      <c r="G8" s="640"/>
    </row>
    <row r="9" spans="1:7" ht="18.399999999999999" customHeight="1" x14ac:dyDescent="0.2">
      <c r="A9" s="20" t="s">
        <v>750</v>
      </c>
      <c r="C9" s="639"/>
      <c r="D9" s="1915" t="s">
        <v>8016</v>
      </c>
      <c r="E9" s="1895"/>
      <c r="F9" s="1910"/>
      <c r="G9" s="640"/>
    </row>
    <row r="10" spans="1:7" ht="18.399999999999999" customHeight="1" x14ac:dyDescent="0.2">
      <c r="A10" s="20" t="s">
        <v>8017</v>
      </c>
      <c r="C10" s="639"/>
      <c r="D10" s="1920" t="s">
        <v>8018</v>
      </c>
      <c r="E10" s="736"/>
      <c r="F10" s="1910"/>
      <c r="G10" s="640"/>
    </row>
    <row r="11" spans="1:7" ht="18.399999999999999" customHeight="1" x14ac:dyDescent="0.2">
      <c r="A11" s="230" t="s">
        <v>7812</v>
      </c>
      <c r="C11" s="639"/>
      <c r="D11" s="1918" t="s">
        <v>8019</v>
      </c>
      <c r="E11" s="1895"/>
      <c r="F11" s="1910"/>
      <c r="G11" s="640"/>
    </row>
    <row r="12" spans="1:7" ht="18.600000000000001" customHeight="1" x14ac:dyDescent="0.2">
      <c r="A12" s="230" t="s">
        <v>7816</v>
      </c>
      <c r="C12" s="639"/>
      <c r="D12" s="1918" t="s">
        <v>8020</v>
      </c>
      <c r="E12" s="1911"/>
      <c r="F12" s="1910"/>
      <c r="G12" s="641"/>
    </row>
    <row r="13" spans="1:7" ht="18.399999999999999" customHeight="1" x14ac:dyDescent="0.2">
      <c r="A13" s="230" t="s">
        <v>757</v>
      </c>
      <c r="C13" s="639"/>
      <c r="D13" s="1919" t="s">
        <v>8021</v>
      </c>
      <c r="E13" s="1911"/>
      <c r="F13" s="1910"/>
      <c r="G13" s="640"/>
    </row>
    <row r="14" spans="1:7" ht="18.399999999999999" customHeight="1" x14ac:dyDescent="0.2">
      <c r="A14" s="230" t="s">
        <v>767</v>
      </c>
      <c r="C14" s="639"/>
      <c r="D14" s="1919" t="s">
        <v>8022</v>
      </c>
      <c r="E14" s="1895"/>
      <c r="F14" s="1910"/>
      <c r="G14" s="640"/>
    </row>
    <row r="15" spans="1:7" ht="18.399999999999999" customHeight="1" x14ac:dyDescent="0.2">
      <c r="A15" s="230" t="s">
        <v>774</v>
      </c>
      <c r="C15" s="639"/>
      <c r="D15" s="1919" t="s">
        <v>8023</v>
      </c>
      <c r="E15" s="1895"/>
      <c r="F15" s="1910"/>
      <c r="G15" s="640"/>
    </row>
    <row r="16" spans="1:7" ht="18.399999999999999" customHeight="1" x14ac:dyDescent="0.2">
      <c r="A16" s="20" t="s">
        <v>781</v>
      </c>
      <c r="C16" s="639"/>
      <c r="D16" s="1915" t="s">
        <v>8024</v>
      </c>
      <c r="E16" s="1895"/>
      <c r="F16" s="1910"/>
      <c r="G16" s="640"/>
    </row>
    <row r="17" spans="1:7" ht="18.399999999999999" customHeight="1" x14ac:dyDescent="0.2">
      <c r="A17" s="20" t="s">
        <v>788</v>
      </c>
      <c r="C17" s="639"/>
      <c r="D17" s="1915" t="s">
        <v>8025</v>
      </c>
      <c r="E17" s="1895"/>
      <c r="F17" s="1910"/>
      <c r="G17" s="640"/>
    </row>
    <row r="18" spans="1:7" ht="18.399999999999999" customHeight="1" x14ac:dyDescent="0.2">
      <c r="A18" s="20" t="s">
        <v>7918</v>
      </c>
      <c r="C18" s="639"/>
      <c r="D18" s="1915" t="s">
        <v>8026</v>
      </c>
      <c r="E18" s="1895"/>
      <c r="F18" s="1910"/>
      <c r="G18" s="640"/>
    </row>
    <row r="19" spans="1:7" ht="18.399999999999999" customHeight="1" x14ac:dyDescent="0.2">
      <c r="A19" s="20" t="s">
        <v>816</v>
      </c>
      <c r="C19" s="642"/>
      <c r="D19" s="1915" t="s">
        <v>8027</v>
      </c>
      <c r="E19" s="1895"/>
      <c r="F19" s="1910"/>
      <c r="G19" s="640"/>
    </row>
    <row r="20" spans="1:7" ht="18.399999999999999" customHeight="1" x14ac:dyDescent="0.2">
      <c r="A20" s="1921"/>
      <c r="C20" s="2392" t="s">
        <v>8028</v>
      </c>
      <c r="D20" s="1914" t="s">
        <v>8029</v>
      </c>
      <c r="E20" s="1897"/>
      <c r="F20" s="1908"/>
      <c r="G20" s="592"/>
    </row>
    <row r="21" spans="1:7" ht="18.399999999999999" customHeight="1" x14ac:dyDescent="0.2">
      <c r="A21" s="20" t="s">
        <v>8030</v>
      </c>
      <c r="C21" s="2354"/>
      <c r="D21" s="1805" t="s">
        <v>8031</v>
      </c>
      <c r="E21" s="1909"/>
      <c r="F21" s="1910"/>
      <c r="G21" s="592"/>
    </row>
    <row r="22" spans="1:7" ht="18.399999999999999" customHeight="1" x14ac:dyDescent="0.2">
      <c r="A22" s="20" t="s">
        <v>8032</v>
      </c>
      <c r="C22" s="2354"/>
      <c r="D22" s="1915" t="s">
        <v>8033</v>
      </c>
      <c r="E22" s="1909"/>
      <c r="F22" s="1910"/>
      <c r="G22" s="640"/>
    </row>
    <row r="23" spans="1:7" ht="18.399999999999999" customHeight="1" x14ac:dyDescent="0.2">
      <c r="A23" s="20" t="s">
        <v>8034</v>
      </c>
      <c r="C23" s="2354"/>
      <c r="D23" s="1915" t="s">
        <v>8035</v>
      </c>
      <c r="E23" s="1909"/>
      <c r="F23" s="1910"/>
      <c r="G23" s="640"/>
    </row>
    <row r="24" spans="1:7" ht="18.399999999999999" customHeight="1" x14ac:dyDescent="0.2">
      <c r="A24" s="20" t="s">
        <v>8036</v>
      </c>
      <c r="C24" s="2354"/>
      <c r="D24" s="1916" t="s">
        <v>8037</v>
      </c>
      <c r="E24" s="1909"/>
      <c r="F24" s="1910"/>
      <c r="G24" s="640"/>
    </row>
    <row r="25" spans="1:7" ht="18.399999999999999" customHeight="1" thickBot="1" x14ac:dyDescent="0.25">
      <c r="A25" s="20" t="s">
        <v>8038</v>
      </c>
      <c r="C25" s="2376"/>
      <c r="D25" s="1917" t="s">
        <v>8039</v>
      </c>
      <c r="E25" s="1912"/>
      <c r="F25" s="1913"/>
      <c r="G25" s="640"/>
    </row>
    <row r="26" spans="1:7" ht="14.25" thickTop="1" thickBot="1" x14ac:dyDescent="0.25"/>
    <row r="27" spans="1:7" ht="13.5" thickTop="1" x14ac:dyDescent="0.2">
      <c r="C27" s="1798" t="s">
        <v>8040</v>
      </c>
      <c r="D27" s="1797"/>
      <c r="E27" s="1802"/>
    </row>
    <row r="28" spans="1:7" x14ac:dyDescent="0.2">
      <c r="A28" s="20" t="s">
        <v>8041</v>
      </c>
      <c r="C28" s="2354" t="s">
        <v>8042</v>
      </c>
      <c r="D28" s="496" t="s">
        <v>8043</v>
      </c>
      <c r="E28" s="1771"/>
    </row>
    <row r="29" spans="1:7" x14ac:dyDescent="0.2">
      <c r="A29" s="20" t="s">
        <v>8044</v>
      </c>
      <c r="C29" s="2354"/>
      <c r="D29" s="1803" t="s">
        <v>8045</v>
      </c>
      <c r="E29" s="1799"/>
    </row>
    <row r="30" spans="1:7" x14ac:dyDescent="0.2">
      <c r="A30" s="20" t="s">
        <v>8046</v>
      </c>
      <c r="C30" s="2354"/>
      <c r="D30" s="1804" t="s">
        <v>8047</v>
      </c>
      <c r="E30" s="1806"/>
    </row>
    <row r="31" spans="1:7" ht="13.5" thickBot="1" x14ac:dyDescent="0.25">
      <c r="A31" s="20" t="s">
        <v>8048</v>
      </c>
      <c r="C31" s="2376"/>
      <c r="D31" s="1805" t="s">
        <v>8042</v>
      </c>
      <c r="E31" s="1807"/>
    </row>
    <row r="32" spans="1:7" ht="14.25" thickTop="1" thickBot="1" x14ac:dyDescent="0.25">
      <c r="C32" s="1794"/>
      <c r="D32" s="1795"/>
      <c r="E32" s="1796"/>
    </row>
    <row r="33" spans="3:5" ht="14.25" thickTop="1" thickBot="1" x14ac:dyDescent="0.25">
      <c r="C33" s="473" t="s">
        <v>8049</v>
      </c>
      <c r="D33" s="1801"/>
      <c r="E33" s="1800"/>
    </row>
    <row r="34" spans="3:5" ht="13.5" thickTop="1" x14ac:dyDescent="0.2"/>
  </sheetData>
  <mergeCells count="5">
    <mergeCell ref="C1:F1"/>
    <mergeCell ref="C5:D5"/>
    <mergeCell ref="C6:D6"/>
    <mergeCell ref="C20:C25"/>
    <mergeCell ref="C28:C31"/>
  </mergeCells>
  <dataValidations count="1">
    <dataValidation type="decimal" operator="greaterThanOrEqual" allowBlank="1" showInputMessage="1" showErrorMessage="1" error="Positive whole numbers only / Nombres entiers positifs uniquement" sqref="E7:F25" xr:uid="{00000000-0002-0000-2500-000000000000}">
      <formula1>0</formula1>
    </dataValidation>
  </dataValidations>
  <printOptions horizontalCentered="1"/>
  <pageMargins left="0.39370078740157483" right="0.19685039370078741" top="0.47244094488188981" bottom="0.47244094488188981" header="0.51181102362204722" footer="0.51181102362204722"/>
  <pageSetup paperSize="9"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3">
    <tabColor theme="9" tint="0.59999389629810485"/>
  </sheetPr>
  <dimension ref="A1:AZ61"/>
  <sheetViews>
    <sheetView showGridLines="0" topLeftCell="A2" zoomScaleNormal="100" workbookViewId="0">
      <selection activeCell="U10" sqref="U10"/>
    </sheetView>
  </sheetViews>
  <sheetFormatPr defaultRowHeight="12.75" x14ac:dyDescent="0.2"/>
  <cols>
    <col min="1" max="1" width="12.7109375" customWidth="1"/>
    <col min="2" max="2" width="16" customWidth="1"/>
    <col min="3" max="3" width="6.7109375" customWidth="1"/>
    <col min="4" max="4" width="6.5703125" customWidth="1"/>
    <col min="5" max="5" width="6.28515625" customWidth="1"/>
    <col min="6" max="6" width="5.140625" customWidth="1"/>
    <col min="7" max="7" width="6.42578125" bestFit="1" customWidth="1"/>
    <col min="8" max="8" width="4.140625" customWidth="1"/>
    <col min="9" max="9" width="3.28515625" customWidth="1"/>
    <col min="10" max="10" width="26.140625" customWidth="1"/>
    <col min="11" max="11" width="4.85546875" customWidth="1"/>
    <col min="12" max="12" width="6.85546875" customWidth="1"/>
    <col min="13" max="13" width="7.140625" bestFit="1" customWidth="1"/>
    <col min="14" max="14" width="5.85546875" bestFit="1" customWidth="1"/>
    <col min="15" max="15" width="5.5703125" customWidth="1"/>
    <col min="16" max="16" width="8.28515625" customWidth="1"/>
    <col min="17" max="17" width="1.7109375" customWidth="1"/>
    <col min="18" max="25" width="8" customWidth="1"/>
    <col min="27" max="27" width="8.5703125" hidden="1" customWidth="1"/>
    <col min="28" max="28" width="12.42578125" hidden="1" customWidth="1"/>
    <col min="29" max="29" width="20.42578125" hidden="1" customWidth="1"/>
    <col min="30" max="30" width="16.28515625" hidden="1" customWidth="1"/>
    <col min="31" max="31" width="22.85546875" hidden="1" customWidth="1"/>
    <col min="32" max="32" width="10.5703125" hidden="1" customWidth="1"/>
    <col min="33" max="52" width="9.140625" hidden="1" customWidth="1"/>
  </cols>
  <sheetData>
    <row r="1" spans="1:32" ht="43.5" customHeight="1" x14ac:dyDescent="0.2">
      <c r="A1" s="2128" t="str">
        <f>HLOOKUP(LangChoice,$AB$8:$AD$40,$AA9+1,FALSE)</f>
        <v>Data validation: Iron and steel sector</v>
      </c>
      <c r="B1" s="2130"/>
      <c r="C1" s="2114"/>
      <c r="D1" s="2114"/>
      <c r="E1" s="2114"/>
      <c r="F1" s="2114"/>
      <c r="G1" s="2114"/>
      <c r="H1" s="2114"/>
      <c r="I1" s="2114"/>
      <c r="J1" s="2114"/>
      <c r="K1" s="2114"/>
      <c r="L1" s="2114"/>
      <c r="M1" s="2114"/>
      <c r="N1" s="2114"/>
      <c r="O1" s="2114"/>
      <c r="P1" s="2114"/>
      <c r="Q1" s="2114"/>
      <c r="AA1" s="1183" t="s">
        <v>1</v>
      </c>
      <c r="AB1" s="617"/>
      <c r="AC1" s="617"/>
      <c r="AD1" s="617"/>
      <c r="AE1" s="617"/>
      <c r="AF1" s="1181" t="s">
        <v>8050</v>
      </c>
    </row>
    <row r="2" spans="1:32" ht="12.75" customHeight="1" x14ac:dyDescent="0.2">
      <c r="A2" s="259" t="str">
        <f>HLOOKUP(LangChoice,$AB$8:$AD$40,$AA16+1,FALSE)</f>
        <v>Checks:</v>
      </c>
      <c r="B2" s="20"/>
      <c r="C2" s="20"/>
      <c r="D2" s="20"/>
      <c r="E2" s="259" t="str">
        <f>HLOOKUP(LangChoice,$AB$8:$AD$40,$AA17+1,FALSE)</f>
        <v>Process details:</v>
      </c>
      <c r="F2" s="259"/>
      <c r="G2" s="20"/>
      <c r="H2" s="20"/>
      <c r="I2" s="20"/>
      <c r="J2" s="20"/>
      <c r="K2" s="20"/>
      <c r="L2" s="20"/>
      <c r="M2" s="20"/>
      <c r="N2" s="20"/>
    </row>
    <row r="3" spans="1:32" ht="12.75" customHeight="1" x14ac:dyDescent="0.2">
      <c r="A3" s="562" t="s">
        <v>8051</v>
      </c>
      <c r="B3" s="259" t="str">
        <f>HLOOKUP(LangChoice,$AB$8:$AD$40,$AA18+1,FALSE)</f>
        <v>Coke oven process:</v>
      </c>
      <c r="C3" s="20"/>
      <c r="D3" s="20"/>
      <c r="E3" s="2411" t="s">
        <v>8052</v>
      </c>
      <c r="F3" s="2411"/>
      <c r="G3" s="2411"/>
      <c r="H3" s="2411"/>
      <c r="I3" s="2411"/>
      <c r="J3" s="20"/>
      <c r="K3" s="592"/>
      <c r="L3" s="592"/>
      <c r="M3" s="592"/>
      <c r="N3" s="592"/>
      <c r="O3" s="592"/>
      <c r="P3" s="592"/>
      <c r="Q3" s="592"/>
      <c r="R3" s="592"/>
      <c r="S3" s="592"/>
      <c r="T3" s="592"/>
      <c r="U3" s="592"/>
      <c r="V3" s="592"/>
      <c r="W3" s="592"/>
      <c r="X3" s="592"/>
      <c r="Y3" s="592"/>
    </row>
    <row r="4" spans="1:32" ht="12.75" customHeight="1" x14ac:dyDescent="0.2">
      <c r="A4" s="561" t="s">
        <v>8053</v>
      </c>
      <c r="B4" s="564" t="str">
        <f>HLOOKUP(LangChoice,$AB$8:$AD$40,$AA19+1,FALSE)</f>
        <v>process efficiency</v>
      </c>
      <c r="C4" s="20"/>
      <c r="D4" s="20"/>
      <c r="E4" s="20"/>
      <c r="F4" s="20"/>
      <c r="G4" s="20"/>
      <c r="H4" s="20"/>
      <c r="I4" s="20"/>
      <c r="J4" s="20"/>
      <c r="K4" s="592"/>
      <c r="L4" s="592"/>
      <c r="M4" s="592"/>
      <c r="N4" s="592"/>
      <c r="O4" s="592"/>
      <c r="P4" s="592"/>
      <c r="Q4" s="592"/>
      <c r="R4" s="592"/>
      <c r="S4" s="592"/>
      <c r="T4" s="592"/>
      <c r="U4" s="592"/>
      <c r="V4" s="592"/>
      <c r="W4" s="592"/>
      <c r="X4" s="592"/>
      <c r="Y4" s="592"/>
    </row>
    <row r="5" spans="1:32" ht="12.75" customHeight="1" x14ac:dyDescent="0.2">
      <c r="A5" s="565" t="s">
        <v>8054</v>
      </c>
      <c r="B5" s="566" t="str">
        <f>HLOOKUP(LangChoice,$AB$8:$AD$40,$AA20+1,FALSE)</f>
        <v>output shares (energy-%)</v>
      </c>
      <c r="C5" s="32"/>
      <c r="D5" s="32"/>
      <c r="E5" s="32"/>
      <c r="F5" s="32"/>
      <c r="G5" s="32"/>
      <c r="H5" s="32"/>
      <c r="I5" s="32"/>
      <c r="J5" s="32"/>
      <c r="K5" s="32"/>
      <c r="L5" s="32"/>
      <c r="M5" s="32"/>
      <c r="N5" s="32"/>
      <c r="O5" s="673"/>
      <c r="P5" s="673"/>
    </row>
    <row r="6" spans="1:32" ht="5.0999999999999996" customHeight="1" x14ac:dyDescent="0.2">
      <c r="A6" s="993"/>
      <c r="B6" s="994"/>
      <c r="C6" s="386"/>
      <c r="D6" s="386"/>
      <c r="E6" s="386"/>
      <c r="F6" s="386"/>
      <c r="G6" s="386"/>
      <c r="H6" s="386"/>
      <c r="I6" s="386"/>
      <c r="J6" s="386"/>
      <c r="K6" s="386"/>
      <c r="L6" s="386"/>
      <c r="M6" s="386"/>
      <c r="N6" s="386"/>
      <c r="O6" s="844"/>
      <c r="P6" s="844"/>
      <c r="Q6" s="844"/>
    </row>
    <row r="7" spans="1:32" ht="83.25" customHeight="1" x14ac:dyDescent="0.2">
      <c r="A7" s="2416" t="str">
        <f>HLOOKUP(LangChoice,$AB$8:$AD$40,$AA10+1,FALSE)</f>
        <v>Coke is manufactured through coal pyrolysis. Coal pyrolysis means the heating of coal in an oxygen-free atmosphere to produce gases, liquids and a solid residue (char or coke). Only certain coals with the right plastic properties (for example bituminous or coking coals) can be converted to coke.
The coke is made in ovens comprising a battery of individual chambers up to 60 in number. The average temperature  is usually set between 1 150°C and 1 350°C. Usually, cleaned coke-oven gas is used as a fuel, but other gases such as blast-furnace gas enriched with natural gas, or straight natural gas can be used as well. Coke ovens produce coke and untreated coke-oven gas. The gas is “purified” by removing dust particles and other valuable products, e.g. tars and light oils.</v>
      </c>
      <c r="B7" s="2416" t="str">
        <f t="shared" ref="B7:Q7" si="0">HLOOKUP(LangChoice,$AB$8:$AD$40,$AA15+1,FALSE)</f>
        <v>Process efficiency exceeds 100%! Please verify the energy content of the input and output values.</v>
      </c>
      <c r="C7" s="2416" t="str">
        <f t="shared" si="0"/>
        <v>Process efficiency exceeds 100%! Please verify the energy content of the input and output values.</v>
      </c>
      <c r="D7" s="2416" t="str">
        <f t="shared" si="0"/>
        <v>Process efficiency exceeds 100%! Please verify the energy content of the input and output values.</v>
      </c>
      <c r="E7" s="2416" t="str">
        <f t="shared" si="0"/>
        <v>Process efficiency exceeds 100%! Please verify the energy content of the input and output values.</v>
      </c>
      <c r="F7" s="2416" t="str">
        <f t="shared" si="0"/>
        <v>Process efficiency exceeds 100%! Please verify the energy content of the input and output values.</v>
      </c>
      <c r="G7" s="2416" t="str">
        <f t="shared" si="0"/>
        <v>Process efficiency exceeds 100%! Please verify the energy content of the input and output values.</v>
      </c>
      <c r="H7" s="2416" t="str">
        <f t="shared" si="0"/>
        <v>Process efficiency exceeds 100%! Please verify the energy content of the input and output values.</v>
      </c>
      <c r="I7" s="2416" t="str">
        <f t="shared" si="0"/>
        <v>Process efficiency exceeds 100%! Please verify the energy content of the input and output values.</v>
      </c>
      <c r="J7" s="2416" t="str">
        <f t="shared" si="0"/>
        <v>Process efficiency exceeds 100%! Please verify the energy content of the input and output values.</v>
      </c>
      <c r="K7" s="2416" t="str">
        <f t="shared" si="0"/>
        <v>Process efficiency exceeds 100%! Please verify the energy content of the input and output values.</v>
      </c>
      <c r="L7" s="2416" t="str">
        <f t="shared" si="0"/>
        <v>Process efficiency exceeds 100%! Please verify the energy content of the input and output values.</v>
      </c>
      <c r="M7" s="2416" t="str">
        <f t="shared" si="0"/>
        <v>Process efficiency exceeds 100%! Please verify the energy content of the input and output values.</v>
      </c>
      <c r="N7" s="2416" t="str">
        <f t="shared" si="0"/>
        <v>Process efficiency exceeds 100%! Please verify the energy content of the input and output values.</v>
      </c>
      <c r="O7" s="2416" t="str">
        <f t="shared" si="0"/>
        <v>Process efficiency exceeds 100%! Please verify the energy content of the input and output values.</v>
      </c>
      <c r="P7" s="2416" t="str">
        <f t="shared" si="0"/>
        <v>Process efficiency exceeds 100%! Please verify the energy content of the input and output values.</v>
      </c>
      <c r="Q7" s="2416" t="str">
        <f t="shared" si="0"/>
        <v>Process efficiency exceeds 100%! Please verify the energy content of the input and output values.</v>
      </c>
      <c r="R7" s="671"/>
      <c r="S7" s="671"/>
      <c r="T7" s="671"/>
      <c r="U7" s="671"/>
      <c r="V7" s="671"/>
      <c r="W7" s="671"/>
      <c r="X7" s="20"/>
      <c r="Y7" s="671"/>
      <c r="AA7" s="20"/>
      <c r="AB7" s="530" t="s">
        <v>8055</v>
      </c>
      <c r="AC7" s="531"/>
      <c r="AD7" s="531"/>
    </row>
    <row r="8" spans="1:32" ht="9.9499999999999993" customHeight="1" x14ac:dyDescent="0.2">
      <c r="A8" s="561"/>
      <c r="B8" s="564"/>
      <c r="C8" s="20"/>
      <c r="D8" s="20"/>
      <c r="E8" s="20"/>
      <c r="F8" s="20"/>
      <c r="G8" s="20"/>
      <c r="H8" s="20"/>
      <c r="I8" s="20"/>
      <c r="J8" s="675"/>
      <c r="K8" s="20"/>
      <c r="L8" s="20"/>
      <c r="M8" s="20"/>
      <c r="N8" s="20"/>
      <c r="AA8" s="20"/>
      <c r="AB8" s="530" t="s">
        <v>7</v>
      </c>
      <c r="AC8" s="530" t="s">
        <v>8</v>
      </c>
      <c r="AD8" s="530" t="s">
        <v>9</v>
      </c>
    </row>
    <row r="9" spans="1:32" ht="9.9499999999999993" customHeight="1" x14ac:dyDescent="0.2">
      <c r="A9" s="561"/>
      <c r="B9" s="564"/>
      <c r="C9" s="20"/>
      <c r="D9" s="20"/>
      <c r="E9" s="20"/>
      <c r="F9" s="20"/>
      <c r="G9" s="20"/>
      <c r="H9" s="20"/>
      <c r="I9" s="20"/>
      <c r="J9" s="20"/>
      <c r="K9" s="20"/>
      <c r="L9" s="20"/>
      <c r="M9" s="20"/>
      <c r="N9" s="20"/>
      <c r="AA9" s="20">
        <v>1</v>
      </c>
      <c r="AB9" s="1079" t="s">
        <v>8056</v>
      </c>
      <c r="AC9" s="1079" t="s">
        <v>8057</v>
      </c>
      <c r="AD9" s="1079" t="s">
        <v>148</v>
      </c>
    </row>
    <row r="10" spans="1:32" ht="9.9499999999999993" customHeight="1" x14ac:dyDescent="0.2">
      <c r="A10" s="561"/>
      <c r="B10" s="564"/>
      <c r="C10" s="20"/>
      <c r="D10" s="20"/>
      <c r="E10" s="20"/>
      <c r="F10" s="20"/>
      <c r="G10" s="20"/>
      <c r="H10" s="20"/>
      <c r="I10" s="20"/>
      <c r="J10" s="20"/>
      <c r="K10" s="2412" t="str">
        <f>B37 &amp; " + " &amp; B38 &amp; " + " &amp; B39</f>
        <v>Coke oven coke + Coal tar + Coke oven gas</v>
      </c>
      <c r="L10" s="2412"/>
      <c r="M10" s="2412"/>
      <c r="N10" s="2412"/>
      <c r="O10" s="2412"/>
      <c r="P10" s="2412"/>
      <c r="AA10" s="20">
        <v>2</v>
      </c>
      <c r="AB10" s="576" t="s">
        <v>8058</v>
      </c>
      <c r="AC10" s="576" t="s">
        <v>8059</v>
      </c>
      <c r="AD10" s="576" t="s">
        <v>148</v>
      </c>
      <c r="AE10" s="1235" t="s">
        <v>8060</v>
      </c>
      <c r="AF10" s="1194"/>
    </row>
    <row r="11" spans="1:32" ht="12.75" customHeight="1" x14ac:dyDescent="0.2">
      <c r="A11" s="561"/>
      <c r="B11" s="564"/>
      <c r="C11" s="20"/>
      <c r="D11" s="20"/>
      <c r="E11" s="20"/>
      <c r="F11" s="20"/>
      <c r="G11" s="20"/>
      <c r="H11" s="20"/>
      <c r="I11" s="20"/>
      <c r="J11" s="2427" t="str">
        <f>B4 &amp; " = "</f>
        <v xml:space="preserve">process efficiency = </v>
      </c>
      <c r="K11" s="2413"/>
      <c r="L11" s="2413"/>
      <c r="M11" s="2413"/>
      <c r="N11" s="2413"/>
      <c r="O11" s="2413"/>
      <c r="P11" s="2413"/>
      <c r="AA11" s="20">
        <v>3</v>
      </c>
      <c r="AB11" s="576" t="s">
        <v>8061</v>
      </c>
      <c r="AC11" s="576" t="s">
        <v>8062</v>
      </c>
      <c r="AD11" s="576" t="s">
        <v>148</v>
      </c>
      <c r="AE11" s="1236">
        <v>0</v>
      </c>
      <c r="AF11" s="652" t="b">
        <f ca="1">IF($G$41&lt;AE11,TRUE,FALSE)</f>
        <v>0</v>
      </c>
    </row>
    <row r="12" spans="1:32" ht="12.75" customHeight="1" x14ac:dyDescent="0.2">
      <c r="A12" s="561"/>
      <c r="B12" s="564"/>
      <c r="C12" s="20"/>
      <c r="D12" s="20"/>
      <c r="E12" s="20"/>
      <c r="F12" s="20"/>
      <c r="G12" s="20"/>
      <c r="H12" s="20"/>
      <c r="I12" s="20"/>
      <c r="J12" s="2427"/>
      <c r="K12" s="2414" t="str">
        <f>B33 &amp; " + " &amp; B34 &amp; " + " &amp; B35</f>
        <v>Coking coal + Other bituminous coal + Other inputs</v>
      </c>
      <c r="L12" s="2414"/>
      <c r="M12" s="2414"/>
      <c r="N12" s="2414"/>
      <c r="O12" s="2414"/>
      <c r="P12" s="2414"/>
      <c r="AA12" s="20">
        <v>4</v>
      </c>
      <c r="AB12" s="576" t="s">
        <v>8063</v>
      </c>
      <c r="AC12" s="576" t="s">
        <v>8064</v>
      </c>
      <c r="AD12" s="576" t="s">
        <v>148</v>
      </c>
      <c r="AE12" s="1236">
        <f>AA51</f>
        <v>0.67</v>
      </c>
      <c r="AF12" s="652" t="b">
        <f ca="1">IF($G$41&lt;AE12,TRUE,FALSE)</f>
        <v>0</v>
      </c>
    </row>
    <row r="13" spans="1:32" ht="12.75" customHeight="1" x14ac:dyDescent="0.2">
      <c r="A13" s="561"/>
      <c r="B13" s="564"/>
      <c r="C13" s="20"/>
      <c r="D13" s="20"/>
      <c r="E13" s="20"/>
      <c r="F13" s="20"/>
      <c r="G13" s="20"/>
      <c r="H13" s="20"/>
      <c r="I13" s="20"/>
      <c r="J13" s="20"/>
      <c r="K13" s="2415"/>
      <c r="L13" s="2415"/>
      <c r="M13" s="2415"/>
      <c r="N13" s="2415"/>
      <c r="O13" s="2415"/>
      <c r="P13" s="2415"/>
      <c r="AA13" s="20">
        <v>5</v>
      </c>
      <c r="AB13" s="576" t="s">
        <v>8065</v>
      </c>
      <c r="AC13" s="576" t="s">
        <v>8066</v>
      </c>
      <c r="AD13" s="576" t="s">
        <v>148</v>
      </c>
      <c r="AE13" s="1236">
        <f>AA52</f>
        <v>0.9</v>
      </c>
      <c r="AF13" s="652" t="b">
        <f ca="1">IF($G$41&lt;AE13,TRUE,FALSE)</f>
        <v>0</v>
      </c>
    </row>
    <row r="14" spans="1:32" ht="12.75" customHeight="1" x14ac:dyDescent="0.2">
      <c r="A14" s="561"/>
      <c r="B14" s="564"/>
      <c r="C14" s="20"/>
      <c r="D14" s="20"/>
      <c r="E14" s="20"/>
      <c r="F14" s="20"/>
      <c r="G14" s="20"/>
      <c r="H14" s="20"/>
      <c r="I14" s="20"/>
      <c r="J14" s="2403" t="s">
        <v>8067</v>
      </c>
      <c r="K14" s="2401" t="str">
        <f>TEXT(G37,"0") &amp; " "&amp; $H$33 &amp; " + " &amp; TEXT(G38,"0")  &amp; " "&amp; $H$33 &amp; " + " &amp;  TEXT(G39,"0")  &amp; " "&amp; $H$33</f>
        <v>791 ktoe + 0 ktoe + 0 ktoe</v>
      </c>
      <c r="L14" s="2401"/>
      <c r="M14" s="2401"/>
      <c r="N14" s="2401"/>
      <c r="O14" s="2401"/>
      <c r="P14" s="2401"/>
      <c r="AA14" s="20">
        <v>6</v>
      </c>
      <c r="AB14" s="576" t="s">
        <v>8068</v>
      </c>
      <c r="AC14" s="576" t="s">
        <v>8069</v>
      </c>
      <c r="AD14" s="576" t="s">
        <v>148</v>
      </c>
      <c r="AE14" s="1236">
        <v>1</v>
      </c>
      <c r="AF14" s="652" t="b">
        <f ca="1">IF($G$41&lt;AE14,TRUE,FALSE)</f>
        <v>0</v>
      </c>
    </row>
    <row r="15" spans="1:32" ht="12.75" customHeight="1" x14ac:dyDescent="0.2">
      <c r="A15" s="561"/>
      <c r="B15" s="564"/>
      <c r="C15" s="20"/>
      <c r="D15" s="20"/>
      <c r="E15" s="20"/>
      <c r="F15" s="20"/>
      <c r="G15" s="20"/>
      <c r="H15" s="20"/>
      <c r="I15" s="20"/>
      <c r="J15" s="2403"/>
      <c r="K15" s="2402" t="str">
        <f ca="1">TEXT(G33,"0")  &amp; " "&amp; $H$33 &amp; " + " &amp;  TEXT(G34,"0")  &amp; " "&amp; $H$34 &amp; " + " &amp;  TEXT(G35,"0")  &amp; " "&amp; $H$35</f>
        <v>763 ktoe + 0 ktoe + 0 ktoe</v>
      </c>
      <c r="L15" s="2402"/>
      <c r="M15" s="2402"/>
      <c r="N15" s="2402"/>
      <c r="O15" s="2402"/>
      <c r="P15" s="2402"/>
      <c r="AA15" s="20">
        <v>7</v>
      </c>
      <c r="AB15" s="576" t="s">
        <v>8070</v>
      </c>
      <c r="AC15" s="576" t="s">
        <v>8071</v>
      </c>
      <c r="AD15" s="576" t="s">
        <v>148</v>
      </c>
      <c r="AE15" s="625" t="s">
        <v>8072</v>
      </c>
      <c r="AF15" s="1169"/>
    </row>
    <row r="16" spans="1:32" ht="12.75" customHeight="1" x14ac:dyDescent="0.2">
      <c r="A16" s="561"/>
      <c r="B16" s="564"/>
      <c r="C16" s="20"/>
      <c r="D16" s="20"/>
      <c r="E16" s="20"/>
      <c r="F16" s="20"/>
      <c r="G16" s="20"/>
      <c r="H16" s="20"/>
      <c r="I16" s="20"/>
      <c r="J16" s="604"/>
      <c r="AA16" s="20">
        <v>8</v>
      </c>
      <c r="AB16" s="576" t="s">
        <v>8073</v>
      </c>
      <c r="AC16" s="576" t="s">
        <v>8074</v>
      </c>
      <c r="AD16" s="576" t="s">
        <v>148</v>
      </c>
      <c r="AE16" s="627" t="s">
        <v>8075</v>
      </c>
      <c r="AF16" s="1237">
        <f ca="1">IFERROR(MATCH(TRUE,AF11:AF14,0)+3,AA15+1)</f>
        <v>8</v>
      </c>
    </row>
    <row r="17" spans="1:30" ht="12.75" customHeight="1" x14ac:dyDescent="0.2">
      <c r="A17" s="561"/>
      <c r="B17" s="564"/>
      <c r="C17" s="20"/>
      <c r="D17" s="20"/>
      <c r="E17" s="20"/>
      <c r="F17" s="20"/>
      <c r="G17" s="20"/>
      <c r="H17" s="20"/>
      <c r="I17" s="20"/>
      <c r="J17" s="689" t="s">
        <v>8067</v>
      </c>
      <c r="K17" s="1051">
        <f ca="1">G41</f>
        <v>1.0364357323963782</v>
      </c>
      <c r="N17" s="678"/>
      <c r="O17" s="678"/>
      <c r="AA17" s="20">
        <v>9</v>
      </c>
      <c r="AB17" s="576" t="s">
        <v>8076</v>
      </c>
      <c r="AC17" s="576" t="s">
        <v>8077</v>
      </c>
      <c r="AD17" s="576" t="s">
        <v>148</v>
      </c>
    </row>
    <row r="18" spans="1:30" ht="12.75" customHeight="1" x14ac:dyDescent="0.2">
      <c r="A18" s="561"/>
      <c r="B18" s="241"/>
      <c r="C18" s="20"/>
      <c r="D18" s="20"/>
      <c r="E18" s="20"/>
      <c r="F18" s="20"/>
      <c r="G18" s="20"/>
      <c r="H18" s="20"/>
      <c r="I18" s="20"/>
      <c r="J18" s="690"/>
      <c r="L18" s="20"/>
      <c r="M18" s="20"/>
      <c r="O18" s="678"/>
      <c r="AA18" s="20">
        <v>10</v>
      </c>
      <c r="AB18" s="576" t="s">
        <v>8078</v>
      </c>
      <c r="AC18" s="576" t="s">
        <v>8079</v>
      </c>
      <c r="AD18" s="576" t="s">
        <v>148</v>
      </c>
    </row>
    <row r="19" spans="1:30" ht="12.75" customHeight="1" x14ac:dyDescent="0.2">
      <c r="A19" s="561"/>
      <c r="B19" s="674"/>
      <c r="C19" s="20"/>
      <c r="D19" s="20"/>
      <c r="E19" s="20"/>
      <c r="F19" s="20"/>
      <c r="G19" s="20"/>
      <c r="I19" s="240"/>
      <c r="J19" s="20"/>
      <c r="K19" s="240" t="str">
        <f>HLOOKUP(LangChoice,$AB$8:$AD$40,$AA32+1,FALSE)</f>
        <v>Ranges:</v>
      </c>
      <c r="M19" s="20"/>
      <c r="AA19" s="20">
        <v>11</v>
      </c>
      <c r="AB19" s="576" t="s">
        <v>8080</v>
      </c>
      <c r="AC19" s="576" t="s">
        <v>8081</v>
      </c>
      <c r="AD19" s="576" t="s">
        <v>148</v>
      </c>
    </row>
    <row r="20" spans="1:30" ht="12.75" customHeight="1" x14ac:dyDescent="0.2">
      <c r="A20" s="561"/>
      <c r="B20" s="2428"/>
      <c r="C20" s="20"/>
      <c r="D20" s="20"/>
      <c r="E20" s="20"/>
      <c r="F20" s="20"/>
      <c r="G20" s="20"/>
      <c r="H20" s="20"/>
      <c r="I20" s="20"/>
      <c r="J20" s="20"/>
      <c r="K20" s="564" t="str">
        <f>"&lt; " &amp; TEXT(AE12,"0%")</f>
        <v>&lt; 67%</v>
      </c>
      <c r="M20" s="20" t="str">
        <f>HLOOKUP(LangChoice,$AB$8:$AD$40,$AA33+1,FALSE)</f>
        <v>Low</v>
      </c>
      <c r="AA20" s="20">
        <v>12</v>
      </c>
      <c r="AB20" s="576" t="s">
        <v>8082</v>
      </c>
      <c r="AC20" s="576" t="s">
        <v>8083</v>
      </c>
      <c r="AD20" s="576" t="s">
        <v>148</v>
      </c>
    </row>
    <row r="21" spans="1:30" ht="12.75" customHeight="1" x14ac:dyDescent="0.2">
      <c r="A21" s="561"/>
      <c r="B21" s="2428"/>
      <c r="C21" s="20"/>
      <c r="D21" s="20"/>
      <c r="E21" s="20"/>
      <c r="F21" s="20"/>
      <c r="G21" s="20"/>
      <c r="H21" s="20"/>
      <c r="I21" s="20"/>
      <c r="J21" s="20"/>
      <c r="K21" s="564" t="str">
        <f>TEXT(AE12,"0%") &amp; " - " &amp; TEXT(AE13,"0%")</f>
        <v>67% - 90%</v>
      </c>
      <c r="M21" s="20" t="str">
        <f>HLOOKUP(LangChoice,$AB$8:$AD$40,$AA34+1,FALSE)</f>
        <v>Reasonable</v>
      </c>
      <c r="AA21" s="20">
        <v>13</v>
      </c>
      <c r="AB21" s="576" t="s">
        <v>8084</v>
      </c>
      <c r="AC21" s="576" t="s">
        <v>8085</v>
      </c>
      <c r="AD21" s="576" t="s">
        <v>148</v>
      </c>
    </row>
    <row r="22" spans="1:30" ht="12.75" customHeight="1" x14ac:dyDescent="0.2">
      <c r="A22" s="561"/>
      <c r="B22" s="564"/>
      <c r="C22" s="20"/>
      <c r="D22" s="20"/>
      <c r="E22" s="20"/>
      <c r="F22" s="20"/>
      <c r="G22" s="20"/>
      <c r="H22" s="20"/>
      <c r="I22" s="20"/>
      <c r="J22" s="20"/>
      <c r="K22" s="564" t="str">
        <f>TEXT(AE13,"0%") &amp; " - " &amp; TEXT(AE14,"0%")</f>
        <v>90% - 100%</v>
      </c>
      <c r="M22" s="207" t="str">
        <f>HLOOKUP(LangChoice,$AB$8:$AD$40,$AA35+1,FALSE)</f>
        <v>High</v>
      </c>
      <c r="AA22" s="20">
        <v>14</v>
      </c>
      <c r="AB22" s="576" t="s">
        <v>8086</v>
      </c>
      <c r="AC22" s="576" t="s">
        <v>8087</v>
      </c>
      <c r="AD22" s="576" t="s">
        <v>148</v>
      </c>
    </row>
    <row r="23" spans="1:30" ht="12.75" customHeight="1" x14ac:dyDescent="0.2">
      <c r="A23" s="561"/>
      <c r="B23" s="564"/>
      <c r="C23" s="20"/>
      <c r="D23" s="20"/>
      <c r="E23" s="20"/>
      <c r="F23" s="20"/>
      <c r="G23" s="20"/>
      <c r="H23" s="20"/>
      <c r="I23" s="20"/>
      <c r="J23" s="20"/>
      <c r="K23" s="564" t="str">
        <f>"&gt; " &amp; TEXT(AE14,"0%")</f>
        <v>&gt; 100%</v>
      </c>
      <c r="L23" s="678"/>
      <c r="M23" s="576" t="str">
        <f>HLOOKUP(LangChoice,$AB$8:$AD$40,$AA36+1,FALSE)</f>
        <v>Impossible</v>
      </c>
      <c r="AA23" s="20">
        <v>15</v>
      </c>
      <c r="AB23" s="576" t="s">
        <v>8088</v>
      </c>
      <c r="AC23" s="576" t="s">
        <v>8089</v>
      </c>
      <c r="AD23" s="576" t="s">
        <v>148</v>
      </c>
    </row>
    <row r="24" spans="1:30" ht="12.75" customHeight="1" x14ac:dyDescent="0.2">
      <c r="A24" s="561"/>
      <c r="B24" s="564"/>
      <c r="C24" s="20"/>
      <c r="D24" s="20"/>
      <c r="E24" s="20"/>
      <c r="F24" s="20"/>
      <c r="G24" s="20"/>
      <c r="H24" s="20"/>
      <c r="I24" s="20"/>
      <c r="J24" s="676"/>
      <c r="K24" s="20"/>
      <c r="L24" s="20"/>
      <c r="M24" s="20"/>
      <c r="N24" s="20"/>
      <c r="AA24" s="20">
        <v>16</v>
      </c>
      <c r="AB24" s="576" t="s">
        <v>8090</v>
      </c>
      <c r="AC24" s="576" t="s">
        <v>8091</v>
      </c>
      <c r="AD24" s="576" t="s">
        <v>148</v>
      </c>
    </row>
    <row r="25" spans="1:30" ht="12.75" customHeight="1" x14ac:dyDescent="0.2">
      <c r="A25" s="561"/>
      <c r="B25" s="564"/>
      <c r="C25" s="20"/>
      <c r="D25" s="20"/>
      <c r="E25" s="20"/>
      <c r="F25" s="20"/>
      <c r="G25" s="20"/>
      <c r="H25" s="20"/>
      <c r="I25" s="20"/>
      <c r="J25" s="20"/>
      <c r="K25" s="2418" t="str">
        <f ca="1">IF($K$17="..",HLOOKUP(LangChoice,$AB$8:$AD$40,$AA30+1,FALSE),HLOOKUP(LangChoice,$AB$8:$AD$40,AF16,FALSE))</f>
        <v>Process efficiency exceeds 100%! Please verify the energy content of the input and output values.</v>
      </c>
      <c r="L25" s="2419"/>
      <c r="M25" s="2419"/>
      <c r="N25" s="2419"/>
      <c r="O25" s="2419"/>
      <c r="P25" s="2420"/>
      <c r="AA25" s="20">
        <v>17</v>
      </c>
      <c r="AB25" s="576" t="s">
        <v>8092</v>
      </c>
      <c r="AC25" s="207" t="s">
        <v>8093</v>
      </c>
      <c r="AD25" s="576" t="s">
        <v>148</v>
      </c>
    </row>
    <row r="26" spans="1:30" ht="12.75" customHeight="1" x14ac:dyDescent="0.2">
      <c r="A26" s="561"/>
      <c r="B26" s="564"/>
      <c r="C26" s="20"/>
      <c r="D26" s="20"/>
      <c r="E26" s="20"/>
      <c r="F26" s="20"/>
      <c r="G26" s="20"/>
      <c r="H26" s="20"/>
      <c r="I26" s="20"/>
      <c r="J26" s="20"/>
      <c r="K26" s="2421"/>
      <c r="L26" s="2422"/>
      <c r="M26" s="2422"/>
      <c r="N26" s="2422"/>
      <c r="O26" s="2422"/>
      <c r="P26" s="2423"/>
      <c r="AA26" s="20">
        <v>18</v>
      </c>
      <c r="AB26" s="576" t="s">
        <v>8094</v>
      </c>
      <c r="AC26" s="576" t="s">
        <v>854</v>
      </c>
      <c r="AD26" s="576" t="s">
        <v>148</v>
      </c>
    </row>
    <row r="27" spans="1:30" ht="12.75" customHeight="1" x14ac:dyDescent="0.2">
      <c r="A27" s="561"/>
      <c r="B27" s="564"/>
      <c r="C27" s="20"/>
      <c r="D27" s="20"/>
      <c r="E27" s="20"/>
      <c r="F27" s="20"/>
      <c r="G27" s="20"/>
      <c r="H27" s="20"/>
      <c r="I27" s="20"/>
      <c r="J27" s="20"/>
      <c r="K27" s="2421"/>
      <c r="L27" s="2422"/>
      <c r="M27" s="2422"/>
      <c r="N27" s="2422"/>
      <c r="O27" s="2422"/>
      <c r="P27" s="2423"/>
      <c r="AA27" s="20">
        <v>19</v>
      </c>
      <c r="AB27" s="576" t="s">
        <v>8095</v>
      </c>
      <c r="AC27" s="576" t="s">
        <v>8096</v>
      </c>
      <c r="AD27" s="576" t="s">
        <v>148</v>
      </c>
    </row>
    <row r="28" spans="1:30" ht="12.75" customHeight="1" x14ac:dyDescent="0.2">
      <c r="A28" s="561"/>
      <c r="B28" s="564"/>
      <c r="C28" s="20"/>
      <c r="D28" s="20"/>
      <c r="E28" s="20"/>
      <c r="F28" s="20"/>
      <c r="G28" s="20"/>
      <c r="H28" s="20"/>
      <c r="I28" s="20"/>
      <c r="J28" s="20"/>
      <c r="K28" s="2424"/>
      <c r="L28" s="2425"/>
      <c r="M28" s="2425"/>
      <c r="N28" s="2425"/>
      <c r="O28" s="2425"/>
      <c r="P28" s="2426"/>
      <c r="AA28" s="20">
        <v>20</v>
      </c>
      <c r="AB28" s="576" t="s">
        <v>8097</v>
      </c>
      <c r="AC28" s="576" t="s">
        <v>8098</v>
      </c>
      <c r="AD28" s="576" t="s">
        <v>148</v>
      </c>
    </row>
    <row r="29" spans="1:30" ht="12.75" customHeight="1" x14ac:dyDescent="0.2">
      <c r="A29" s="561"/>
      <c r="B29" s="564"/>
      <c r="C29" s="20"/>
      <c r="D29" s="20"/>
      <c r="E29" s="20"/>
      <c r="F29" s="20"/>
      <c r="G29" s="20"/>
      <c r="H29" s="20"/>
      <c r="I29" s="20"/>
      <c r="J29" s="20"/>
      <c r="K29" s="20"/>
      <c r="L29" s="20"/>
      <c r="M29" s="20"/>
      <c r="N29" s="20"/>
      <c r="AA29" s="576">
        <v>21</v>
      </c>
      <c r="AB29" s="576" t="s">
        <v>8099</v>
      </c>
      <c r="AC29" s="576" t="s">
        <v>8100</v>
      </c>
      <c r="AD29" s="576" t="s">
        <v>148</v>
      </c>
    </row>
    <row r="30" spans="1:30" ht="31.5" customHeight="1" x14ac:dyDescent="0.2">
      <c r="A30" s="561"/>
      <c r="B30" s="564"/>
      <c r="C30" s="20"/>
      <c r="D30" s="20"/>
      <c r="E30" s="20"/>
      <c r="F30" s="20"/>
      <c r="G30" s="20"/>
      <c r="H30" s="20"/>
      <c r="I30" s="20"/>
      <c r="J30" s="20"/>
      <c r="K30" s="20"/>
      <c r="L30" s="20"/>
      <c r="M30" s="20"/>
      <c r="N30" s="20"/>
      <c r="AA30" s="576">
        <v>22</v>
      </c>
      <c r="AB30" s="576" t="s">
        <v>8101</v>
      </c>
      <c r="AC30" s="576" t="s">
        <v>8102</v>
      </c>
      <c r="AD30" s="576" t="s">
        <v>148</v>
      </c>
    </row>
    <row r="31" spans="1:30" ht="16.5" customHeight="1" x14ac:dyDescent="0.2">
      <c r="A31" s="2417"/>
      <c r="B31" s="2417"/>
      <c r="C31" s="2417"/>
      <c r="D31" s="2417"/>
      <c r="E31" s="2417"/>
      <c r="F31" s="621"/>
      <c r="G31" s="621"/>
      <c r="H31" s="597"/>
      <c r="I31" s="20"/>
      <c r="J31" s="20"/>
      <c r="K31" s="20"/>
      <c r="L31" s="20"/>
      <c r="M31" s="20"/>
      <c r="N31" s="20"/>
      <c r="AA31" s="576">
        <v>23</v>
      </c>
      <c r="AB31" s="576"/>
      <c r="AC31" s="576"/>
      <c r="AD31" s="576" t="s">
        <v>148</v>
      </c>
    </row>
    <row r="32" spans="1:30" ht="27" customHeight="1" x14ac:dyDescent="0.2">
      <c r="A32" s="2409" t="str">
        <f>A3&amp;" "&amp;B3</f>
        <v>1) Coke oven process:</v>
      </c>
      <c r="B32" s="2410"/>
      <c r="C32" s="2404" t="str">
        <f>HLOOKUP(LangChoice,$AB$8:$AD$40,$AA22+1,FALSE)</f>
        <v>Physical quantity</v>
      </c>
      <c r="D32" s="2405" t="str">
        <f>HLOOKUP(LangChoice,$AB$8:$AD$40,$AA40+1,FALSE)</f>
        <v>English</v>
      </c>
      <c r="E32" s="2399" t="str">
        <f>HLOOKUP(LangChoice,$AB$8:$AD$40,$AA23+1,FALSE)</f>
        <v>NCV</v>
      </c>
      <c r="F32" s="2400"/>
      <c r="G32" s="2404" t="str">
        <f>HLOOKUP(LangChoice,$AB$8:$AD$40,$AA24+1,FALSE)</f>
        <v>Energy quantity</v>
      </c>
      <c r="H32" s="2405" t="str">
        <f>HLOOKUP(LangChoice,$AB$8:$AD$40,$AA40+1,FALSE)</f>
        <v>English</v>
      </c>
      <c r="I32" s="20"/>
      <c r="J32" s="539" t="str">
        <f>A5&amp;" "&amp;B5&amp;":"</f>
        <v>1.2) output shares (energy-%):</v>
      </c>
      <c r="K32" s="580"/>
      <c r="L32" s="591"/>
      <c r="M32" s="591"/>
      <c r="N32" s="460"/>
      <c r="O32" s="460"/>
      <c r="P32" s="584"/>
      <c r="Q32" s="584"/>
      <c r="R32" s="584"/>
      <c r="S32" s="584"/>
      <c r="T32" s="584"/>
      <c r="U32" s="584"/>
      <c r="V32" s="584"/>
      <c r="W32" s="584"/>
      <c r="X32" s="584"/>
      <c r="Y32" s="584"/>
      <c r="AA32" s="576">
        <v>24</v>
      </c>
      <c r="AB32" s="576" t="s">
        <v>8103</v>
      </c>
      <c r="AC32" s="576" t="s">
        <v>8104</v>
      </c>
      <c r="AD32" s="576" t="s">
        <v>148</v>
      </c>
    </row>
    <row r="33" spans="1:34" s="20" customFormat="1" ht="12.75" customHeight="1" x14ac:dyDescent="0.2">
      <c r="A33" s="2406" t="str">
        <f>HLOOKUP(LangChoice,$AB$8:$AD$40,$AA25+1,FALSE)</f>
        <v>Input(s)</v>
      </c>
      <c r="B33" s="1269" t="str">
        <f>COKCOAL</f>
        <v>Coking coal</v>
      </c>
      <c r="C33" s="593">
        <f>'For printing'!$D$30</f>
        <v>1030.819</v>
      </c>
      <c r="D33" s="209" t="str">
        <f>INDEX(Definitions_ProdLang!$I$6:$K$6,1,MATCH(LangChoice,Definitions_ProdLang!$I$2:$K$2,0))</f>
        <v>kt</v>
      </c>
      <c r="E33" s="574">
        <f>'Conversion factors'!H6</f>
        <v>30995</v>
      </c>
      <c r="F33" s="1263" t="str">
        <f>HLOOKUP(LangChoice,$AB$8:$AD$40,$AA28+1,FALSE)</f>
        <v>kJ/kg</v>
      </c>
      <c r="G33" s="593">
        <f>C33*kt_to_kg*E33*kJ_to_ktoe</f>
        <v>763.11825033438424</v>
      </c>
      <c r="H33" s="209" t="str">
        <f>HLOOKUP(LangChoice,$AB$8:$AD$40,$AA29+1,FALSE)</f>
        <v>ktoe</v>
      </c>
      <c r="K33" s="555"/>
      <c r="L33" s="567"/>
      <c r="N33" s="581"/>
      <c r="O33" s="560"/>
      <c r="P33" s="567"/>
      <c r="Q33" s="567"/>
      <c r="R33" s="567"/>
      <c r="S33" s="567"/>
      <c r="T33" s="567"/>
      <c r="U33" s="567"/>
      <c r="V33" s="567"/>
      <c r="W33" s="567"/>
      <c r="X33" s="567"/>
      <c r="Y33" s="567"/>
      <c r="AA33" s="576">
        <v>25</v>
      </c>
      <c r="AB33" s="576" t="s">
        <v>8105</v>
      </c>
      <c r="AC33" s="576" t="s">
        <v>8106</v>
      </c>
      <c r="AD33" s="576" t="s">
        <v>148</v>
      </c>
      <c r="AE33"/>
      <c r="AF33"/>
    </row>
    <row r="34" spans="1:34" s="20" customFormat="1" ht="12.75" customHeight="1" x14ac:dyDescent="0.2">
      <c r="A34" s="2407"/>
      <c r="B34" s="1269" t="str">
        <f>BITCOAL</f>
        <v>Other bituminous coal</v>
      </c>
      <c r="C34" s="595">
        <f>'For printing'!$E$30</f>
        <v>0</v>
      </c>
      <c r="D34" s="209" t="str">
        <f>INDEX(Definitions_ProdLang!$I$6:$K$6,1,MATCH(LangChoice,Definitions_ProdLang!$I$2:$K$2,0))</f>
        <v>kt</v>
      </c>
      <c r="E34" s="568">
        <f>'Conversion factors'!H7</f>
        <v>30995</v>
      </c>
      <c r="F34" s="1263" t="str">
        <f>F33</f>
        <v>kJ/kg</v>
      </c>
      <c r="G34" s="595">
        <f>C34*kt_to_kg*E34*kJ_to_ktoe</f>
        <v>0</v>
      </c>
      <c r="H34" s="209" t="str">
        <f>H33</f>
        <v>ktoe</v>
      </c>
      <c r="K34" s="555"/>
      <c r="N34" s="560"/>
      <c r="O34" s="560"/>
      <c r="P34" s="567"/>
      <c r="Q34" s="567"/>
      <c r="R34" s="567"/>
      <c r="S34" s="567"/>
      <c r="T34" s="567"/>
      <c r="U34" s="567"/>
      <c r="V34" s="567"/>
      <c r="W34" s="567"/>
      <c r="X34" s="567"/>
      <c r="Y34" s="567"/>
      <c r="AA34" s="576">
        <v>26</v>
      </c>
      <c r="AB34" s="576" t="s">
        <v>8107</v>
      </c>
      <c r="AC34" s="576" t="s">
        <v>8108</v>
      </c>
      <c r="AD34" s="576" t="s">
        <v>148</v>
      </c>
    </row>
    <row r="35" spans="1:34" s="20" customFormat="1" ht="12.75" customHeight="1" x14ac:dyDescent="0.2">
      <c r="A35" s="2408"/>
      <c r="B35" s="1270" t="str">
        <f>HLOOKUP(LangChoice,$AB$8:$AD$40,$AA37+1,FALSE)</f>
        <v>Other inputs</v>
      </c>
      <c r="C35" s="648"/>
      <c r="D35" s="1106"/>
      <c r="E35" s="648"/>
      <c r="F35" s="648"/>
      <c r="G35" s="262">
        <f ca="1">SUM(-SUMIF('Disaggregated Balance'!E25:BO25,"&lt;0"),'Disaggregated Balance'!F25,'Disaggregated Balance'!H25)</f>
        <v>0</v>
      </c>
      <c r="H35" s="209" t="str">
        <f>H33</f>
        <v>ktoe</v>
      </c>
      <c r="K35" s="300"/>
      <c r="AA35" s="576">
        <v>27</v>
      </c>
      <c r="AB35" s="576" t="s">
        <v>8109</v>
      </c>
      <c r="AC35" s="576" t="s">
        <v>8110</v>
      </c>
      <c r="AD35" s="576" t="s">
        <v>148</v>
      </c>
    </row>
    <row r="36" spans="1:34" ht="12.75" customHeight="1" x14ac:dyDescent="0.2">
      <c r="A36" s="1266"/>
      <c r="B36" s="1266"/>
      <c r="C36" s="1266"/>
      <c r="D36" s="1267"/>
      <c r="E36" s="1266"/>
      <c r="F36" s="570"/>
      <c r="G36" s="570"/>
      <c r="H36" s="1265"/>
      <c r="I36" s="20"/>
      <c r="J36" s="20"/>
      <c r="K36" s="20"/>
      <c r="L36" s="20"/>
      <c r="M36" s="20"/>
      <c r="N36" s="20"/>
      <c r="O36" s="20"/>
      <c r="P36" s="20"/>
      <c r="Q36" s="20"/>
      <c r="R36" s="20"/>
      <c r="S36" s="20"/>
      <c r="T36" s="20"/>
      <c r="U36" s="20"/>
      <c r="V36" s="20"/>
      <c r="W36" s="20"/>
      <c r="X36" s="20"/>
      <c r="Y36" s="20"/>
      <c r="AA36" s="576">
        <v>28</v>
      </c>
      <c r="AB36" s="576" t="s">
        <v>8111</v>
      </c>
      <c r="AC36" s="576" t="s">
        <v>8112</v>
      </c>
      <c r="AD36" s="576" t="s">
        <v>148</v>
      </c>
      <c r="AE36" s="20"/>
      <c r="AF36" s="20"/>
    </row>
    <row r="37" spans="1:34" s="20" customFormat="1" ht="12.75" customHeight="1" x14ac:dyDescent="0.2">
      <c r="A37" s="2396" t="str">
        <f>HLOOKUP(LangChoice,$AB$8:$AD$40,$AA26+1,FALSE)</f>
        <v>Output(s)</v>
      </c>
      <c r="B37" s="1271" t="str">
        <f>OVENCOKE</f>
        <v>Coke oven coke</v>
      </c>
      <c r="C37" s="573">
        <f>'For printing'!I5</f>
        <v>1249.693</v>
      </c>
      <c r="D37" s="1179" t="str">
        <f>INDEX(Definitions_ProdLang!$I$11:$K$11,1,MATCH(LangChoice,Definitions_ProdLang!$I$2:$K$2,0))</f>
        <v>kt</v>
      </c>
      <c r="E37" s="574">
        <f>'Conversion factors'!$D$11</f>
        <v>26498</v>
      </c>
      <c r="F37" s="1264" t="str">
        <f>F33</f>
        <v>kJ/kg</v>
      </c>
      <c r="G37" s="593">
        <f>C37*kt_to_kg*E37*kJ_to_ktoe</f>
        <v>790.9230226903602</v>
      </c>
      <c r="H37" s="1179" t="str">
        <f>H33</f>
        <v>ktoe</v>
      </c>
      <c r="K37" s="555"/>
      <c r="L37" s="567"/>
      <c r="N37" s="582"/>
      <c r="O37"/>
      <c r="P37" s="583"/>
      <c r="Q37" s="583"/>
      <c r="R37" s="583"/>
      <c r="S37" s="583"/>
      <c r="T37" s="583"/>
      <c r="U37" s="583"/>
      <c r="V37" s="583"/>
      <c r="W37" s="583"/>
      <c r="X37" s="583"/>
      <c r="Y37" s="583"/>
      <c r="AA37" s="576">
        <v>29</v>
      </c>
      <c r="AB37" s="576" t="s">
        <v>8113</v>
      </c>
      <c r="AC37" s="812" t="s">
        <v>8114</v>
      </c>
      <c r="AD37" s="576" t="s">
        <v>148</v>
      </c>
      <c r="AE37"/>
      <c r="AF37"/>
    </row>
    <row r="38" spans="1:34" s="20" customFormat="1" ht="12.75" customHeight="1" x14ac:dyDescent="0.2">
      <c r="A38" s="2397"/>
      <c r="B38" s="1269" t="str">
        <f>COALTAR</f>
        <v>Coal tar</v>
      </c>
      <c r="C38" s="567">
        <f>('For printing'!K5-'For printing'!K30)</f>
        <v>0</v>
      </c>
      <c r="D38" s="209" t="str">
        <f>INDEX(Definitions_ProdLang!$I$13:$K$13,1,MATCH(LangChoice,Definitions_ProdLang!$I$2:$K$2,0))</f>
        <v>kt</v>
      </c>
      <c r="E38" s="568">
        <f>'Conversion factors'!$D$13</f>
        <v>38000</v>
      </c>
      <c r="F38" s="1263" t="str">
        <f>F33</f>
        <v>kJ/kg</v>
      </c>
      <c r="G38" s="595">
        <f>C38*kt_to_kg*E38*kJ_to_ktoe</f>
        <v>0</v>
      </c>
      <c r="H38" s="209" t="str">
        <f>H33</f>
        <v>ktoe</v>
      </c>
      <c r="K38" s="300"/>
      <c r="AA38" s="576">
        <v>30</v>
      </c>
      <c r="AB38" s="576"/>
      <c r="AC38" s="576"/>
      <c r="AD38" s="576" t="s">
        <v>148</v>
      </c>
    </row>
    <row r="39" spans="1:34" s="20" customFormat="1" ht="12.75" customHeight="1" x14ac:dyDescent="0.2">
      <c r="A39" s="2398"/>
      <c r="B39" s="1269" t="str">
        <f>COKEOVGS</f>
        <v>Coke oven gas</v>
      </c>
      <c r="C39" s="594">
        <f>'For printing'!N5</f>
        <v>0</v>
      </c>
      <c r="D39" s="209" t="str">
        <f>INDEX(Definitions_ProdLang!$I$16:$K$16,1,MATCH(LangChoice,Definitions_ProdLang!$I$2:$K$2,0))</f>
        <v>TJ-gross</v>
      </c>
      <c r="E39" s="581">
        <f>'Conversion factors'!$C$49</f>
        <v>0.9</v>
      </c>
      <c r="F39" s="560" t="s">
        <v>8115</v>
      </c>
      <c r="G39" s="594">
        <f>C39*E39*TJ_to_ktoe</f>
        <v>0</v>
      </c>
      <c r="H39" s="209" t="str">
        <f>H33</f>
        <v>ktoe</v>
      </c>
      <c r="K39" s="300"/>
    </row>
    <row r="40" spans="1:34" ht="12.75" customHeight="1" x14ac:dyDescent="0.2">
      <c r="A40" s="2395"/>
      <c r="B40" s="2395"/>
      <c r="C40" s="2395"/>
      <c r="D40" s="2395"/>
      <c r="E40" s="2395"/>
      <c r="F40" s="619"/>
      <c r="G40" s="619"/>
      <c r="H40" s="620"/>
      <c r="I40" s="20"/>
      <c r="J40" s="20"/>
      <c r="K40" s="20"/>
      <c r="L40" s="20"/>
      <c r="M40" s="20"/>
      <c r="N40" s="20"/>
      <c r="O40" s="20"/>
      <c r="P40" s="20"/>
      <c r="Q40" s="20"/>
      <c r="R40" s="20"/>
      <c r="S40" s="20"/>
      <c r="T40" s="20"/>
      <c r="U40" s="20"/>
      <c r="V40" s="20"/>
      <c r="W40" s="20"/>
      <c r="X40" s="20"/>
      <c r="Y40" s="20"/>
      <c r="AF40" s="20"/>
      <c r="AG40" s="20"/>
      <c r="AH40" s="20"/>
    </row>
    <row r="41" spans="1:34" s="20" customFormat="1" ht="18" customHeight="1" x14ac:dyDescent="0.2">
      <c r="A41" s="1276" t="str">
        <f>HLOOKUP(LangChoice,$AB$8:$AD$40,$AA27+1,FALSE)</f>
        <v>Indicator(s)</v>
      </c>
      <c r="B41" s="1277" t="str">
        <f>A4&amp;" "&amp;B4&amp;":"</f>
        <v>1.1) process efficiency:</v>
      </c>
      <c r="C41" s="1278"/>
      <c r="D41" s="1279"/>
      <c r="E41" s="256"/>
      <c r="F41" s="1268"/>
      <c r="G41" s="2393">
        <f ca="1">IFERROR(SUM(G37:G39)/SUM(G33:G35),"..")</f>
        <v>1.0364357323963782</v>
      </c>
      <c r="H41" s="2394"/>
      <c r="I41" s="589"/>
      <c r="K41" s="571"/>
      <c r="L41" s="587"/>
      <c r="M41" s="571"/>
      <c r="N41" s="571"/>
      <c r="O41" s="572"/>
      <c r="P41" s="585"/>
      <c r="Q41" s="585"/>
      <c r="R41" s="585"/>
      <c r="S41" s="585"/>
      <c r="T41" s="585"/>
      <c r="U41" s="585"/>
      <c r="V41" s="585"/>
      <c r="W41" s="585"/>
      <c r="X41" s="585"/>
      <c r="Y41" s="585"/>
    </row>
    <row r="42" spans="1:34" ht="12.75" customHeight="1" x14ac:dyDescent="0.2">
      <c r="A42" s="691"/>
      <c r="B42" s="691"/>
      <c r="C42" s="691"/>
      <c r="D42" s="691"/>
      <c r="E42" s="691"/>
      <c r="F42" s="621"/>
      <c r="G42" s="621"/>
      <c r="H42" s="597"/>
      <c r="I42" s="20"/>
      <c r="J42" s="20"/>
      <c r="K42" s="20"/>
      <c r="L42" s="20"/>
      <c r="M42" s="20"/>
      <c r="N42" s="20"/>
      <c r="O42" s="20"/>
      <c r="P42" s="20"/>
      <c r="Q42" s="20"/>
      <c r="R42" s="20"/>
      <c r="S42" s="20"/>
      <c r="T42" s="20"/>
      <c r="U42" s="20"/>
      <c r="V42" s="20"/>
      <c r="W42" s="20"/>
      <c r="X42" s="20"/>
      <c r="Y42" s="20"/>
      <c r="AF42" s="20"/>
      <c r="AG42" s="20"/>
      <c r="AH42" s="20"/>
    </row>
    <row r="43" spans="1:34" s="20" customFormat="1" ht="18" customHeight="1" x14ac:dyDescent="0.2">
      <c r="A43" s="15"/>
      <c r="D43" s="567"/>
      <c r="O43"/>
      <c r="P43"/>
      <c r="Q43"/>
      <c r="R43"/>
      <c r="S43"/>
      <c r="T43"/>
      <c r="U43"/>
      <c r="V43"/>
      <c r="W43"/>
      <c r="X43"/>
      <c r="Y43"/>
      <c r="AB43" s="1218" t="s">
        <v>8116</v>
      </c>
      <c r="AC43" s="661"/>
      <c r="AD43" s="661" t="s">
        <v>8117</v>
      </c>
      <c r="AE43" s="1219"/>
    </row>
    <row r="44" spans="1:34" s="20" customFormat="1" x14ac:dyDescent="0.2">
      <c r="A44" s="15"/>
      <c r="O44"/>
      <c r="P44"/>
      <c r="Q44"/>
      <c r="R44"/>
      <c r="S44"/>
      <c r="T44"/>
      <c r="U44"/>
      <c r="V44"/>
      <c r="W44"/>
      <c r="X44"/>
      <c r="Y44"/>
      <c r="AB44" s="624"/>
      <c r="AC44" s="20" t="str">
        <f>A33</f>
        <v>Input(s)</v>
      </c>
      <c r="AE44" s="590" t="str">
        <f>A37</f>
        <v>Output(s)</v>
      </c>
      <c r="AF44"/>
      <c r="AG44"/>
    </row>
    <row r="45" spans="1:34" s="20" customFormat="1" x14ac:dyDescent="0.2">
      <c r="A45" s="15"/>
      <c r="D45" s="569"/>
      <c r="G45" s="561"/>
      <c r="O45"/>
      <c r="P45"/>
      <c r="Q45"/>
      <c r="R45"/>
      <c r="S45"/>
      <c r="T45"/>
      <c r="U45"/>
      <c r="V45"/>
      <c r="W45"/>
      <c r="X45"/>
      <c r="Y45"/>
      <c r="AB45" s="589" t="str">
        <f>B33</f>
        <v>Coking coal</v>
      </c>
      <c r="AC45" s="626">
        <f>G33</f>
        <v>763.11825033438424</v>
      </c>
      <c r="AE45" s="590">
        <v>0</v>
      </c>
      <c r="AF45"/>
      <c r="AG45"/>
    </row>
    <row r="46" spans="1:34" s="20" customFormat="1" x14ac:dyDescent="0.2">
      <c r="A46" s="15"/>
      <c r="O46"/>
      <c r="P46"/>
      <c r="Q46"/>
      <c r="R46"/>
      <c r="S46"/>
      <c r="T46"/>
      <c r="U46"/>
      <c r="V46"/>
      <c r="W46"/>
      <c r="X46"/>
      <c r="Y46"/>
      <c r="AB46" s="589" t="str">
        <f>B34</f>
        <v>Other bituminous coal</v>
      </c>
      <c r="AC46" s="626">
        <f>G34</f>
        <v>0</v>
      </c>
      <c r="AE46" s="590">
        <v>0</v>
      </c>
      <c r="AF46"/>
      <c r="AG46"/>
    </row>
    <row r="47" spans="1:34" s="20" customFormat="1" x14ac:dyDescent="0.2">
      <c r="A47" s="15"/>
      <c r="L47"/>
      <c r="M47"/>
      <c r="N47"/>
      <c r="O47"/>
      <c r="P47"/>
      <c r="Q47"/>
      <c r="R47"/>
      <c r="S47"/>
      <c r="T47"/>
      <c r="U47"/>
      <c r="V47"/>
      <c r="W47"/>
      <c r="X47"/>
      <c r="Y47"/>
      <c r="AA47"/>
      <c r="AB47" s="589" t="str">
        <f>B35</f>
        <v>Other inputs</v>
      </c>
      <c r="AC47" s="626">
        <f ca="1">G35</f>
        <v>0</v>
      </c>
      <c r="AE47" s="590">
        <v>0</v>
      </c>
      <c r="AF47"/>
      <c r="AG47"/>
    </row>
    <row r="48" spans="1:34" s="20" customFormat="1" x14ac:dyDescent="0.2">
      <c r="A48" s="15"/>
      <c r="L48"/>
      <c r="M48"/>
      <c r="N48"/>
      <c r="O48"/>
      <c r="P48"/>
      <c r="Q48"/>
      <c r="R48"/>
      <c r="S48"/>
      <c r="T48"/>
      <c r="U48"/>
      <c r="V48"/>
      <c r="W48"/>
      <c r="X48"/>
      <c r="Y48"/>
      <c r="AB48" s="589" t="str">
        <f>B37</f>
        <v>Coke oven coke</v>
      </c>
      <c r="AC48" s="20">
        <v>0</v>
      </c>
      <c r="AE48" s="692">
        <f>G37</f>
        <v>790.9230226903602</v>
      </c>
      <c r="AF48"/>
      <c r="AG48"/>
    </row>
    <row r="49" spans="1:34" s="20" customFormat="1" x14ac:dyDescent="0.2">
      <c r="A49" s="15"/>
      <c r="L49"/>
      <c r="M49"/>
      <c r="N49"/>
      <c r="O49"/>
      <c r="P49"/>
      <c r="Q49"/>
      <c r="R49"/>
      <c r="S49"/>
      <c r="T49"/>
      <c r="U49"/>
      <c r="V49"/>
      <c r="W49"/>
      <c r="X49"/>
      <c r="Y49"/>
      <c r="AB49" s="589" t="str">
        <f>B38</f>
        <v>Coal tar</v>
      </c>
      <c r="AC49" s="20">
        <v>0</v>
      </c>
      <c r="AE49" s="692">
        <f>G38</f>
        <v>0</v>
      </c>
      <c r="AF49"/>
      <c r="AG49"/>
    </row>
    <row r="50" spans="1:34" s="20" customFormat="1" x14ac:dyDescent="0.2">
      <c r="A50" s="15"/>
      <c r="L50"/>
      <c r="M50"/>
      <c r="N50"/>
      <c r="O50"/>
      <c r="P50"/>
      <c r="Q50"/>
      <c r="R50"/>
      <c r="S50"/>
      <c r="T50"/>
      <c r="U50"/>
      <c r="V50"/>
      <c r="W50"/>
      <c r="X50"/>
      <c r="Y50"/>
      <c r="AA50" s="259" t="s">
        <v>8118</v>
      </c>
      <c r="AB50" s="589" t="str">
        <f>B39</f>
        <v>Coke oven gas</v>
      </c>
      <c r="AC50" s="20">
        <v>0</v>
      </c>
      <c r="AE50" s="692">
        <f>G39</f>
        <v>0</v>
      </c>
      <c r="AF50"/>
      <c r="AG50"/>
    </row>
    <row r="51" spans="1:34" x14ac:dyDescent="0.2">
      <c r="A51" s="15"/>
      <c r="AA51" s="697">
        <v>0.67</v>
      </c>
      <c r="AB51" s="693" t="str">
        <f>HLOOKUP(LangChoice,$AB$8:$AD$40,$AA21+1,FALSE)</f>
        <v>Efficiency range</v>
      </c>
      <c r="AC51" s="677">
        <f ca="1">AA51*SUM($AC$45:$AC$47)</f>
        <v>511.28922772403746</v>
      </c>
      <c r="AD51" s="677">
        <f t="shared" ref="AD51:AE53" ca="1" si="1">AC51</f>
        <v>511.28922772403746</v>
      </c>
      <c r="AE51" s="694">
        <f t="shared" ca="1" si="1"/>
        <v>511.28922772403746</v>
      </c>
      <c r="AH51" s="20"/>
    </row>
    <row r="52" spans="1:34" x14ac:dyDescent="0.2">
      <c r="A52" s="15"/>
      <c r="AA52" s="697">
        <v>0.9</v>
      </c>
      <c r="AB52" s="693" t="str">
        <f>AB51</f>
        <v>Efficiency range</v>
      </c>
      <c r="AC52" s="677">
        <f ca="1">AA52*SUM($AC$45:$AC$47)</f>
        <v>686.80642530094588</v>
      </c>
      <c r="AD52" s="677">
        <f t="shared" ca="1" si="1"/>
        <v>686.80642530094588</v>
      </c>
      <c r="AE52" s="694">
        <f t="shared" ca="1" si="1"/>
        <v>686.80642530094588</v>
      </c>
      <c r="AH52" s="20"/>
    </row>
    <row r="53" spans="1:34" x14ac:dyDescent="0.2">
      <c r="A53" s="15"/>
      <c r="AA53" s="20"/>
      <c r="AB53" s="695" t="str">
        <f>CountryName &amp; " " &amp; B4</f>
        <v>South Africa process efficiency</v>
      </c>
      <c r="AC53" s="688">
        <f ca="1">G41*SUM($AC$45:$AC$47)</f>
        <v>790.9230226903602</v>
      </c>
      <c r="AD53" s="688">
        <f t="shared" ca="1" si="1"/>
        <v>790.9230226903602</v>
      </c>
      <c r="AE53" s="696">
        <f t="shared" ca="1" si="1"/>
        <v>790.9230226903602</v>
      </c>
      <c r="AH53" s="20"/>
    </row>
    <row r="54" spans="1:34" x14ac:dyDescent="0.2">
      <c r="A54" s="15"/>
      <c r="AA54" s="20"/>
      <c r="AB54" s="627" t="s">
        <v>8119</v>
      </c>
      <c r="AC54" s="32" t="str">
        <f>G32&amp;" ["&amp;H33&amp;"]"</f>
        <v>Energy quantity [ktoe]</v>
      </c>
      <c r="AD54" s="32"/>
      <c r="AE54" s="628"/>
      <c r="AH54" s="20"/>
    </row>
    <row r="55" spans="1:34" x14ac:dyDescent="0.2">
      <c r="A55" s="15"/>
      <c r="AH55" s="20"/>
    </row>
    <row r="56" spans="1:34" x14ac:dyDescent="0.2">
      <c r="A56" s="15"/>
      <c r="AH56" s="20"/>
    </row>
    <row r="57" spans="1:34" x14ac:dyDescent="0.2">
      <c r="A57" s="15"/>
      <c r="AH57" s="20"/>
    </row>
    <row r="58" spans="1:34" x14ac:dyDescent="0.2">
      <c r="A58" s="15"/>
      <c r="AH58" s="20"/>
    </row>
    <row r="59" spans="1:34" x14ac:dyDescent="0.2">
      <c r="A59" s="15"/>
      <c r="AH59" s="20"/>
    </row>
    <row r="60" spans="1:34" x14ac:dyDescent="0.2">
      <c r="A60" s="15"/>
      <c r="AB60" s="20"/>
      <c r="AC60" s="20"/>
      <c r="AD60" s="20"/>
      <c r="AE60" s="20"/>
      <c r="AF60" s="20"/>
      <c r="AG60" s="20"/>
      <c r="AH60" s="20"/>
    </row>
    <row r="61" spans="1:34" x14ac:dyDescent="0.2">
      <c r="A61" s="15"/>
    </row>
  </sheetData>
  <sheetProtection algorithmName="SHA-512" hashValue="ZTfgXUiaMtmEX9K9iNdVx21dw8VXthMDSrSmuc7HxLFYQlMWkJBq2aPC0/JEq2eL7UkzCrjQekWQFFI58mKlBQ==" saltValue="n4oovjP+uuBOF6DA6v3IkA==" spinCount="100000" sheet="1" objects="1" scenarios="1"/>
  <mergeCells count="19">
    <mergeCell ref="E3:I3"/>
    <mergeCell ref="K10:P11"/>
    <mergeCell ref="K12:P13"/>
    <mergeCell ref="A7:Q7"/>
    <mergeCell ref="A31:E31"/>
    <mergeCell ref="K25:P28"/>
    <mergeCell ref="J11:J12"/>
    <mergeCell ref="B20:B21"/>
    <mergeCell ref="G41:H41"/>
    <mergeCell ref="A40:E40"/>
    <mergeCell ref="A37:A39"/>
    <mergeCell ref="E32:F32"/>
    <mergeCell ref="K14:P14"/>
    <mergeCell ref="K15:P15"/>
    <mergeCell ref="J14:J15"/>
    <mergeCell ref="G32:H32"/>
    <mergeCell ref="A33:A35"/>
    <mergeCell ref="C32:D32"/>
    <mergeCell ref="A32:B32"/>
  </mergeCells>
  <conditionalFormatting sqref="K17 G41">
    <cfRule type="cellIs" dxfId="26" priority="123" stopIfTrue="1" operator="between">
      <formula>$AE$13</formula>
      <formula>$AE$14</formula>
    </cfRule>
    <cfRule type="cellIs" dxfId="25" priority="124" stopIfTrue="1" operator="between">
      <formula>$AE$12</formula>
      <formula>$AE$13</formula>
    </cfRule>
    <cfRule type="cellIs" dxfId="24" priority="125" stopIfTrue="1" operator="lessThan">
      <formula>$AE$12</formula>
    </cfRule>
    <cfRule type="cellIs" dxfId="23" priority="126" stopIfTrue="1" operator="greaterThan">
      <formula>$AE$14</formula>
    </cfRule>
  </conditionalFormatting>
  <conditionalFormatting sqref="K25">
    <cfRule type="expression" dxfId="22" priority="151">
      <formula>$G$41&lt;$AE$11</formula>
    </cfRule>
    <cfRule type="expression" dxfId="21" priority="152">
      <formula>AND($G$41&gt;($AE$12-0.0001),$G$41&lt;($AE$13-0.0001))</formula>
    </cfRule>
    <cfRule type="expression" dxfId="20" priority="153">
      <formula>$G$41&gt;$AE$14</formula>
    </cfRule>
    <cfRule type="expression" dxfId="19" priority="154">
      <formula>OR($G$41&lt;($AE$12+0.0001),$G$41&gt;($AE$13-0.0001))</formula>
    </cfRule>
  </conditionalFormatting>
  <hyperlinks>
    <hyperlink ref="E3" r:id="rId1" xr:uid="{00000000-0004-0000-2600-000000000000}"/>
  </hyperlinks>
  <pageMargins left="0.70866141732283472" right="0.70866141732283472" top="0.74803149606299213" bottom="0.74803149606299213" header="0.31496062992125984" footer="0.31496062992125984"/>
  <pageSetup paperSize="9" orientation="landscape"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08">
    <tabColor theme="0"/>
  </sheetPr>
  <dimension ref="A1:E177"/>
  <sheetViews>
    <sheetView showGridLines="0" zoomScale="85" zoomScaleNormal="85" workbookViewId="0">
      <pane ySplit="9" topLeftCell="A32" activePane="bottomLeft" state="frozen"/>
      <selection pane="bottomLeft" activeCell="C32" sqref="C32"/>
    </sheetView>
  </sheetViews>
  <sheetFormatPr defaultColWidth="9.140625" defaultRowHeight="12.75" outlineLevelRow="1" x14ac:dyDescent="0.2"/>
  <cols>
    <col min="1" max="1" width="4.7109375" customWidth="1"/>
    <col min="2" max="2" width="2" customWidth="1"/>
    <col min="3" max="3" width="34.5703125" customWidth="1"/>
    <col min="4" max="4" width="2.42578125" customWidth="1"/>
    <col min="5" max="5" width="89" customWidth="1"/>
  </cols>
  <sheetData>
    <row r="1" spans="1:5" ht="30" customHeight="1" x14ac:dyDescent="0.2">
      <c r="A1" s="2108" t="s">
        <v>303</v>
      </c>
      <c r="B1" s="2108"/>
      <c r="C1" s="2109" t="s">
        <v>303</v>
      </c>
      <c r="D1" s="2109"/>
      <c r="E1" s="2110" t="s">
        <v>290</v>
      </c>
    </row>
    <row r="2" spans="1:5" ht="3" customHeight="1" x14ac:dyDescent="0.2"/>
    <row r="3" spans="1:5" ht="20.25" x14ac:dyDescent="0.3">
      <c r="B3" s="1089" t="str">
        <f>HLOOKUP(LangChoice,Definitions_ProdLang!$C$2:$E$75,Definitions_ProdLang!$A3+1,FALSE)</f>
        <v>PRODUCT DEFINITIONS</v>
      </c>
      <c r="E3" s="1089" t="str">
        <f>HLOOKUP(LangChoice,Definitions_FlowLang!$C$2:$E$112,Definitions_ProdLang!$A3+1,FALSE)</f>
        <v>FLOW DEFINITIONS</v>
      </c>
    </row>
    <row r="4" spans="1:5" ht="18.75" customHeight="1" thickBot="1" x14ac:dyDescent="0.25">
      <c r="A4" s="38"/>
      <c r="B4" s="521"/>
      <c r="C4" s="1090" t="str">
        <f>C12</f>
        <v>Coal, peat, oilshale and oil sands</v>
      </c>
      <c r="D4" s="1090"/>
      <c r="E4" s="1090" t="str">
        <f>C86</f>
        <v>Supply</v>
      </c>
    </row>
    <row r="5" spans="1:5" ht="18.75" customHeight="1" thickTop="1" thickBot="1" x14ac:dyDescent="0.25">
      <c r="A5" s="39"/>
      <c r="B5" s="522"/>
      <c r="C5" s="1090" t="str">
        <f>C31</f>
        <v>Crude, NGL, refinery feedstocks</v>
      </c>
      <c r="D5" s="1090"/>
      <c r="E5" s="1090" t="str">
        <f>C98</f>
        <v>Transformation processes</v>
      </c>
    </row>
    <row r="6" spans="1:5" ht="18.75" customHeight="1" thickTop="1" thickBot="1" x14ac:dyDescent="0.25">
      <c r="A6" s="39"/>
      <c r="B6" s="522"/>
      <c r="C6" s="1090" t="str">
        <f>C37</f>
        <v>Oil products</v>
      </c>
      <c r="D6" s="1090"/>
      <c r="E6" s="1090" t="str">
        <f>C121</f>
        <v>Energy industry own use and losses</v>
      </c>
    </row>
    <row r="7" spans="1:5" ht="18.75" customHeight="1" thickTop="1" thickBot="1" x14ac:dyDescent="0.25">
      <c r="A7" s="547"/>
      <c r="B7" s="522"/>
      <c r="C7" s="1090" t="str">
        <f>C55</f>
        <v>Natural gas</v>
      </c>
      <c r="D7" s="1090"/>
      <c r="E7" s="1090" t="str">
        <f>C141</f>
        <v>Final consumption</v>
      </c>
    </row>
    <row r="8" spans="1:5" ht="18.75" customHeight="1" thickTop="1" thickBot="1" x14ac:dyDescent="0.25">
      <c r="A8" s="549"/>
      <c r="B8" s="522"/>
      <c r="C8" s="1090" t="str">
        <f>C57</f>
        <v>Biofuels and waste</v>
      </c>
      <c r="D8" s="1090"/>
      <c r="E8" s="1090" t="str">
        <f>C175</f>
        <v>Electricity and heat output</v>
      </c>
    </row>
    <row r="9" spans="1:5" ht="18.75" customHeight="1" thickTop="1" x14ac:dyDescent="0.2">
      <c r="A9" s="548"/>
      <c r="B9" s="523"/>
      <c r="C9" s="1090" t="str">
        <f>C69</f>
        <v>Electricity and heat</v>
      </c>
      <c r="D9" s="1090"/>
    </row>
    <row r="10" spans="1:5" ht="3" customHeight="1" x14ac:dyDescent="0.2">
      <c r="C10" s="15"/>
      <c r="D10" s="15"/>
    </row>
    <row r="11" spans="1:5" ht="30" customHeight="1" x14ac:dyDescent="0.2">
      <c r="A11" s="2297" t="str">
        <f>CONCATENATE(HLOOKUP(LangChoice,Definitions_ProdLang!$C$2:$E$75,Definitions_ProdLang!$A3+1,FALSE),":")</f>
        <v>PRODUCT DEFINITIONS:</v>
      </c>
      <c r="B11" s="2297"/>
      <c r="C11" s="2297"/>
      <c r="D11" s="2111"/>
      <c r="E11" s="2112" t="s">
        <v>304</v>
      </c>
    </row>
    <row r="12" spans="1:5" ht="32.1" customHeight="1" x14ac:dyDescent="0.2">
      <c r="A12" s="1017"/>
      <c r="B12" s="1018"/>
      <c r="C12" s="854" t="str">
        <f>HLOOKUP(LangChoice,Definitions_ProdLang!$C$2:$E$75,Definitions_ProdLang!$A4+1,FALSE)</f>
        <v>Coal, peat, oilshale and oil sands</v>
      </c>
      <c r="D12" s="528" t="s">
        <v>305</v>
      </c>
      <c r="E12" s="527"/>
    </row>
    <row r="13" spans="1:5" ht="51.75" customHeight="1" outlineLevel="1" x14ac:dyDescent="0.2">
      <c r="A13" s="1019"/>
      <c r="B13" s="1091"/>
      <c r="C13" s="1092" t="str">
        <f>HLOOKUP(LangChoice,Definitions_ProdLang!$C$2:$E$75,Definitions_ProdLang!$A5+1,FALSE)</f>
        <v>Anthracite</v>
      </c>
      <c r="D13" s="1092" t="s">
        <v>305</v>
      </c>
      <c r="E13" s="540" t="str">
        <f>HLOOKUP(LangChoice,Definitions_ProdLang!$F$2:$H$75,Definitions_ProdLang!$A5+1,FALSE)</f>
        <v>High rank coal used for industrial and residential applications. It has generally less than 10% volatile matter and a high carbon content (about 90% fixed carbon). Its gross calorific value is equal to or greater than 24 000 kJ/kg on an ash-free but moist basis.</v>
      </c>
    </row>
    <row r="14" spans="1:5" ht="54.75" customHeight="1" outlineLevel="1" x14ac:dyDescent="0.2">
      <c r="A14" s="1019"/>
      <c r="B14" s="1091"/>
      <c r="C14" s="1092" t="str">
        <f>HLOOKUP(LangChoice,Definitions_ProdLang!$C$2:$E$75,Definitions_ProdLang!$A6+1,FALSE)</f>
        <v>Coking coal</v>
      </c>
      <c r="D14" s="1092" t="s">
        <v>305</v>
      </c>
      <c r="E14" s="540" t="str">
        <f>HLOOKUP(LangChoice,Definitions_ProdLang!$F$2:$H$75,Definitions_ProdLang!$A6+1,FALSE)</f>
        <v>Bituminous coal with a quality that allows the production of a coke suitable to support a blast furnace charge. Its gross calorific value is equal to or greater than 24 000 kJ/kg on an ash-free but moist basis.</v>
      </c>
    </row>
    <row r="15" spans="1:5" ht="81.75" customHeight="1" outlineLevel="1" x14ac:dyDescent="0.2">
      <c r="A15" s="1019"/>
      <c r="B15" s="1091"/>
      <c r="C15" s="1092" t="str">
        <f>HLOOKUP(LangChoice,Definitions_ProdLang!$C$2:$E$75,Definitions_ProdLang!$A7+1,FALSE)</f>
        <v>Other bituminous coal</v>
      </c>
      <c r="D15" s="1092" t="s">
        <v>305</v>
      </c>
      <c r="E15" s="540" t="str">
        <f>HLOOKUP(LangChoice,Definitions_ProdLang!$F$2:$H$75,Definitions_ProdLang!$A7+1,FALSE)</f>
        <v>Coal mainly used for steam raising purposes and includes all bituminous coal that is not included under coking coal nor anthracite. It is characterized by higher volatile matter than anthracite (more than 10%) and lower carbon content (less than 90% fixed carbon). Its gross calorific value is equal to or greater than 24 000 kJ/kg on an ash-free but moist basis. If bituminous coal is used in coke ovens it should be reported as coking coal.</v>
      </c>
    </row>
    <row r="16" spans="1:5" ht="54" customHeight="1" outlineLevel="1" x14ac:dyDescent="0.2">
      <c r="A16" s="1019"/>
      <c r="B16" s="1091"/>
      <c r="C16" s="1092" t="str">
        <f>HLOOKUP(LangChoice,Definitions_ProdLang!$C$2:$E$75,Definitions_ProdLang!$A8+1,FALSE)</f>
        <v>Sub-bituminous coal</v>
      </c>
      <c r="D16" s="1092" t="s">
        <v>305</v>
      </c>
      <c r="E16" s="540" t="str">
        <f>HLOOKUP(LangChoice,Definitions_ProdLang!$F$2:$H$75,Definitions_ProdLang!$A8+1,FALSE)</f>
        <v>Non-agglomerating coal with a gross calorific value equal to or greater than 20 000 kJ/kg and less than 24 000 kJ/kg containing more than 31% volatile matter on a dry mineral matter free basis.</v>
      </c>
    </row>
    <row r="17" spans="1:5" ht="41.25" customHeight="1" outlineLevel="1" x14ac:dyDescent="0.2">
      <c r="A17" s="1019"/>
      <c r="B17" s="1091"/>
      <c r="C17" s="1092" t="str">
        <f>HLOOKUP(LangChoice,Definitions_ProdLang!$C$2:$E$75,Definitions_ProdLang!$A9+1,FALSE)</f>
        <v>Lignite</v>
      </c>
      <c r="D17" s="1092" t="s">
        <v>305</v>
      </c>
      <c r="E17" s="540" t="str">
        <f>HLOOKUP(LangChoice,Definitions_ProdLang!$F$2:$H$75,Definitions_ProdLang!$A9+1,FALSE)</f>
        <v>Non-agglomerating coal with a gross calorific value less than 20 000 kJ/kg and greater than 31% volatile matter on a dry mineral matter free basis.</v>
      </c>
    </row>
    <row r="18" spans="1:5" ht="51.75" customHeight="1" outlineLevel="1" x14ac:dyDescent="0.2">
      <c r="A18" s="1019"/>
      <c r="B18" s="1091"/>
      <c r="C18" s="1092" t="str">
        <f>HLOOKUP(LangChoice,Definitions_ProdLang!$C$2:$E$75,Definitions_ProdLang!$A10+1,FALSE)</f>
        <v>Patent fuel</v>
      </c>
      <c r="D18" s="1092" t="s">
        <v>305</v>
      </c>
      <c r="E18" s="540" t="str">
        <f>HLOOKUP(LangChoice,Definitions_ProdLang!$F$2:$H$75,Definitions_ProdLang!$A10+1,FALSE)</f>
        <v>A composition fuel manufactured from hard coal fines with the addition of a binding agent. The amount of patent fuel produced may, therefore, be slightly higher than the actual amount of coal consumed in the transformation process.</v>
      </c>
    </row>
    <row r="19" spans="1:5" ht="111" customHeight="1" outlineLevel="1" x14ac:dyDescent="0.2">
      <c r="A19" s="1019"/>
      <c r="B19" s="1091"/>
      <c r="C19" s="1092" t="str">
        <f>HLOOKUP(LangChoice,Definitions_ProdLang!$C$2:$E$75,Definitions_ProdLang!$A11+1,FALSE)</f>
        <v>Coke oven coke</v>
      </c>
      <c r="D19" s="1092" t="s">
        <v>305</v>
      </c>
      <c r="E19" s="540" t="str">
        <f>HLOOKUP(LangChoice,Definitions_ProdLang!$F$2:$H$75,Definitions_ProdLang!$A11+1,FALSE)</f>
        <v>The solid product obtained from carbonization of coal, principally coking coal, at high temperature, it is low in moisture and volatile matter. Coke oven coke is used mainly in the iron and steel industry acting as energy source and chemical agent. Coke breeze and foundry coke are included in this category. Semi-coke (a solid product obtained from carbonization of coal at low temperature) should be included in this category. Semi-coke is used as a domestic fuel or by the transformation plant itself. This heading also includes coke, coke breeze and semi-coke made from lignite/brown coal.</v>
      </c>
    </row>
    <row r="20" spans="1:5" ht="43.5" customHeight="1" outlineLevel="1" x14ac:dyDescent="0.2">
      <c r="A20" s="1019"/>
      <c r="B20" s="1091"/>
      <c r="C20" s="1092" t="str">
        <f>HLOOKUP(LangChoice,Definitions_ProdLang!$C$2:$E$75,Definitions_ProdLang!$A12+1,FALSE)</f>
        <v>Gas coke</v>
      </c>
      <c r="D20" s="1092" t="s">
        <v>305</v>
      </c>
      <c r="E20" s="540" t="str">
        <f>HLOOKUP(LangChoice,Definitions_ProdLang!$F$2:$H$75,Definitions_ProdLang!$A12+1,FALSE)</f>
        <v>By-product of hard coal used for production of town gas in gas works. Gas coke is used for heating purposes.</v>
      </c>
    </row>
    <row r="21" spans="1:5" ht="81" customHeight="1" outlineLevel="1" x14ac:dyDescent="0.2">
      <c r="A21" s="1019"/>
      <c r="B21" s="1091"/>
      <c r="C21" s="1092" t="str">
        <f>HLOOKUP(LangChoice,Definitions_ProdLang!$C$2:$E$75,Definitions_ProdLang!$A13+1,FALSE)</f>
        <v>Coal tar</v>
      </c>
      <c r="D21" s="1092" t="s">
        <v>305</v>
      </c>
      <c r="E21" s="540" t="str">
        <f>HLOOKUP(LangChoice,Definitions_ProdLang!$F$2:$H$75,Definitions_ProdLang!$A13+1,FALSE)</f>
        <v>A result of the destructive distillation of bituminous coal or of the low-temperature carbonisation of brown coal. Coal tar from bituminous coal is the liquid by-product of the distillation of coal to make coke in the coke oven process. Coal tar can be further distilled into different organic products (e.g. benzene, toluene, naphthalene), which normally would be reported as a feedstock to the petrochemical industry.</v>
      </c>
    </row>
    <row r="22" spans="1:5" ht="54" customHeight="1" outlineLevel="1" x14ac:dyDescent="0.2">
      <c r="A22" s="1019"/>
      <c r="B22" s="1091"/>
      <c r="C22" s="1092" t="str">
        <f>HLOOKUP(LangChoice,Definitions_ProdLang!$C$2:$E$75,Definitions_ProdLang!$A14+1,FALSE)</f>
        <v>BKB (Brown coal briquettes)</v>
      </c>
      <c r="D22" s="1092" t="s">
        <v>305</v>
      </c>
      <c r="E22" s="540" t="str">
        <f>HLOOKUP(LangChoice,Definitions_ProdLang!$F$2:$H$75,Definitions_ProdLang!$A14+1,FALSE)</f>
        <v>BKB is a composition fuel manufactured from lignite or sub-bituminous coal, produced by briquetting under high pressure without the addition of a binding agent.</v>
      </c>
    </row>
    <row r="23" spans="1:5" ht="212.25" customHeight="1" outlineLevel="1" x14ac:dyDescent="0.2">
      <c r="A23" s="1019"/>
      <c r="B23" s="1091"/>
      <c r="C23" s="1092" t="str">
        <f>HLOOKUP(LangChoice,Definitions_ProdLang!$C$2:$E$75,Definitions_ProdLang!$A15+1,FALSE)</f>
        <v>Gas works gas</v>
      </c>
      <c r="D23" s="1092" t="s">
        <v>305</v>
      </c>
      <c r="E23" s="540" t="str">
        <f>HLOOKUP(LangChoice,Definitions_ProdLang!$F$2:$H$75,Definitions_ProdLang!$A15+1,FALSE)</f>
        <v xml:space="preserve">Covers all types of gases produced in public utility or private plants, whose main purpose is manufacture, transport and distribution of gas. It includes gas produced by carbonization (including gas produced by coke ovens and transferred to gas works gas), by total gasification with or without enrichment with oil products (LPG, residual fuel oil, etc.), and by reforming and simple mixing of gases and/or air, reported under the rows, From other sources. Under the transformation sector identify amounts of gas work gas transferred to blended natural gas which will be distributed and consumed through the natural gas grid. The quantity of fuel should be reported on a gross calorific value basis.
The production of other coal gases (i.e. coke oven gas, blast furnace gas and other recovered gases) should be reported in the columns concerning such gases, and not as production of gas works gas. The coal gases transferred to gas works plants should then be reported (in their own column) in the transformation sector in the gas works plants row. The total amount of gas works gas resulting from transfers of other coal gases should appear in the production line for gas works gas.
</v>
      </c>
    </row>
    <row r="24" spans="1:5" ht="51.75" customHeight="1" outlineLevel="1" x14ac:dyDescent="0.2">
      <c r="A24" s="1019"/>
      <c r="B24" s="1091"/>
      <c r="C24" s="1092" t="str">
        <f>HLOOKUP(LangChoice,Definitions_ProdLang!$C$2:$E$75,Definitions_ProdLang!$A16+1,FALSE)</f>
        <v>Coke oven gas</v>
      </c>
      <c r="D24" s="1092" t="s">
        <v>305</v>
      </c>
      <c r="E24" s="540" t="str">
        <f>HLOOKUP(LangChoice,Definitions_ProdLang!$F$2:$H$75,Definitions_ProdLang!$A16+1,FALSE)</f>
        <v>Obtained as a by-product from the manufacture of coke oven coke for the production of iron and steel. The quantity of fuel should be reported on a gross calorific value basis.</v>
      </c>
    </row>
    <row r="25" spans="1:5" ht="97.5" customHeight="1" outlineLevel="1" x14ac:dyDescent="0.2">
      <c r="A25" s="1019"/>
      <c r="B25" s="1091"/>
      <c r="C25" s="1092" t="str">
        <f>HLOOKUP(LangChoice,Definitions_ProdLang!$C$2:$E$75,Definitions_ProdLang!$A17+1,FALSE)</f>
        <v>Blast furnace gas</v>
      </c>
      <c r="D25" s="1092" t="s">
        <v>305</v>
      </c>
      <c r="E25" s="540" t="str">
        <f>HLOOKUP(LangChoice,Definitions_ProdLang!$F$2:$H$75,Definitions_ProdLang!$A17+1,FALSE)</f>
        <v>Produced during the combustion of coke in blast furnaces in the iron and steel industry. It is recovered and used as a fuel partly within the plant and partly in other steel industry processes or in power stations equipped to burn it. The quantity of recuperated fuel should be reported on a gross calorific value basis. In addition, off-gases from all iron-production reduction processes utilising air as the oxygen source (such as Direct reduced iron) should be reported here.</v>
      </c>
    </row>
    <row r="26" spans="1:5" ht="95.25" customHeight="1" outlineLevel="1" x14ac:dyDescent="0.2">
      <c r="A26" s="1019"/>
      <c r="B26" s="1091"/>
      <c r="C26" s="1092" t="str">
        <f>HLOOKUP(LangChoice,Definitions_ProdLang!$C$2:$E$75,Definitions_ProdLang!$A18+1,FALSE)</f>
        <v>Other recovered gases</v>
      </c>
      <c r="D26" s="1092" t="s">
        <v>305</v>
      </c>
      <c r="E26" s="540" t="str">
        <f>HLOOKUP(LangChoice,Definitions_ProdLang!$F$2:$H$75,Definitions_ProdLang!$A18+1,FALSE)</f>
        <v>By-product of the production of steel in an oxygen furnace, recovered on leaving the furnace. The gases are also known as converter gas, LD gas or BOS gas. The quantity of recuperated fuel should be reported on a gross calorific value basis.  Also covers non-specified manufactured gases not mentioned above, such as combustible gases of solid carbonaceous origin recovered from manufacturing and chemical processes not elsewhere defined.</v>
      </c>
    </row>
    <row r="27" spans="1:5" s="2" customFormat="1" ht="65.25" customHeight="1" outlineLevel="1" x14ac:dyDescent="0.2">
      <c r="A27" s="1019"/>
      <c r="B27" s="1091"/>
      <c r="C27" s="1092" t="str">
        <f>HLOOKUP(LangChoice,Definitions_ProdLang!$C$2:$E$75,Definitions_ProdLang!$A19+1,FALSE)</f>
        <v>Elec/heat output from non-spec. manufactured gases</v>
      </c>
      <c r="D27" s="1092" t="s">
        <v>305</v>
      </c>
      <c r="E27" s="540" t="str">
        <f>HLOOKUP(LangChoice,Definitions_ProdLang!$F$2:$H$75,Definitions_ProdLang!$A19+1,FALSE)</f>
        <v>This item is only used if the detailed breakdown is not available. It includes coke oven gas, blast furnace gas and other recovered gases. Gas works gas is not included here.</v>
      </c>
    </row>
    <row r="28" spans="1:5" ht="65.25" customHeight="1" outlineLevel="1" x14ac:dyDescent="0.2">
      <c r="A28" s="1019"/>
      <c r="B28" s="1091"/>
      <c r="C28" s="1092" t="str">
        <f>HLOOKUP(LangChoice,Definitions_ProdLang!$C$2:$E$75,Definitions_ProdLang!$A20+1,FALSE)</f>
        <v>Peat</v>
      </c>
      <c r="D28" s="1092" t="s">
        <v>305</v>
      </c>
      <c r="E28" s="540" t="str">
        <f>HLOOKUP(LangChoice,Definitions_ProdLang!$F$2:$H$75,Definitions_ProdLang!$A20+1,FALSE)</f>
        <v>A combustible soft, porous or compressed, fossil sedimentary deposit of plant origin with high water content (up to 90 percent in the raw state), easily cut, and of light to dark brown colour. Peat used for non-energy purposes should not included here. Milled peat is included here.</v>
      </c>
    </row>
    <row r="29" spans="1:5" ht="45" customHeight="1" outlineLevel="1" x14ac:dyDescent="0.2">
      <c r="A29" s="1019"/>
      <c r="B29" s="1091"/>
      <c r="C29" s="1092" t="str">
        <f>HLOOKUP(LangChoice,Definitions_ProdLang!$C$2:$E$75,Definitions_ProdLang!$A21+1,FALSE)</f>
        <v>Peat products</v>
      </c>
      <c r="D29" s="1092" t="s">
        <v>305</v>
      </c>
      <c r="E29" s="540" t="str">
        <f>HLOOKUP(LangChoice,Definitions_ProdLang!$F$2:$H$75,Definitions_ProdLang!$A21+1,FALSE)</f>
        <v>Products such as peat briquettes derived directly or indirectly from sod peat and milled peat.</v>
      </c>
    </row>
    <row r="30" spans="1:5" ht="94.5" customHeight="1" outlineLevel="1" x14ac:dyDescent="0.2">
      <c r="A30" s="1019"/>
      <c r="B30" s="1091"/>
      <c r="C30" s="1092" t="str">
        <f>HLOOKUP(LangChoice,Definitions_ProdLang!$C$2:$E$75,Definitions_ProdLang!$A22+1,FALSE)</f>
        <v>Oil shale and oil sands</v>
      </c>
      <c r="D30" s="1092" t="s">
        <v>305</v>
      </c>
      <c r="E30" s="540" t="str">
        <f>HLOOKUP(LangChoice,Definitions_ProdLang!$F$2:$H$75,Definitions_ProdLang!$A22+1,FALSE)</f>
        <v>Oil shale and oil sands are sedimentary rock which contains organic matter in the form of kerogen. Kerogen is a waxy hydrocarbon-rich material regarded as a precursor of petroleum. Oil shale may be burned directly or processed by heating to extract shale oil. Oil shale and tar sands used as inputs for other transformation processes are also included here (this includes the portion consumed in the transformation process). Shale oil and other products derived from liquefaction are included in from other sources under crude oil (other hydrocarbons).</v>
      </c>
    </row>
    <row r="31" spans="1:5" ht="32.1" customHeight="1" x14ac:dyDescent="0.2">
      <c r="A31" s="1020"/>
      <c r="B31" s="1021"/>
      <c r="C31" s="855" t="str">
        <f>HLOOKUP(LangChoice,Definitions_ProdLang!$C$2:$E$75,Definitions_ProdLang!$A23+1,FALSE)</f>
        <v>Crude, NGL, refinery feedstocks</v>
      </c>
      <c r="D31" s="526" t="s">
        <v>305</v>
      </c>
      <c r="E31" s="525"/>
    </row>
    <row r="32" spans="1:5" s="2" customFormat="1" ht="85.5" customHeight="1" outlineLevel="1" x14ac:dyDescent="0.2">
      <c r="A32" s="1022"/>
      <c r="B32" s="1093"/>
      <c r="C32" s="1092" t="str">
        <f>HLOOKUP(LangChoice,Definitions_ProdLang!$C$2:$E$75,Definitions_ProdLang!$A24+1,FALSE)</f>
        <v>Crude oil</v>
      </c>
      <c r="D32" s="1092" t="s">
        <v>305</v>
      </c>
      <c r="E32" s="540" t="str">
        <f>HLOOKUP(LangChoice,Definitions_ProdLang!$F$2:$H$75,Definitions_ProdLang!$A24+1,FALSE)</f>
        <v>Crude oil is a mineral oil of natural origin comprising a mixture of hydrocarbons and associated impurities, such as sulphur. It exists in the liquid phase under normal surface temperature and pressure and its physical characteristics (density, viscosity, etc.) are highly variable. This category includes field or lease condensate recovered from associated and non–associated gas where it is commingled with the commercial crude oil stream.</v>
      </c>
    </row>
    <row r="33" spans="1:5" s="2" customFormat="1" ht="71.25" customHeight="1" outlineLevel="1" x14ac:dyDescent="0.2">
      <c r="A33" s="1022"/>
      <c r="B33" s="1093"/>
      <c r="C33" s="1092" t="str">
        <f>HLOOKUP(LangChoice,Definitions_ProdLang!$C$2:$E$75,Definitions_ProdLang!$A25+1,FALSE)</f>
        <v>Natural gas liquids (NGL)</v>
      </c>
      <c r="D33" s="1092" t="s">
        <v>305</v>
      </c>
      <c r="E33" s="540" t="str">
        <f>HLOOKUP(LangChoice,Definitions_ProdLang!$F$2:$H$75,Definitions_ProdLang!$A25+1,FALSE)</f>
        <v>NGL are liquid or liquefied hydrocarbons recovered from natural gas in separation facilities or gas processing plants. Natural gas liquids include ethane, propane, butane (normal and iso–), (iso) pentane and pentanes plus (sometimes referred to as natural gasoline or plant condensate).</v>
      </c>
    </row>
    <row r="34" spans="1:5" s="2" customFormat="1" ht="91.5" customHeight="1" outlineLevel="1" x14ac:dyDescent="0.2">
      <c r="A34" s="1022"/>
      <c r="B34" s="1093"/>
      <c r="C34" s="1092" t="str">
        <f>HLOOKUP(LangChoice,Definitions_ProdLang!$C$2:$E$75,Definitions_ProdLang!$A26+1,FALSE)</f>
        <v>Refinery feedstocks</v>
      </c>
      <c r="D34" s="1092" t="s">
        <v>305</v>
      </c>
      <c r="E34" s="540" t="str">
        <f>HLOOKUP(LangChoice,Definitions_ProdLang!$F$2:$H$75,Definitions_ProdLang!$A26+1,FALSE)</f>
        <v>A refinery feedstock is a processed oil destined for further processing (e.g. straight run fuel oil or vacuum gas oil) excluding blending. With further processing, it will be transformed into one or more components and/or finished products. This definition also covers returns from the petrochemical industry to the refining industry (e.g. pyrolysis gasoline, C4 fractions, gasoil and fuel oil fractions).</v>
      </c>
    </row>
    <row r="35" spans="1:5" s="2" customFormat="1" ht="109.5" customHeight="1" outlineLevel="1" x14ac:dyDescent="0.2">
      <c r="A35" s="1022"/>
      <c r="B35" s="1093"/>
      <c r="C35" s="1092" t="str">
        <f>HLOOKUP(LangChoice,Definitions_ProdLang!$C$2:$E$75,Definitions_ProdLang!$A27+1,FALSE)</f>
        <v>Additives/ blending components</v>
      </c>
      <c r="D35" s="1092" t="s">
        <v>305</v>
      </c>
      <c r="E35" s="540" t="str">
        <f>HLOOKUP(LangChoice,Definitions_ProdLang!$F$2:$H$75,Definitions_ProdLang!$A27+1,FALSE)</f>
        <v xml:space="preserve">Additives are non-hydrocarbon compounds added to or blended with a product to modify fuel properties (octane, cetane, cold properties, etc.):
i. Oxygenates, such as alcohols (methanol, ethanol); ethers, such as MTBE (methyl tertiary butyl ether), ETBE (ethyl tertiary butyl ether), TAME (tertiary amyl methyl ether);
ii. Esters (e.g. rapeseed or dimethylester, etc.);
iii. Chemical compounds (such as TML, TEL and detergents).
The biofuel fractions of biogasoline, biodiesel and ethanol are not included here, but under liquid biofuels. This differs from the presentation of additives in the Oil Information publication.
</v>
      </c>
    </row>
    <row r="36" spans="1:5" s="2" customFormat="1" ht="69.75" customHeight="1" outlineLevel="1" x14ac:dyDescent="0.2">
      <c r="A36" s="1022"/>
      <c r="B36" s="1093"/>
      <c r="C36" s="1092" t="str">
        <f>HLOOKUP(LangChoice,Definitions_ProdLang!$C$2:$E$75,Definitions_ProdLang!$A28+1,FALSE)</f>
        <v>Other hydro-carbons</v>
      </c>
      <c r="D36" s="1092" t="s">
        <v>305</v>
      </c>
      <c r="E36" s="540" t="str">
        <f>HLOOKUP(LangChoice,Definitions_ProdLang!$F$2:$H$75,Definitions_ProdLang!$A28+1,FALSE)</f>
        <v>This category includes synthetic crude oil from tar sands, shale oil, etc., liquids from coal liquefaction, (see the Annual coal questionnaire), output of liquids from natural gas conversion into gasoline (see the Annual natural gas questionnaire), hydrogen and emulsified oils (e.g. Orimulsion).</v>
      </c>
    </row>
    <row r="37" spans="1:5" ht="32.1" customHeight="1" x14ac:dyDescent="0.2">
      <c r="A37" s="1023"/>
      <c r="B37" s="1024"/>
      <c r="C37" s="855" t="str">
        <f>HLOOKUP(LangChoice,Definitions_ProdLang!$C$2:$E$75,Definitions_ProdLang!$A29+1,FALSE)</f>
        <v>Oil products</v>
      </c>
      <c r="D37" s="526" t="s">
        <v>305</v>
      </c>
      <c r="E37" s="839"/>
    </row>
    <row r="38" spans="1:5" s="2" customFormat="1" ht="68.25" customHeight="1" outlineLevel="1" x14ac:dyDescent="0.2">
      <c r="A38" s="1022"/>
      <c r="B38" s="1093"/>
      <c r="C38" s="1092" t="str">
        <f>HLOOKUP(LangChoice,Definitions_ProdLang!$C$2:$E$75,Definitions_ProdLang!$A30+1,FALSE)</f>
        <v>Refinery gas</v>
      </c>
      <c r="D38" s="1092" t="s">
        <v>305</v>
      </c>
      <c r="E38" s="540" t="str">
        <f>HLOOKUP(LangChoice,Definitions_ProdLang!$F$2:$H$75,Definitions_ProdLang!$A30+1,FALSE)</f>
        <v>Refinery gas includes a mixture of non-condensed gases mainly consisting of hydrogen, methane, ethane and olefins obtained during distillation of crude oil or treatment of oil products (e.g. cracking) in refineries. It also includes gases which are returned from the petrochemical industry. Refinery gas production refers to gross production. Own consumption is shown separately under oil refineries in energy industry own use.</v>
      </c>
    </row>
    <row r="39" spans="1:5" s="2" customFormat="1" ht="36.75" customHeight="1" outlineLevel="1" x14ac:dyDescent="0.2">
      <c r="A39" s="1022"/>
      <c r="B39" s="1093"/>
      <c r="C39" s="1092" t="str">
        <f>HLOOKUP(LangChoice,Definitions_ProdLang!$C$2:$E$75,Definitions_ProdLang!$A31+1,FALSE)</f>
        <v>Ethane</v>
      </c>
      <c r="D39" s="1092" t="s">
        <v>305</v>
      </c>
      <c r="E39" s="540" t="str">
        <f>HLOOKUP(LangChoice,Definitions_ProdLang!$F$2:$H$75,Definitions_ProdLang!$A31+1,FALSE)</f>
        <v>A naturally gaseous straight–chain hydrocarbon, (C2H6) extracted from natural gas and refinery gas streams.</v>
      </c>
    </row>
    <row r="40" spans="1:5" s="2" customFormat="1" ht="69" customHeight="1" outlineLevel="1" x14ac:dyDescent="0.2">
      <c r="A40" s="1022"/>
      <c r="B40" s="1093"/>
      <c r="C40" s="1092" t="str">
        <f>HLOOKUP(LangChoice,Definitions_ProdLang!$C$2:$E$75,Definitions_ProdLang!$A32+1,FALSE)</f>
        <v>Liquefied petroleum gases (LPG)</v>
      </c>
      <c r="D40" s="1092" t="s">
        <v>305</v>
      </c>
      <c r="E40" s="540" t="str">
        <f>HLOOKUP(LangChoice,Definitions_ProdLang!$F$2:$H$75,Definitions_ProdLang!$A32+1,FALSE)</f>
        <v>LPG are light paraffinic hydrocarbons derived from the refinery processes, crude oil stabilisation and natural gas processing plants. They consist mainly of propane (C3H8) and butane (C4H10) or a combination of the two. They could also include propylene, butylene, isobutene and isobutylene. LPG are normally liquefied under pressure for transportation and storage.</v>
      </c>
    </row>
    <row r="41" spans="1:5" s="2" customFormat="1" ht="96.75" customHeight="1" outlineLevel="1" x14ac:dyDescent="0.2">
      <c r="A41" s="1022"/>
      <c r="B41" s="1093"/>
      <c r="C41" s="1092" t="str">
        <f>HLOOKUP(LangChoice,Definitions_ProdLang!$C$2:$E$75,Definitions_ProdLang!$A33+1,FALSE)</f>
        <v>Motor gasoline excl. biofuels</v>
      </c>
      <c r="D41" s="1092" t="s">
        <v>305</v>
      </c>
      <c r="E41" s="540" t="str">
        <f>HLOOKUP(LangChoice,Definitions_ProdLang!$F$2:$H$75,Definitions_ProdLang!$A33+1,FALSE)</f>
        <v>Motor gasoline is light hydrocarbon oil for use in internal combustion engines such as motor vehicles, excluding aircraft. Motor gasoline is distilled between 35°C and 215°C and is used as a fuel for land based spark ignition engines. Motor gasoline may include additives, oxygenates and octane enhancers, including lead compounds such as TEL (tetraethyl lead) and TML (tetramethyl lead). Motor gasoline excluding biofuels does not include the liquid biofuels or ethanol blended with gasoline - see liquid biofuels. This differs from the presentation of motor gasoline in the Oil Information publication.</v>
      </c>
    </row>
    <row r="42" spans="1:5" s="2" customFormat="1" ht="60.75" customHeight="1" outlineLevel="1" x14ac:dyDescent="0.2">
      <c r="A42" s="1022"/>
      <c r="B42" s="1093"/>
      <c r="C42" s="1092" t="str">
        <f>HLOOKUP(LangChoice,Definitions_ProdLang!$C$2:$E$75,Definitions_ProdLang!$A34+1,FALSE)</f>
        <v>Aviation gasoline</v>
      </c>
      <c r="D42" s="1092" t="s">
        <v>305</v>
      </c>
      <c r="E42" s="540" t="str">
        <f>HLOOKUP(LangChoice,Definitions_ProdLang!$F$2:$H$75,Definitions_ProdLang!$A34+1,FALSE)</f>
        <v>Aviation gasoline is motor spirit prepared especially for aviation piston engines, with an octane number suited to the engine, a freezing point of -60°C, and a distillation range usually within the limits of 30°C and 180°C.</v>
      </c>
    </row>
    <row r="43" spans="1:5" s="2" customFormat="1" ht="72" customHeight="1" outlineLevel="1" x14ac:dyDescent="0.2">
      <c r="A43" s="1022"/>
      <c r="B43" s="1093"/>
      <c r="C43" s="1092" t="str">
        <f>HLOOKUP(LangChoice,Definitions_ProdLang!$C$2:$E$75,Definitions_ProdLang!$A35+1,FALSE)</f>
        <v>Gasoline type jet fuel</v>
      </c>
      <c r="D43" s="1092" t="s">
        <v>305</v>
      </c>
      <c r="E43" s="540" t="str">
        <f>HLOOKUP(LangChoice,Definitions_ProdLang!$F$2:$H$75,Definitions_ProdLang!$A35+1,FALSE)</f>
        <v>Gasoline type jet fuel includes all light hydrocarbon oils for use in aviation turbine power units, distilling between 100°C and 250°C. This fuel is obtained by blending kerosene and gasoline or naphtha in such a way that the aromatic content does not exceed 25% in volume, and the vapour pressure is between 13.7 kPa and 20.6 kPa. Additives can be included to improve fuel stability and combustibility.</v>
      </c>
    </row>
    <row r="44" spans="1:5" s="2" customFormat="1" ht="81.75" customHeight="1" outlineLevel="1" x14ac:dyDescent="0.2">
      <c r="A44" s="1022"/>
      <c r="B44" s="1093"/>
      <c r="C44" s="1092" t="str">
        <f>HLOOKUP(LangChoice,Definitions_ProdLang!$C$2:$E$75,Definitions_ProdLang!$A36+1,FALSE)</f>
        <v>Kerosene type jet fuel excl. biofuels</v>
      </c>
      <c r="D44" s="1092" t="s">
        <v>305</v>
      </c>
      <c r="E44" s="540" t="str">
        <f>HLOOKUP(LangChoice,Definitions_ProdLang!$F$2:$H$75,Definitions_ProdLang!$A36+1,FALSE)</f>
        <v>Kerosene type jet fuel is a medium distillate used for aviation turbine power units. It has the same distillation characteristics and flash point as kerosene (between 150°C and 300°C but not generally above 250°C). In addition, it has particular specifications (such as freezing point) which are established by the International Air Transport Association (IATA). It includes kerosene blending components. Kerosene type jet fuel excluding biofuels does not include the liquid biofuels blended with jet kerosene.</v>
      </c>
    </row>
    <row r="45" spans="1:5" s="2" customFormat="1" ht="46.5" customHeight="1" outlineLevel="1" x14ac:dyDescent="0.2">
      <c r="A45" s="1022"/>
      <c r="B45" s="1093"/>
      <c r="C45" s="1092" t="str">
        <f>HLOOKUP(LangChoice,Definitions_ProdLang!$C$2:$E$75,Definitions_ProdLang!$A37+1,FALSE)</f>
        <v>Other kerosene</v>
      </c>
      <c r="D45" s="1092" t="s">
        <v>305</v>
      </c>
      <c r="E45" s="540" t="str">
        <f>HLOOKUP(LangChoice,Definitions_ProdLang!$F$2:$H$75,Definitions_ProdLang!$A37+1,FALSE)</f>
        <v>Kerosene (other than kerosene used for aircraft transport which is included with aviation fuels) comprises refined petroleum distillate intermediate in volatility between gasoline and gas/diesel oil. It is a medium oil distillate between 150°C and 300°C.</v>
      </c>
    </row>
    <row r="46" spans="1:5" s="2" customFormat="1" ht="107.25" customHeight="1" outlineLevel="1" x14ac:dyDescent="0.2">
      <c r="A46" s="1022"/>
      <c r="B46" s="1093"/>
      <c r="C46" s="1092" t="str">
        <f>HLOOKUP(LangChoice,Definitions_ProdLang!$C$2:$E$75,Definitions_ProdLang!$A38+1,FALSE)</f>
        <v>Gas/diesel oil excluding biofuels</v>
      </c>
      <c r="D46" s="1092" t="s">
        <v>305</v>
      </c>
      <c r="E46" s="540" t="str">
        <f>HLOOKUP(LangChoice,Definitions_ProdLang!$F$2:$H$75,Definitions_ProdLang!$A38+1,FALSE)</f>
        <v>Gas/diesel oil includes heavy gas oils. Gas oils are obtained from the lowest fraction from atmospheric distillation of crude oil, while heavy gas oils are obtained by vacuum redistillation of the residual from atmospheric distillation. Gas/diesel oil distils between 180°C and 380°C. Several grades are available depending on uses: diesel oil for diesel compression ignition (cars, trucks, marine, etc.), light heating oil for industrial and commercial uses, and other gas oil including heavy gas oils which distil between 380°C and 540°C and which are used as petrochemical feedstocks. Gas/diesel oil excluding biofuels does not include the liquid biofuels blended with gas/diesel oil – see liquid biofuels. This differs from the presentation of gas/diesel oil in the Oil Information publication.</v>
      </c>
    </row>
    <row r="47" spans="1:5" s="2" customFormat="1" ht="46.5" customHeight="1" outlineLevel="1" x14ac:dyDescent="0.2">
      <c r="A47" s="1022"/>
      <c r="B47" s="1093"/>
      <c r="C47" s="1092" t="str">
        <f>HLOOKUP(LangChoice,Definitions_ProdLang!$C$2:$E$75,Definitions_ProdLang!$A39+1,FALSE)</f>
        <v>Fuel oil</v>
      </c>
      <c r="D47" s="1092" t="s">
        <v>305</v>
      </c>
      <c r="E47" s="540" t="str">
        <f>HLOOKUP(LangChoice,Definitions_ProdLang!$F$2:$H$75,Definitions_ProdLang!$A39+1,FALSE)</f>
        <v>Fuel oil defines oils that make up the distillation residue. It comprises all residual fuel oils, including those obtained by blending. Its kinematic viscosity is above 10 cSt at 80°C. The flash point is always above 50°C and the density is always higher than 0.90 kg/l.</v>
      </c>
    </row>
    <row r="48" spans="1:5" s="2" customFormat="1" ht="99" customHeight="1" outlineLevel="1" x14ac:dyDescent="0.2">
      <c r="A48" s="1022"/>
      <c r="B48" s="1093"/>
      <c r="C48" s="1092" t="str">
        <f>HLOOKUP(LangChoice,Definitions_ProdLang!$C$2:$E$75,Definitions_ProdLang!$A40+1,FALSE)</f>
        <v>Naphtha</v>
      </c>
      <c r="D48" s="1092" t="s">
        <v>305</v>
      </c>
      <c r="E48" s="540" t="str">
        <f>HLOOKUP(LangChoice,Definitions_ProdLang!$F$2:$H$75,Definitions_ProdLang!$A40+1,FALSE)</f>
        <v>Naphtha is a feedstock destined either for the petrochemical industry (e.g. ethylene manufacture or aromatics production) or for gasoline production by reforming or isomerisation within the refinery. Naphtha comprises material that distils between 30°C and 210°C. Naphtha imported for blending is shown as an import of naphtha, and then shown in the transfers row as a negative entry for naphtha and a positive entry for the corresponding finished product (e.g. gasoline).</v>
      </c>
    </row>
    <row r="49" spans="1:5" s="2" customFormat="1" ht="142.5" customHeight="1" outlineLevel="1" x14ac:dyDescent="0.2">
      <c r="A49" s="1022"/>
      <c r="B49" s="1093"/>
      <c r="C49" s="1092" t="str">
        <f>HLOOKUP(LangChoice,Definitions_ProdLang!$C$2:$E$75,Definitions_ProdLang!$A41+1,FALSE)</f>
        <v>White spirit &amp; SBP</v>
      </c>
      <c r="D49" s="1092" t="s">
        <v>305</v>
      </c>
      <c r="E49" s="540" t="str">
        <f>HLOOKUP(LangChoice,Definitions_ProdLang!$F$2:$H$75,Definitions_ProdLang!$A41+1,FALSE)</f>
        <v>White spirit and SBP are refined distillate intermediates with a distillation in the naphtha/kerosene range.
i. White Spirit has a flash point above 30°C and a distillation range of 135°C to 200°C.
ii. Industrial Spirit (SBP) comprises light oils distilling between 30°C and 200°C, with a temperature difference between 5% volume and 90% volume distillation points, including losses, of not more than 60°C. In other words, SBP is a light oil of narrower cut than motor spirit. There are seven or eight grades of industrial spirit, depending on the position of the cut in the distillation range defined above.</v>
      </c>
    </row>
    <row r="50" spans="1:5" s="2" customFormat="1" ht="74.25" customHeight="1" outlineLevel="1" x14ac:dyDescent="0.2">
      <c r="A50" s="1022"/>
      <c r="B50" s="1093"/>
      <c r="C50" s="1092" t="str">
        <f>HLOOKUP(LangChoice,Definitions_ProdLang!$C$2:$E$75,Definitions_ProdLang!$A42+1,FALSE)</f>
        <v>Lubricants</v>
      </c>
      <c r="D50" s="1092" t="s">
        <v>305</v>
      </c>
      <c r="E50" s="540" t="str">
        <f>HLOOKUP(LangChoice,Definitions_ProdLang!$F$2:$H$75,Definitions_ProdLang!$A42+1,FALSE)</f>
        <v>Lubricants are hydrocarbons produced from distillate or residue; they are mainly used to reduce friction between bearing surfaces. This category includes all finished grades of lubricating oil, from spindle oil to cylinder oil, and those used in greases, including motor oils and all grades of lubricating oil base stocks.</v>
      </c>
    </row>
    <row r="51" spans="1:5" s="2" customFormat="1" ht="76.5" customHeight="1" outlineLevel="1" x14ac:dyDescent="0.2">
      <c r="A51" s="1022"/>
      <c r="B51" s="1093"/>
      <c r="C51" s="1092" t="str">
        <f>HLOOKUP(LangChoice,Definitions_ProdLang!$C$2:$E$75,Definitions_ProdLang!$A43+1,FALSE)</f>
        <v>Bitumen</v>
      </c>
      <c r="D51" s="1092" t="s">
        <v>305</v>
      </c>
      <c r="E51" s="540" t="str">
        <f>HLOOKUP(LangChoice,Definitions_ProdLang!$F$2:$H$75,Definitions_ProdLang!$A43+1,FALSE)</f>
        <v>Bitumen is a solid, semi-solid or viscous hydrocarbon with a colloidal structure that is brown to black in colour. It is obtained by vacuum distillation of oil residues from atmospheric distillation of crude oil. Bitumen is often referred to as asphalt and is primarily used for surfacing of roads and for roofing material. This category includes fluidised and cut back bitumen.</v>
      </c>
    </row>
    <row r="52" spans="1:5" s="2" customFormat="1" ht="70.5" customHeight="1" outlineLevel="1" x14ac:dyDescent="0.2">
      <c r="A52" s="1022"/>
      <c r="B52" s="1093"/>
      <c r="C52" s="1092" t="str">
        <f>HLOOKUP(LangChoice,Definitions_ProdLang!$C$2:$E$75,Definitions_ProdLang!$A44+1,FALSE)</f>
        <v>Paraffin waxes</v>
      </c>
      <c r="D52" s="1092" t="s">
        <v>305</v>
      </c>
      <c r="E52" s="540" t="str">
        <f>HLOOKUP(LangChoice,Definitions_ProdLang!$F$2:$H$75,Definitions_ProdLang!$A44+1,FALSE)</f>
        <v>Paraffin waxes are saturated aliphatic hydrocarbons. These waxes are residues extracted when dewaxing lubricant oils, and they have a crystalline structure which is more or less fine according to the grade. Their main characteristics are that they are colourless, odourless and translucent, with a melting point above 45°C.</v>
      </c>
    </row>
    <row r="53" spans="1:5" s="2" customFormat="1" ht="133.5" customHeight="1" outlineLevel="1" x14ac:dyDescent="0.2">
      <c r="A53" s="1022"/>
      <c r="B53" s="1093"/>
      <c r="C53" s="1092" t="str">
        <f>HLOOKUP(LangChoice,Definitions_ProdLang!$C$2:$E$75,Definitions_ProdLang!$A45+1,FALSE)</f>
        <v>Petroleum coke</v>
      </c>
      <c r="D53" s="1092" t="s">
        <v>305</v>
      </c>
      <c r="E53" s="540" t="str">
        <f>HLOOKUP(LangChoice,Definitions_ProdLang!$F$2:$H$75,Definitions_ProdLang!$A45+1,FALSE)</f>
        <v>Petroleum coke is defined as a black solid by-product, obtained mainly by cracking and carbonising of petroleum derived feedstocks, vacuum bottoms, tar and pitches in processes such as delayed coking or fluid coking. It consists mainly of carbon (90 to 95%) and has a low ash content. It is used as a feedstock in coke ovens for the steel industry, for heating purposes, for electrode manufacture and for production of chemicals. The two most important qualities are "green coke" and "calcined coke". This category also includes "catalyst coke" deposited on the catalyst during refining processes: this coke is not recoverable and is usually burned as refinery fuel.</v>
      </c>
    </row>
    <row r="54" spans="1:5" s="2" customFormat="1" ht="50.25" customHeight="1" outlineLevel="1" x14ac:dyDescent="0.2">
      <c r="A54" s="1022"/>
      <c r="B54" s="1093"/>
      <c r="C54" s="1092" t="str">
        <f>HLOOKUP(LangChoice,Definitions_ProdLang!$C$2:$E$75,Definitions_ProdLang!$A46+1,FALSE)</f>
        <v>Non-specified oil products</v>
      </c>
      <c r="D54" s="1092" t="s">
        <v>305</v>
      </c>
      <c r="E54" s="540" t="str">
        <f>HLOOKUP(LangChoice,Definitions_ProdLang!$F$2:$H$75,Definitions_ProdLang!$A46+1,FALSE)</f>
        <v>Other oil products not classified above (e.g. tar, sulphur and grease) are included here. This category also includes aromatics (e.g. BTX or benzene, toluene and xylene) and olefins (e.g. propylene) produced within refineries.</v>
      </c>
    </row>
    <row r="55" spans="1:5" ht="32.1" customHeight="1" x14ac:dyDescent="0.2">
      <c r="A55" s="1025"/>
      <c r="B55" s="1026"/>
      <c r="C55" s="856" t="str">
        <f>HLOOKUP(LangChoice,Definitions_ProdLang!$C$2:$E$75,Definitions_ProdLang!$A47+1,FALSE)</f>
        <v>Natural gas</v>
      </c>
      <c r="D55" s="546" t="s">
        <v>305</v>
      </c>
      <c r="E55" s="840"/>
    </row>
    <row r="56" spans="1:5" ht="168" customHeight="1" outlineLevel="1" x14ac:dyDescent="0.2">
      <c r="A56" s="1027"/>
      <c r="B56" s="1093"/>
      <c r="C56" s="1092" t="str">
        <f>HLOOKUP(LangChoice,Definitions_ProdLang!$C$2:$E$75,Definitions_ProdLang!$A48+1,FALSE)</f>
        <v>Natural gas</v>
      </c>
      <c r="D56" s="1092" t="s">
        <v>305</v>
      </c>
      <c r="E56" s="540" t="str">
        <f>HLOOKUP(LangChoice,Definitions_ProdLang!$F$2:$H$75,Definitions_ProdLang!$A48+1,FALSE)</f>
        <v>Natural gas comprises gases, occurring in underground deposits, whether liquefied or gaseous, consisting mainly of methane.  It includes both "non-associated" gas originating from fields producing hydrocarbons only in gaseous form, and "associated" gas produced in association with crude oil as well as methane recovered from coal mines (colliery gas) or from coal seams (coal seam gas). Production represents dry marketable production within national boundaries, including offshore production and is measured after purification and extraction of NGL and sulphur. In other words, quantities of gas that are re-injected, vented or flared are excluded. It includes gas consumed by gas processing plants and gas transported by pipeline. 
Biogases produced by anaerobic digestion of biomass (e.g. municipal or sewage gas) should be reported in the Renewables annual questionnaire, while gas works gas production should be reported in the Coal annual questionnaire. Transfers of such production to the natural gas network will be reported as “Receipts from other sources”.</v>
      </c>
    </row>
    <row r="57" spans="1:5" ht="32.1" customHeight="1" x14ac:dyDescent="0.2">
      <c r="A57" s="1028"/>
      <c r="B57" s="1029"/>
      <c r="C57" s="857" t="str">
        <f>HLOOKUP(LangChoice,Definitions_ProdLang!$C$2:$E$75,Definitions_ProdLang!$A49+1,FALSE)</f>
        <v>Biofuels and waste</v>
      </c>
      <c r="D57" s="550" t="s">
        <v>305</v>
      </c>
      <c r="E57" s="841"/>
    </row>
    <row r="58" spans="1:5" ht="72.75" customHeight="1" outlineLevel="1" x14ac:dyDescent="0.2">
      <c r="A58" s="1030"/>
      <c r="B58" s="1093"/>
      <c r="C58" s="1092" t="str">
        <f>HLOOKUP(LangChoice,Definitions_ProdLang!$C$2:$E$75,Definitions_ProdLang!$A50+1,FALSE)</f>
        <v>Industrial waste</v>
      </c>
      <c r="D58" s="1092" t="s">
        <v>305</v>
      </c>
      <c r="E58" s="540" t="str">
        <f>HLOOKUP(LangChoice,Definitions_ProdLang!$F$2:$H$75,Definitions_ProdLang!$A50+1,FALSE)</f>
        <v>Industrial waste of non-renewable origin consists of solid and liquid products (e.g. tyres) combusted directly, usually in specialised plants, to produce heat and/or power. The quantity of fuel used should be reported on a net calorific value basis. Renewable industrial waste should be reported in the Solid biofuels, Biogases and/or Liquid biofuels categories.</v>
      </c>
    </row>
    <row r="59" spans="1:5" ht="65.25" customHeight="1" outlineLevel="1" x14ac:dyDescent="0.2">
      <c r="A59" s="1030"/>
      <c r="B59" s="1093"/>
      <c r="C59" s="1092" t="str">
        <f>HLOOKUP(LangChoice,Definitions_ProdLang!$C$2:$E$75,Definitions_ProdLang!$A51+1,FALSE)</f>
        <v>Municipal waste (renewable)</v>
      </c>
      <c r="D59" s="1092" t="s">
        <v>305</v>
      </c>
      <c r="E59" s="540" t="str">
        <f>HLOOKUP(LangChoice,Definitions_ProdLang!$F$2:$H$75,Definitions_ProdLang!$A51+1,FALSE)</f>
        <v>Municipal waste consists of that portion of waste produced by households, industry, hospitals and the tertiary sector which is biological material collected by local authorities and incinerated at specific installations. The quantity of fuel used should be reported on a net calorific value basis.</v>
      </c>
    </row>
    <row r="60" spans="1:5" ht="60.75" customHeight="1" outlineLevel="1" x14ac:dyDescent="0.2">
      <c r="A60" s="1030"/>
      <c r="B60" s="1093"/>
      <c r="C60" s="1092" t="str">
        <f>HLOOKUP(LangChoice,Definitions_ProdLang!$C$2:$E$75,Definitions_ProdLang!$A52+1,FALSE)</f>
        <v>Municipal waste (non-renewable)</v>
      </c>
      <c r="D60" s="1092" t="s">
        <v>305</v>
      </c>
      <c r="E60" s="540" t="str">
        <f>HLOOKUP(LangChoice,Definitions_ProdLang!$F$2:$H$75,Definitions_ProdLang!$A52+1,FALSE)</f>
        <v>Municipal waste consists of that portion of waste produced by households, industry, hospitals and the tertiary sector which is non-biological material collected by local authorities and incinerated at specific installations. The quantity of fuel used should be reported on a net calorific value basis.</v>
      </c>
    </row>
    <row r="61" spans="1:5" ht="92.25" customHeight="1" outlineLevel="1" x14ac:dyDescent="0.2">
      <c r="A61" s="1030"/>
      <c r="B61" s="1093"/>
      <c r="C61" s="1092" t="str">
        <f>HLOOKUP(LangChoice,Definitions_ProdLang!$C$2:$E$75,Definitions_ProdLang!$A53+1,FALSE)</f>
        <v>Primary solid biofuels</v>
      </c>
      <c r="D61" s="1092" t="s">
        <v>305</v>
      </c>
      <c r="E61" s="540" t="str">
        <f>HLOOKUP(LangChoice,Definitions_ProdLang!$F$2:$H$75,Definitions_ProdLang!$A53+1,FALSE)</f>
        <v>Primary solid biofuels is defined as any plant matter used directly as fuel or converted into other forms before combustion. This covers a multitude of woody materials generated by industrial process or provided directly by forestry and agriculture (firewood, wood chips,  bark, sawdust, shavings, chips, sulphite lyes also known as black liquor, animal materials/wastes and other solid biofuels). Note that for biofuels, only the amounts of biomass specifically used for energy purposes (a small part of the total) are included in the energy statistics. Therefore, the non-energy use of biomass is not taken into consideration and the quantities are null by definition.</v>
      </c>
    </row>
    <row r="62" spans="1:5" ht="106.5" customHeight="1" outlineLevel="1" x14ac:dyDescent="0.2">
      <c r="A62" s="1030"/>
      <c r="B62" s="1093"/>
      <c r="C62" s="1092" t="str">
        <f>HLOOKUP(LangChoice,Definitions_ProdLang!$C$2:$E$75,Definitions_ProdLang!$A54+1,FALSE)</f>
        <v>Biogases</v>
      </c>
      <c r="D62" s="1092" t="s">
        <v>305</v>
      </c>
      <c r="E62" s="540" t="str">
        <f>HLOOKUP(LangChoice,Definitions_ProdLang!$F$2:$H$75,Definitions_ProdLang!$A54+1,FALSE)</f>
        <v>Biogases are gases arising from the anaerobic fermentation of biomass and the gasification of solid biomass (including biomass in wastes). The biogases from anaerobic fermentation are composed principally of methane and carbon dioxide and comprise landfill gas, sewage sludge gas and other biogases from anaerobic fermentation. Biogases can also be produced from thermal processes (by gasification or pyrolysis of biomass) and are mixtures containing hydrogen and carbon monoxide (usually known as syngas) along with other components. These gases may be further processed to modify their composition and can be further processed to produce substitute natural gas. Biogases are used mainly as a fuel but can be used as a chemical feedstock.</v>
      </c>
    </row>
    <row r="63" spans="1:5" ht="89.25" customHeight="1" outlineLevel="1" x14ac:dyDescent="0.2">
      <c r="A63" s="1030"/>
      <c r="B63" s="1093"/>
      <c r="C63" s="1092" t="str">
        <f>HLOOKUP(LangChoice,Definitions_ProdLang!$C$2:$E$75,Definitions_ProdLang!$A55+1,FALSE)</f>
        <v>Biogasoline</v>
      </c>
      <c r="D63" s="1092" t="s">
        <v>305</v>
      </c>
      <c r="E63" s="540" t="str">
        <f>HLOOKUP(LangChoice,Definitions_ProdLang!$F$2:$H$75,Definitions_ProdLang!$A55+1,FALSE)</f>
        <v>Biogasoline includes bioethanol (ethanol produced from biomass and/or the biodegradable fraction of waste), biomethanol (methanol produced from biomass and/or the biodegradable fraction of waste), bioETBE (ethyl-tertio-butyl-ether produced on the basis of bioethanol; the percentage by volume of bioETBE that is calculated as biofuel is 47%) and bioMTBE (methyl-tertio-butyl-ether produced on the basis of biomethanol: the percentage by volume of bioMTBE that is calculated as biofuel is 36%). Biogasoline includes the amounts that are blended into the gasoline - it does not include the total volume of gasoline into which the biogasoline is blended.</v>
      </c>
    </row>
    <row r="64" spans="1:5" ht="39.75" customHeight="1" outlineLevel="1" x14ac:dyDescent="0.2">
      <c r="A64" s="1030"/>
      <c r="B64" s="1093"/>
      <c r="C64" s="1092" t="str">
        <f>HLOOKUP(LangChoice,Definitions_ProdLang!$C$2:$E$75,Definitions_ProdLang!$A56+1,FALSE)</f>
        <v>Bio jet kerosene</v>
      </c>
      <c r="D64" s="1092" t="s">
        <v>305</v>
      </c>
      <c r="E64" s="1094" t="str">
        <f>HLOOKUP(LangChoice,Definitions_ProdLang!$F$2:$H$75,Definitions_ProdLang!$A56+1,FALSE)</f>
        <v>Liquid biofuels derived from biomass and blended with or replacing jet kerosene.</v>
      </c>
    </row>
    <row r="65" spans="1:5" ht="78" customHeight="1" outlineLevel="1" x14ac:dyDescent="0.2">
      <c r="A65" s="1030"/>
      <c r="B65" s="1093"/>
      <c r="C65" s="1092" t="str">
        <f>HLOOKUP(LangChoice,Definitions_ProdLang!$C$2:$E$75,Definitions_ProdLang!$A57+1,FALSE)</f>
        <v>Biodiesels</v>
      </c>
      <c r="D65" s="1092" t="s">
        <v>305</v>
      </c>
      <c r="E65" s="540" t="str">
        <f>HLOOKUP(LangChoice,Definitions_ProdLang!$F$2:$H$75,Definitions_ProdLang!$A57+1,FALSE)</f>
        <v>Biodiesels includes biodiesel (a methyl-ester produced from vegetable or animal oil, of diesel quality), biodimethylether (dimethylether produced from biomass), Fischer-Tropsch (Fischer-Tropsch produced from biomass), cold pressed bio-oil (oil produced from oil seed through mechanical processing only) and all other liquid biofuels which are added to, blended with or used straight as transport diesel or in electricity and heat generation. Biodiesels includes the amounts that are blended into the diesel - it does not include the total volume of diesel into which the biodiesel is blended.</v>
      </c>
    </row>
    <row r="66" spans="1:5" ht="61.5" customHeight="1" outlineLevel="1" x14ac:dyDescent="0.2">
      <c r="A66" s="1030"/>
      <c r="B66" s="1093"/>
      <c r="C66" s="1092" t="str">
        <f>HLOOKUP(LangChoice,Definitions_ProdLang!$C$2:$E$75,Definitions_ProdLang!$A58+1,FALSE)</f>
        <v>Other liquid biofuels</v>
      </c>
      <c r="D66" s="1092" t="s">
        <v>305</v>
      </c>
      <c r="E66" s="540" t="str">
        <f>HLOOKUP(LangChoice,Definitions_ProdLang!$F$2:$H$75,Definitions_ProdLang!$A58+1,FALSE)</f>
        <v>Other liquid biofuels includes liquid biofuels, used directly as fuel, not included in the definitions of biogasoline, biodiesel or bio jet kerosene and liquid biofuels consumption that cannot be reported under the right category because of missing information.</v>
      </c>
    </row>
    <row r="67" spans="1:5" ht="46.5" customHeight="1" outlineLevel="1" x14ac:dyDescent="0.2">
      <c r="A67" s="1030"/>
      <c r="B67" s="1093"/>
      <c r="C67" s="1092" t="str">
        <f>HLOOKUP(LangChoice,Definitions_ProdLang!$C$2:$E$75,Definitions_ProdLang!$A59+1,FALSE)</f>
        <v>Non-specified primary biofuels/ waste</v>
      </c>
      <c r="D67" s="1092" t="s">
        <v>305</v>
      </c>
      <c r="E67" s="540" t="str">
        <f>HLOOKUP(LangChoice,Definitions_ProdLang!$F$2:$H$75,Definitions_ProdLang!$A59+1,FALSE)</f>
        <v>This item is used when the detailed breakdown for primary biofuels and waste is not available.</v>
      </c>
    </row>
    <row r="68" spans="1:5" ht="34.5" customHeight="1" outlineLevel="1" x14ac:dyDescent="0.2">
      <c r="A68" s="1030"/>
      <c r="B68" s="1093"/>
      <c r="C68" s="1092" t="str">
        <f>HLOOKUP(LangChoice,Definitions_ProdLang!$C$2:$E$75,Definitions_ProdLang!$A60+1,FALSE)</f>
        <v>Charcoal</v>
      </c>
      <c r="D68" s="1092" t="s">
        <v>305</v>
      </c>
      <c r="E68" s="540" t="str">
        <f>HLOOKUP(LangChoice,Definitions_ProdLang!$F$2:$H$75,Definitions_ProdLang!$A60+1,FALSE)</f>
        <v>It covers the solid residue of the destructive distillation and pyrolysis of wood and other vegetal material.</v>
      </c>
    </row>
    <row r="69" spans="1:5" ht="32.1" customHeight="1" x14ac:dyDescent="0.2">
      <c r="A69" s="1031"/>
      <c r="B69" s="1032"/>
      <c r="C69" s="858" t="str">
        <f>HLOOKUP(LangChoice,Definitions_ProdLang!$C$2:$E$75,Definitions_ProdLang!$A61+1,FALSE)</f>
        <v>Electricity and heat</v>
      </c>
      <c r="D69" s="529" t="s">
        <v>305</v>
      </c>
      <c r="E69" s="842"/>
    </row>
    <row r="70" spans="1:5" s="2" customFormat="1" ht="27.75" customHeight="1" outlineLevel="1" x14ac:dyDescent="0.2">
      <c r="A70" s="1033"/>
      <c r="B70" s="1093"/>
      <c r="C70" s="1092" t="str">
        <f>HLOOKUP(LangChoice,Definitions_ProdLang!$C$2:$E$75,Definitions_ProdLang!$A62+1,FALSE)</f>
        <v>Nuclear</v>
      </c>
      <c r="D70" s="1092" t="s">
        <v>305</v>
      </c>
      <c r="E70" s="540" t="str">
        <f>HLOOKUP(LangChoice,Definitions_ProdLang!$F$2:$H$75,Definitions_ProdLang!$A62+1,FALSE)</f>
        <v>Energy released by nuclear fission or nuclear fusion.</v>
      </c>
    </row>
    <row r="71" spans="1:5" ht="46.5" customHeight="1" outlineLevel="1" x14ac:dyDescent="0.2">
      <c r="A71" s="1033"/>
      <c r="B71" s="1093"/>
      <c r="C71" s="1092" t="str">
        <f>HLOOKUP(LangChoice,Definitions_ProdLang!$C$2:$E$75,Definitions_ProdLang!$A63+1,FALSE)</f>
        <v>Hydro</v>
      </c>
      <c r="D71" s="1092" t="s">
        <v>305</v>
      </c>
      <c r="E71" s="540" t="str">
        <f>HLOOKUP(LangChoice,Definitions_ProdLang!$F$2:$H$75,Definitions_ProdLang!$A63+1,FALSE)</f>
        <v>Potential and kinetic energy of water converted into electricity in hydroelectric plants. Pumped storage from mixed and pure pumped storage plants should be included.</v>
      </c>
    </row>
    <row r="72" spans="1:5" ht="85.5" customHeight="1" outlineLevel="1" x14ac:dyDescent="0.2">
      <c r="A72" s="1033"/>
      <c r="B72" s="1093"/>
      <c r="C72" s="1092" t="str">
        <f>HLOOKUP(LangChoice,Definitions_ProdLang!$C$2:$E$75,Definitions_ProdLang!$A64+1,FALSE)</f>
        <v>Geothermal</v>
      </c>
      <c r="D72" s="1092" t="s">
        <v>305</v>
      </c>
      <c r="E72" s="540" t="str">
        <f>HLOOKUP(LangChoice,Definitions_ProdLang!$F$2:$H$75,Definitions_ProdLang!$A64+1,FALSE)</f>
        <v xml:space="preserve">Energy available as heat emitted from within the earth’s crust, usually in the form of hot water or steam. It is exploited at suitable sites:
-for electricity generation using dry steam or high enthalpy brine after flashing
-directly as heat for district heating, agriculture, etc.
</v>
      </c>
    </row>
    <row r="73" spans="1:5" ht="46.5" customHeight="1" outlineLevel="1" x14ac:dyDescent="0.2">
      <c r="A73" s="1033"/>
      <c r="B73" s="1093"/>
      <c r="C73" s="1092" t="str">
        <f>HLOOKUP(LangChoice,Definitions_ProdLang!$C$2:$E$75,Definitions_ProdLang!$A65+1,FALSE)</f>
        <v>Solar photovoltaic</v>
      </c>
      <c r="D73" s="1092" t="s">
        <v>305</v>
      </c>
      <c r="E73" s="540" t="str">
        <f>HLOOKUP(LangChoice,Definitions_ProdLang!$F$2:$H$75,Definitions_ProdLang!$A65+1,FALSE)</f>
        <v>Converts sunlight into electricity by the use of solar cells usually made of semi-conducting material which exposed to light will generate electricity.</v>
      </c>
    </row>
    <row r="74" spans="1:5" ht="46.5" customHeight="1" outlineLevel="1" x14ac:dyDescent="0.2">
      <c r="A74" s="1033"/>
      <c r="B74" s="1093"/>
      <c r="C74" s="1092" t="str">
        <f>HLOOKUP(LangChoice,Definitions_ProdLang!$C$2:$E$75,Definitions_ProdLang!$A66+1,FALSE)</f>
        <v>Solar thermal</v>
      </c>
      <c r="D74" s="1092" t="s">
        <v>305</v>
      </c>
      <c r="E74" s="540" t="str">
        <f>HLOOKUP(LangChoice,Definitions_ProdLang!$F$2:$H$75,Definitions_ProdLang!$A66+1,FALSE)</f>
        <v>Solar thermal can consist of 
-solar thermal-electric plants;
-equipment for the production of heat for sale (hot water or steam)
Passive solar energy for the direct heating, cooling and lighting of dwellings or other buildings is not included.</v>
      </c>
    </row>
    <row r="75" spans="1:5" ht="46.5" customHeight="1" outlineLevel="1" x14ac:dyDescent="0.2">
      <c r="A75" s="1033"/>
      <c r="B75" s="1093"/>
      <c r="C75" s="1092" t="str">
        <f>HLOOKUP(LangChoice,Definitions_ProdLang!$C$2:$E$75,Definitions_ProdLang!$A67+1,FALSE)</f>
        <v>Tide/ wave/ ocean</v>
      </c>
      <c r="D75" s="1092" t="s">
        <v>305</v>
      </c>
      <c r="E75" s="540" t="str">
        <f>HLOOKUP(LangChoice,Definitions_ProdLang!$F$2:$H$75,Definitions_ProdLang!$A67+1,FALSE)</f>
        <v>Tide, wave and ocean represents the mechanical energy derived from tidal movement, wave motion or ocean current and exploited for electricity generation.</v>
      </c>
    </row>
    <row r="76" spans="1:5" ht="39.75" customHeight="1" outlineLevel="1" x14ac:dyDescent="0.2">
      <c r="A76" s="1033"/>
      <c r="B76" s="1093"/>
      <c r="C76" s="1092" t="str">
        <f>HLOOKUP(LangChoice,Definitions_ProdLang!$C$2:$E$75,Definitions_ProdLang!$A68+1,FALSE)</f>
        <v>Wind</v>
      </c>
      <c r="D76" s="1092" t="s">
        <v>305</v>
      </c>
      <c r="E76" s="540" t="str">
        <f>HLOOKUP(LangChoice,Definitions_ProdLang!$F$2:$H$75,Definitions_ProdLang!$A68+1,FALSE)</f>
        <v>Wind energy represents the kinetic energy of wind exploited for electricity generation in wind turbines.</v>
      </c>
    </row>
    <row r="77" spans="1:5" ht="39.75" customHeight="1" outlineLevel="1" x14ac:dyDescent="0.2">
      <c r="A77" s="1033"/>
      <c r="B77" s="1093"/>
      <c r="C77" s="1092" t="str">
        <f>HLOOKUP(LangChoice,Definitions_ProdLang!$C$2:$E$75,Definitions_ProdLang!$A69+1,FALSE)</f>
        <v>Heat pumps</v>
      </c>
      <c r="D77" s="1092" t="s">
        <v>305</v>
      </c>
      <c r="E77" s="540" t="str">
        <f>HLOOKUP(LangChoice,Definitions_ProdLang!$F$2:$H$75,Definitions_ProdLang!$A69+1,FALSE)</f>
        <v>Heat pumps should include the inputs and outputs to heat pumps corresponding to the amount of heat that is sold to third parties.</v>
      </c>
    </row>
    <row r="78" spans="1:5" ht="36.75" customHeight="1" outlineLevel="1" x14ac:dyDescent="0.2">
      <c r="A78" s="1033"/>
      <c r="B78" s="1093"/>
      <c r="C78" s="1092" t="str">
        <f>HLOOKUP(LangChoice,Definitions_ProdLang!$C$2:$E$75,Definitions_ProdLang!$A70+1,FALSE)</f>
        <v>Electric boilers</v>
      </c>
      <c r="D78" s="1092" t="s">
        <v>305</v>
      </c>
      <c r="E78" s="540" t="str">
        <f>HLOOKUP(LangChoice,Definitions_ProdLang!$F$2:$H$75,Definitions_ProdLang!$A70+1,FALSE)</f>
        <v>Electric boilers should include the inputs and outputs to electric boilers corresponding to the amount of heat that is sold to third parties.</v>
      </c>
    </row>
    <row r="79" spans="1:5" ht="75" customHeight="1" outlineLevel="1" x14ac:dyDescent="0.2">
      <c r="A79" s="1033"/>
      <c r="B79" s="1093"/>
      <c r="C79" s="1092" t="str">
        <f>HLOOKUP(LangChoice,Definitions_ProdLang!$C$2:$E$75,Definitions_ProdLang!$A71+1,FALSE)</f>
        <v>Heat from chemical sources</v>
      </c>
      <c r="D79" s="1092" t="s">
        <v>305</v>
      </c>
      <c r="E79" s="540" t="str">
        <f>HLOOKUP(LangChoice,Definitions_ProdLang!$F$2:$H$75,Definitions_ProdLang!$A71+1,FALSE)</f>
        <v>Report only the heat originating from processes without input energy, such as a chemical reaction (e.g. the treatment of zinc oxide ore with hydrochloric acid). Note that waste heat originating from energy driven processes is not considered as a primary energy source. Therefore, it should be reported as heat produced from the corresponding fuel.</v>
      </c>
    </row>
    <row r="80" spans="1:5" ht="46.5" customHeight="1" outlineLevel="1" x14ac:dyDescent="0.2">
      <c r="A80" s="1033"/>
      <c r="B80" s="1093"/>
      <c r="C80" s="1092" t="str">
        <f>HLOOKUP(LangChoice,Definitions_ProdLang!$C$2:$E$75,Definitions_ProdLang!$A72+1,FALSE)</f>
        <v>Other sources</v>
      </c>
      <c r="D80" s="1092" t="s">
        <v>305</v>
      </c>
      <c r="E80" s="540" t="str">
        <f>HLOOKUP(LangChoice,Definitions_ProdLang!$F$2:$H$75,Definitions_ProdLang!$A72+1,FALSE)</f>
        <v>Report electricity production from sources other than those listed, e.g. from fuel cells.</v>
      </c>
    </row>
    <row r="81" spans="1:5" ht="77.25" customHeight="1" outlineLevel="1" x14ac:dyDescent="0.2">
      <c r="A81" s="1033"/>
      <c r="B81" s="1093"/>
      <c r="C81" s="1092" t="str">
        <f>HLOOKUP(LangChoice,Definitions_ProdLang!$C$2:$E$75,Definitions_ProdLang!$A73+1,FALSE)</f>
        <v>Electricity</v>
      </c>
      <c r="D81" s="1092" t="s">
        <v>305</v>
      </c>
      <c r="E81" s="540" t="str">
        <f>HLOOKUP(LangChoice,Definitions_ProdLang!$F$2:$H$75,Definitions_ProdLang!$A73+1,FALSE)</f>
        <v>Gross electricity production is measured at the terminals of all alternator sets in a station; it therefore includes the energy taken by station auxiliaries and losses in transformers that are considered integral parts of the station. The difference between gross and net production is generally estimated as 7% for conventional thermal stations, 1% for hydro stations, and 6% for nuclear, geothermal and solar stations. Production in hydro stations includes production from pumped storage plants.</v>
      </c>
    </row>
    <row r="82" spans="1:5" ht="69.75" customHeight="1" outlineLevel="1" x14ac:dyDescent="0.2">
      <c r="A82" s="1033"/>
      <c r="B82" s="1093"/>
      <c r="C82" s="1092" t="str">
        <f>HLOOKUP(LangChoice,Definitions_ProdLang!$C$2:$E$75,Definitions_ProdLang!$A74+1,FALSE)</f>
        <v>Heat</v>
      </c>
      <c r="D82" s="1092" t="s">
        <v>305</v>
      </c>
      <c r="E82" s="540" t="str">
        <f>HLOOKUP(LangChoice,Definitions_ProdLang!$F$2:$H$75,Definitions_ProdLang!$A74+1,FALSE)</f>
        <v>Heat production includes all heat produced by main activity producer CHP and heat plants, as well as heat sold by autoproducer CHP and heat plants to third parties. Fuels used to produce quantities of heat for sale are included in the transformation processes under the rows CHP plants and Heat plants. The use of fuels for heat which is not sold is included under the sectors in which the fuel use occurs.</v>
      </c>
    </row>
    <row r="83" spans="1:5" s="2" customFormat="1" ht="46.5" customHeight="1" outlineLevel="1" x14ac:dyDescent="0.2">
      <c r="A83" s="1033"/>
      <c r="B83" s="1093"/>
      <c r="C83" s="1092" t="str">
        <f>HLOOKUP(LangChoice,Definitions_ProdLang!$C$2:$E$75,Definitions_ProdLang!$A75+1,FALSE)</f>
        <v>Heat output from non-specified combustible fuels</v>
      </c>
      <c r="D83" s="1092" t="s">
        <v>305</v>
      </c>
      <c r="E83" s="540" t="str">
        <f>HLOOKUP(LangChoice,Definitions_ProdLang!$F$2:$H$75,Definitions_ProdLang!$A75+1,FALSE)</f>
        <v>This item is only used if the detailed breakdown is not available.</v>
      </c>
    </row>
    <row r="84" spans="1:5" s="2" customFormat="1" ht="20.100000000000001" customHeight="1" x14ac:dyDescent="0.2">
      <c r="A84" s="542"/>
      <c r="B84" s="1093"/>
      <c r="C84" s="1093"/>
      <c r="D84" s="1093"/>
      <c r="E84" s="540"/>
    </row>
    <row r="85" spans="1:5" s="518" customFormat="1" ht="30" customHeight="1" thickBot="1" x14ac:dyDescent="0.25">
      <c r="A85" s="2296" t="str">
        <f>CONCATENATE(HLOOKUP(LangChoice,Definitions_FlowLang!$C$2:$E$156,Definitions_FlowLang!$A3+1,FALSE),":")</f>
        <v>FLOW DEFINITIONS:</v>
      </c>
      <c r="B85" s="2296"/>
      <c r="C85" s="2296"/>
      <c r="D85" s="1"/>
      <c r="E85" s="1148" t="s">
        <v>306</v>
      </c>
    </row>
    <row r="86" spans="1:5" ht="32.1" customHeight="1" x14ac:dyDescent="0.2">
      <c r="A86" s="1034"/>
      <c r="B86" s="1035"/>
      <c r="C86" s="859" t="str">
        <f>HLOOKUP(LangChoice,Definitions_FlowLang!$C$2:$E$156,Definitions_FlowLang!$A4+1,FALSE)</f>
        <v>Supply</v>
      </c>
      <c r="D86" s="524" t="s">
        <v>305</v>
      </c>
      <c r="E86" s="843"/>
    </row>
    <row r="87" spans="1:5" ht="77.25" customHeight="1" outlineLevel="1" x14ac:dyDescent="0.2">
      <c r="A87" s="1036"/>
      <c r="B87" s="542"/>
      <c r="C87" s="1092" t="str">
        <f>HLOOKUP(LangChoice,Definitions_FlowLang!$C$2:$E$156,Definitions_FlowLang!$A5+1,FALSE)</f>
        <v>Production</v>
      </c>
      <c r="D87" s="1092" t="s">
        <v>305</v>
      </c>
      <c r="E87" s="540" t="str">
        <f>HLOOKUP(LangChoice,Definitions_FlowLang!$F$2:$H$156,Definitions_FlowLang!$A5+1,FALSE)</f>
        <v>In the balances, production refers to the quantities of fuels extracted or produced, calculated after any operation for removal of inert matter or impurities (e.g. sulphur from natural gas).
In the energy statistics, production of secondary products is also included. Production of secondary oil products represents the gross refinery output.  Secondary coal products and gases represent the output from coke ovens, gas works, blast furnaces and other transformation processes.</v>
      </c>
    </row>
    <row r="88" spans="1:5" ht="126" customHeight="1" outlineLevel="1" x14ac:dyDescent="0.2">
      <c r="A88" s="1036"/>
      <c r="B88" s="542"/>
      <c r="C88" s="1092" t="str">
        <f>HLOOKUP(LangChoice,Definitions_FlowLang!$C$2:$E$156,Definitions_FlowLang!$A6+1,FALSE)</f>
        <v>From other sources</v>
      </c>
      <c r="D88" s="1092" t="s">
        <v>305</v>
      </c>
      <c r="E88" s="540" t="str">
        <f>HLOOKUP(LangChoice,Definitions_FlowLang!$F$2:$H$156,Definitions_FlowLang!$A6+1,FALSE)</f>
        <v>All inputs of origin other than primary energy sources explicitly recognised in the tables are listed under inputs from other sources, e.g. under crude oil:  inputs of origin other than crude oil and NGL such as hydrogen, synthetic crude oil (including mineral oil extracted from bituminous minerals such as shales, bituminous sand, etc.); under additives:  benzol, alcohol and methanol produced from natural gas; under refinery feedstocks:  backflows from the petrochemical industry used as refinery feedstocks;  under hard coal:  recovered slurries, middlings, recuperated coal dust and other low-grade coal products that cannot be classified according to type of coal from which they are obtained; under gas works gas:  natural gas, refinery gas, and LPG, that are treated or mixed in gas works (i.e. gas works gas produced from sources other than coal).</v>
      </c>
    </row>
    <row r="89" spans="1:5" ht="126" customHeight="1" outlineLevel="1" x14ac:dyDescent="0.2">
      <c r="A89" s="1036"/>
      <c r="B89" s="542"/>
      <c r="C89" s="1092" t="str">
        <f>HLOOKUP(LangChoice,Definitions_FlowLang!$C$2:$E$156,Definitions_FlowLang!$A12+1,FALSE)</f>
        <v>Imports</v>
      </c>
      <c r="D89" s="1092" t="s">
        <v>305</v>
      </c>
      <c r="E89" s="540" t="str">
        <f>HLOOKUP(LangChoice,Definitions_FlowLang!$F$2:$H$156,Definitions_FlowLang!$A12+1,FALSE)</f>
        <v>Comprise amounts having crossed the national territorial boundaries of the country whether or not customs clearance has taken place. For coal: Imports comprise the amount of fuels obtained from other countries, whether or not there is an economic or customs union between the relevant countries. Coal in transit should not be included. For oil and natural gas: Quantities of crude oil and oil products imported under processing agreements (i.e. refining on account) are included. Quantities of oil in transit are excluded. Crude oil, NGL and natural gas are reported as coming from the country of origin; refinery feedstocks and oil products are reported as coming from the country of last consignment.  For electricity: Amounts are considered as imported when they have crossed the national territorial boundaries of the country. If electricity is “wheeled” or transited through a country, the amount is shown as both an import and an export.</v>
      </c>
    </row>
    <row r="90" spans="1:5" ht="136.5" customHeight="1" outlineLevel="1" x14ac:dyDescent="0.2">
      <c r="A90" s="1036"/>
      <c r="B90" s="542"/>
      <c r="C90" s="1092" t="str">
        <f>HLOOKUP(LangChoice,Definitions_FlowLang!$C$2:$E$156,Definitions_FlowLang!$A13+1,FALSE)</f>
        <v>Exports</v>
      </c>
      <c r="D90" s="1092" t="s">
        <v>305</v>
      </c>
      <c r="E90" s="540" t="str">
        <f>HLOOKUP(LangChoice,Definitions_FlowLang!$F$2:$H$156,Definitions_FlowLang!$A13+1,FALSE)</f>
        <v>Comprise amounts having crossed the national territorial boundaries of the country whether or not customs clearance has taken place.
● For coal: Exports comprise the amount of fuels supplied to other countries, whether or not there is an economic or customs union between the relevant countries. Coal in transit should not be included.
● For oil and natural gas: Quantities of crude oil and oil products exported under processing agreements (i.e. refining on account) are included. Re-exports of oil imported for processing within bonded areas are shown as an export of product from the processing country to the final destination.
● For electricity: Amounts are considered as exported when they have crossed the national territorial boundaries of the country. If electricity is “wheeled” or transited through a country, the amount is shown as both an import and an export.</v>
      </c>
    </row>
    <row r="91" spans="1:5" ht="108" customHeight="1" outlineLevel="1" x14ac:dyDescent="0.2">
      <c r="A91" s="1036"/>
      <c r="B91" s="542"/>
      <c r="C91" s="1092" t="str">
        <f>HLOOKUP(LangChoice,Definitions_FlowLang!$C$2:$E$156,Definitions_FlowLang!$A14+1,FALSE)</f>
        <v>International marine bunkers</v>
      </c>
      <c r="D91" s="1092" t="s">
        <v>305</v>
      </c>
      <c r="E91" s="540" t="str">
        <f>HLOOKUP(LangChoice,Definitions_FlowLang!$F$2:$H$156,Definitions_FlowLang!$A14+1,FALSE)</f>
        <v>Report the quantities of oil delivered to ships of all flags that are engaged in international navigation. The international navigation may take place at sea, on inland lakes and waterways, and in coastal waters. Exclude consumption by ships engaged in domestic navigation (see domestic navigation). The domestic/international split should be determined on the basis of port of departure and port of arrival, and not by the flag or nationality of the ship. Exclude consumption by fishing vessels (see Fishing  – Other sectors) and consumption by military forces (see  Not elsewhere specified – Other sectors).</v>
      </c>
    </row>
    <row r="92" spans="1:5" ht="98.25" customHeight="1" outlineLevel="1" x14ac:dyDescent="0.2">
      <c r="A92" s="1036"/>
      <c r="B92" s="542"/>
      <c r="C92" s="1092" t="str">
        <f>HLOOKUP(LangChoice,Definitions_FlowLang!$C$2:$E$156,Definitions_FlowLang!$A15+1,FALSE)</f>
        <v>International aviation bunkers</v>
      </c>
      <c r="D92" s="1092" t="s">
        <v>305</v>
      </c>
      <c r="E92" s="540" t="str">
        <f>HLOOKUP(LangChoice,Definitions_FlowLang!$F$2:$H$156,Definitions_FlowLang!$A15+1,FALSE)</f>
        <v>Includes deliveries of aviation fuels to aircraft for international aviation. Fuels used by airlines for their road vehicles are excluded. The domestic/international split should be determined on the basis of departure and landing locations and not by the nationality of the airline. For many countries this incorrectly excludes fuel used by domestically owned carriers for their international departures;</v>
      </c>
    </row>
    <row r="93" spans="1:5" ht="78" customHeight="1" outlineLevel="1" x14ac:dyDescent="0.2">
      <c r="A93" s="1036"/>
      <c r="B93" s="542"/>
      <c r="C93" s="1092" t="str">
        <f>HLOOKUP(LangChoice,Definitions_FlowLang!$C$2:$E$156,Definitions_FlowLang!$A16+1,FALSE)</f>
        <v>Stock changes</v>
      </c>
      <c r="D93" s="1092" t="s">
        <v>305</v>
      </c>
      <c r="E93" s="540" t="str">
        <f>HLOOKUP(LangChoice,Definitions_FlowLang!$F$2:$H$156,Definitions_FlowLang!$A16+1,FALSE)</f>
        <v>Reflects the difference between opening stock levels on the first day of the year and closing levels on the last day of the year of stocks on national territory held by producers, importers, energy transformation industries and large consumers. A stock build is shown as a negative number, and a stock draw as a positive number.</v>
      </c>
    </row>
    <row r="94" spans="1:5" ht="36.75" customHeight="1" outlineLevel="1" x14ac:dyDescent="0.2">
      <c r="A94" s="1036"/>
      <c r="B94" s="542"/>
      <c r="C94" s="1092" t="str">
        <f>HLOOKUP(LangChoice,Definitions_FlowLang!$C$2:$E$156,Definitions_FlowLang!$A17+1,FALSE)</f>
        <v>Domestic supply</v>
      </c>
      <c r="D94" s="1092" t="s">
        <v>305</v>
      </c>
      <c r="E94" s="540" t="str">
        <f>HLOOKUP(LangChoice,Definitions_FlowLang!$F$2:$H$156,Definitions_FlowLang!$A17+1,FALSE)</f>
        <v>Domestic supply is defined as production + inputs from other sources + imports - exports - international marine bunkers - international aviation bunkers ± stock changes.</v>
      </c>
    </row>
    <row r="95" spans="1:5" ht="33" customHeight="1" outlineLevel="1" x14ac:dyDescent="0.2">
      <c r="A95" s="1036"/>
      <c r="B95" s="542"/>
      <c r="C95" s="1092" t="str">
        <f>HLOOKUP(LangChoice,Definitions_FlowLang!$C$2:$E$156,Definitions_FlowLang!$A18+1,FALSE)</f>
        <v>Total primary energy supply (TPES)</v>
      </c>
      <c r="D95" s="1092" t="s">
        <v>305</v>
      </c>
      <c r="E95" s="540" t="str">
        <f>HLOOKUP(LangChoice,Definitions_FlowLang!$F$2:$H$156,Definitions_FlowLang!$A18+1,FALSE)</f>
        <v>Total primary energy supply (TPES) is made up of production + imports - exports - international marine bunkers - international aviation bunkers ± stock changes.</v>
      </c>
    </row>
    <row r="96" spans="1:5" ht="109.5" customHeight="1" outlineLevel="1" x14ac:dyDescent="0.2">
      <c r="A96" s="1036"/>
      <c r="B96" s="542"/>
      <c r="C96" s="1092" t="str">
        <f>HLOOKUP(LangChoice,Definitions_FlowLang!$C$2:$E$156,Definitions_FlowLang!$A19+1,FALSE)</f>
        <v>Transfers</v>
      </c>
      <c r="D96" s="1092" t="s">
        <v>305</v>
      </c>
      <c r="E96" s="540" t="str">
        <f>HLOOKUP(LangChoice,Definitions_FlowLang!$F$2:$H$156,Definitions_FlowLang!$A19+1,FALSE)</f>
        <v>Transfers comprise interproduct transfers, products transferred and recycled products. Interproduct transfers result from reclassification of products either because their specification has changed or because they are blended into another product, e.g. kerosene may be reclassified as gasoil after blending with the latter in order to meet its winter diesel specification.  The net balance of interproduct transfers is zero. Products transferred is intended for oil products imported for further processing in refineries.  For example, fuel oil imported for upgrading in a refinery is transferred to the feedstocks category. Recycled products are finished products which pass a second time through the marketing network, after having been once delivered to final consumers (e.g. used lubricants which are reprocessed).</v>
      </c>
    </row>
    <row r="97" spans="1:5" ht="83.25" customHeight="1" outlineLevel="1" x14ac:dyDescent="0.2">
      <c r="A97" s="1036"/>
      <c r="B97" s="542"/>
      <c r="C97" s="1092" t="str">
        <f>HLOOKUP(LangChoice,Definitions_FlowLang!$C$2:$E$156,Definitions_FlowLang!$A20+1,FALSE)</f>
        <v>Statistical differences</v>
      </c>
      <c r="D97" s="1092" t="s">
        <v>305</v>
      </c>
      <c r="E97" s="540" t="str">
        <f>HLOOKUP(LangChoice,Definitions_FlowLang!$F$2:$H$156,Definitions_FlowLang!$A20+1,FALSE)</f>
        <v>Statistical difference is defined as deliveries to final consumption + use for transformation processes and consumption by energy industry own use + losses – domestic supply – transfers.  Statistical differences arise because the data for the individual components of supply are often derived from different data sources by the national administration.  Furthermore, the inclusion of changes in some large consumers' stocks in the supply part of the balance introduces distortions which also contribute to the statistical differences.</v>
      </c>
    </row>
    <row r="98" spans="1:5" s="519" customFormat="1" ht="32.1" customHeight="1" x14ac:dyDescent="0.2">
      <c r="A98" s="1034"/>
      <c r="B98" s="1035"/>
      <c r="C98" s="859" t="str">
        <f>HLOOKUP(LangChoice,Definitions_FlowLang!$C$2:$E$156,Definitions_FlowLang!$A21+1,FALSE)</f>
        <v>Transformation processes</v>
      </c>
      <c r="D98" s="524" t="s">
        <v>305</v>
      </c>
      <c r="E98" s="843"/>
    </row>
    <row r="99" spans="1:5" ht="61.5" customHeight="1" outlineLevel="1" x14ac:dyDescent="0.2">
      <c r="A99" s="1036"/>
      <c r="B99" s="542"/>
      <c r="C99" s="1092" t="str">
        <f>HLOOKUP(LangChoice,Definitions_FlowLang!$C$2:$E$156,Definitions_FlowLang!$A22+1,FALSE)</f>
        <v>Transformation processes</v>
      </c>
      <c r="D99" s="1092" t="s">
        <v>305</v>
      </c>
      <c r="E99" s="540" t="str">
        <f>HLOOKUP(LangChoice,Definitions_FlowLang!$F$2:$H$156,Definitions_FlowLang!$A22+1,FALSE)</f>
        <v>Transformation processes comprises the conversion of primary forms of energy to secondary and further transformation (e.g. coking coal to coke, crude oil to oil products, and fuel oil to electricity).</v>
      </c>
    </row>
    <row r="100" spans="1:5" ht="69.75" customHeight="1" outlineLevel="1" x14ac:dyDescent="0.2">
      <c r="A100" s="1036"/>
      <c r="B100" s="542"/>
      <c r="C100" s="1092" t="str">
        <f>HLOOKUP(LangChoice,Definitions_FlowLang!$C$2:$E$156,Definitions_FlowLang!$A23+1,FALSE)</f>
        <v>Main activity electricity plants</v>
      </c>
      <c r="D100" s="1092" t="s">
        <v>305</v>
      </c>
      <c r="E100" s="540" t="str">
        <f>HLOOKUP(LangChoice,Definitions_FlowLang!$F$2:$H$156,Definitions_FlowLang!$A23+1,FALSE)</f>
        <v>Refers to plants which are designed to produce electricity only. If one or more units of the plant is a CHP unit (and the inputs and outputs can not be distinguished on a unit basis) then the whole plant is designated as a CHP plant. Main activity producers generate electricity for sale to third parties, as their primary activity. They may be privately or publicly owned. Note that the sale need not take place through the public grid.</v>
      </c>
    </row>
    <row r="101" spans="1:5" ht="69.75" customHeight="1" outlineLevel="1" x14ac:dyDescent="0.2">
      <c r="A101" s="1036"/>
      <c r="B101" s="542"/>
      <c r="C101" s="1092" t="str">
        <f>HLOOKUP(LangChoice,Definitions_FlowLang!$C$2:$E$156,Definitions_FlowLang!$A24+1,FALSE)</f>
        <v>Autoproducer electricity plants</v>
      </c>
      <c r="D101" s="1092" t="s">
        <v>305</v>
      </c>
      <c r="E101" s="540" t="str">
        <f>HLOOKUP(LangChoice,Definitions_FlowLang!$F$2:$H$156,Definitions_FlowLang!$A24+1,FALSE)</f>
        <v>Refers to plants which are designed to produce electricity only. If one or more units of the plant is a CHP unit (and the inputs and outputs can not be distinguished on a unit basis) then the whole plant is designated as a CHP plant. Autoproducer undertakings generate electricity wholly or partly for their own use as an activity which supports their primary activity. They may be privately or publicly owned.</v>
      </c>
    </row>
    <row r="102" spans="1:5" ht="89.25" customHeight="1" outlineLevel="1" x14ac:dyDescent="0.2">
      <c r="A102" s="1036"/>
      <c r="B102" s="542"/>
      <c r="C102" s="1092" t="str">
        <f>HLOOKUP(LangChoice,Definitions_FlowLang!$C$2:$E$156,Definitions_FlowLang!$A25+1,FALSE)</f>
        <v>Main activity producer CHP plants</v>
      </c>
      <c r="D102" s="1092" t="s">
        <v>305</v>
      </c>
      <c r="E102" s="540" t="str">
        <f>HLOOKUP(LangChoice,Definitions_FlowLang!$F$2:$H$156,Definitions_FlowLang!$A25+1,FALSE)</f>
        <v>Refers to plants which are designed to produce both heat and electricity (sometimes referred to as co-generation power stations). If possible, fuel inputs and electricity/‌heat outputs are on a unit basis rather than on a plant basis. However, if data are not available on a unit basis, the convention for defining a CHP plant noted above should be adopted. Main activity producers generate electricity and/or heat for sale to third parties, as their primary activity. They may be privately or publicly owned. Note that the sale need not take place through the public grid.</v>
      </c>
    </row>
    <row r="103" spans="1:5" ht="121.5" customHeight="1" outlineLevel="1" x14ac:dyDescent="0.2">
      <c r="A103" s="1036"/>
      <c r="B103" s="542"/>
      <c r="C103" s="1092" t="str">
        <f>HLOOKUP(LangChoice,Definitions_FlowLang!$C$2:$E$156,Definitions_FlowLang!$A26+1,FALSE)</f>
        <v>Autoproducer CHP plants</v>
      </c>
      <c r="D103" s="1092" t="s">
        <v>305</v>
      </c>
      <c r="E103" s="540" t="str">
        <f>HLOOKUP(LangChoice,Definitions_FlowLang!$F$2:$H$156,Definitions_FlowLang!$A26+1,FALSE)</f>
        <v>Refers to plants which are designed to produce both heat and electricity (sometimes referred to as co-generation power stations). If possible, fuel inputs and electricity/heat outputs are on a unit basis rather than on a plant basis. However, if data are not available on a unit basis, the convention for defining a CHP plant noted above should be adopted. Note that for autoproducer CHP plants, all fuel inputs to electricity production are taken into account, while only the part of fuel inputs to heat sold is shown. Fuel inputs for the production of heat consumed within the autoproducer's establishment are not included here but are included with figures for the final consumption of fuels in the appropriate consuming sector. Autoproducer undertakings generate electricity and/or heat, wholly or partly for their own use as an activity which supports their primary activity. They may be privately or publicly owned.</v>
      </c>
    </row>
    <row r="104" spans="1:5" ht="60.75" customHeight="1" outlineLevel="1" x14ac:dyDescent="0.2">
      <c r="A104" s="1036"/>
      <c r="B104" s="542"/>
      <c r="C104" s="1092" t="str">
        <f>HLOOKUP(LangChoice,Definitions_FlowLang!$C$2:$E$156,Definitions_FlowLang!$A27+1,FALSE)</f>
        <v>Main activity producer heat plants</v>
      </c>
      <c r="D104" s="1092" t="s">
        <v>305</v>
      </c>
      <c r="E104" s="540" t="str">
        <f>HLOOKUP(LangChoice,Definitions_FlowLang!$F$2:$H$156,Definitions_FlowLang!$A27+1,FALSE)</f>
        <v>Refers to plants (including heat pumps and electric boilers) designed to produce heat only and who sell heat to a third party (e.g. residential, commercial or industrial consumers) under the provisions of a contract. Main activity producers generate heat for sale to third parties, as their primary activity. They may be privately or publicly owned. Note that the sale need not take place through the public grid.</v>
      </c>
    </row>
    <row r="105" spans="1:5" ht="68.25" customHeight="1" outlineLevel="1" x14ac:dyDescent="0.2">
      <c r="A105" s="1036"/>
      <c r="B105" s="542"/>
      <c r="C105" s="1092" t="str">
        <f>HLOOKUP(LangChoice,Definitions_FlowLang!$C$2:$E$156,Definitions_FlowLang!$A28+1,FALSE)</f>
        <v>Autoproducer heat plants</v>
      </c>
      <c r="D105" s="1092" t="s">
        <v>305</v>
      </c>
      <c r="E105" s="540" t="str">
        <f>HLOOKUP(LangChoice,Definitions_FlowLang!$F$2:$H$156,Definitions_FlowLang!$A28+1,FALSE)</f>
        <v>Refers to plants (including heat pumps and electric boilers) designed to produce heat only and who sell heat to a third party (e.g. residential, commercial or industrial consumers) under the provisions of a contract. Autoproducer undertakings generate heat, wholly or partly for their own use as an activity which supports their primary activity. They may be privately or publicly owned.</v>
      </c>
    </row>
    <row r="106" spans="1:5" ht="46.5" customHeight="1" outlineLevel="1" x14ac:dyDescent="0.2">
      <c r="A106" s="1036"/>
      <c r="B106" s="542"/>
      <c r="C106" s="1092" t="str">
        <f>HLOOKUP(LangChoice,Definitions_FlowLang!$C$2:$E$156,Definitions_FlowLang!$A29+1,FALSE)</f>
        <v>Heat pumps</v>
      </c>
      <c r="D106" s="1092" t="s">
        <v>305</v>
      </c>
      <c r="E106" s="540" t="str">
        <f>HLOOKUP(LangChoice,Definitions_FlowLang!$F$2:$H$156,Definitions_FlowLang!$A29+1,FALSE)</f>
        <v>Includes heat produced by heat pumps in the transformation sector. Heat pumps that are operated within the residential sector where the heat is not sold are not considered a transformation process and are not included here – the electricity consumption would appear as residential use.</v>
      </c>
    </row>
    <row r="107" spans="1:5" ht="46.5" customHeight="1" outlineLevel="1" x14ac:dyDescent="0.2">
      <c r="A107" s="1036"/>
      <c r="B107" s="542"/>
      <c r="C107" s="1092" t="str">
        <f>HLOOKUP(LangChoice,Definitions_FlowLang!$C$2:$E$156,Definitions_FlowLang!$A30+1,FALSE)</f>
        <v>Electric boilers</v>
      </c>
      <c r="D107" s="1092" t="s">
        <v>305</v>
      </c>
      <c r="E107" s="540" t="str">
        <f>HLOOKUP(LangChoice,Definitions_FlowLang!$F$2:$H$156,Definitions_FlowLang!$A30+1,FALSE)</f>
        <v>Includes electric boilers used to produce heat.</v>
      </c>
    </row>
    <row r="108" spans="1:5" ht="78" customHeight="1" outlineLevel="1" x14ac:dyDescent="0.2">
      <c r="A108" s="1036"/>
      <c r="B108" s="542"/>
      <c r="C108" s="1092" t="str">
        <f>HLOOKUP(LangChoice,Definitions_FlowLang!$C$2:$E$156,Definitions_FlowLang!$A31+1,FALSE)</f>
        <v>Chemical heat for electricity production</v>
      </c>
      <c r="D108" s="1092" t="s">
        <v>305</v>
      </c>
      <c r="E108" s="540" t="str">
        <f>HLOOKUP(LangChoice,Definitions_FlowLang!$F$2:$H$156,Definitions_FlowLang!$A31+1,FALSE)</f>
        <v>Report only the heat originating from processes without input energy, such as a chemical reaction (e.g. the treatment of zinc oxide ore with hydrochloric acid). Note that waste heat originating from energy driven processes is not considered as a primary energy source. Therefore, it should be reported as heat produced from the corresponding fuel.</v>
      </c>
    </row>
    <row r="109" spans="1:5" ht="46.5" customHeight="1" outlineLevel="1" x14ac:dyDescent="0.2">
      <c r="A109" s="1036"/>
      <c r="B109" s="542"/>
      <c r="C109" s="1092" t="str">
        <f>HLOOKUP(LangChoice,Definitions_FlowLang!$C$2:$E$156,Definitions_FlowLang!$A32+1,FALSE)</f>
        <v>Patent fuel plants</v>
      </c>
      <c r="D109" s="1092" t="s">
        <v>305</v>
      </c>
      <c r="E109" s="540" t="str">
        <f>HLOOKUP(LangChoice,Definitions_FlowLang!$F$2:$H$156,Definitions_FlowLang!$A32+1,FALSE)</f>
        <v>Includes the manufacture of patent fuels.</v>
      </c>
    </row>
    <row r="110" spans="1:5" ht="46.5" customHeight="1" outlineLevel="1" x14ac:dyDescent="0.2">
      <c r="A110" s="1036"/>
      <c r="B110" s="542"/>
      <c r="C110" s="1092" t="str">
        <f>HLOOKUP(LangChoice,Definitions_FlowLang!$C$2:$E$156,Definitions_FlowLang!$A33+1,FALSE)</f>
        <v>Coke ovens</v>
      </c>
      <c r="D110" s="1092" t="s">
        <v>305</v>
      </c>
      <c r="E110" s="540" t="str">
        <f>HLOOKUP(LangChoice,Definitions_FlowLang!$F$2:$H$156,Definitions_FlowLang!$A33+1,FALSE)</f>
        <v>Includes the manufacture of coke and coke oven gas.</v>
      </c>
    </row>
    <row r="111" spans="1:5" ht="61.5" customHeight="1" outlineLevel="1" x14ac:dyDescent="0.2">
      <c r="A111" s="1036"/>
      <c r="B111" s="542"/>
      <c r="C111" s="1092" t="str">
        <f>HLOOKUP(LangChoice,Definitions_FlowLang!$C$2:$E$156,Definitions_FlowLang!$A34+1,FALSE)</f>
        <v>Gas works</v>
      </c>
      <c r="D111" s="1092" t="s">
        <v>305</v>
      </c>
      <c r="E111" s="540" t="str">
        <f>HLOOKUP(LangChoice,Definitions_FlowLang!$F$2:$H$156,Definitions_FlowLang!$A34+1,FALSE)</f>
        <v>Includes the manufacture of town gas.</v>
      </c>
    </row>
    <row r="112" spans="1:5" ht="199.5" customHeight="1" outlineLevel="1" x14ac:dyDescent="0.2">
      <c r="A112" s="1036"/>
      <c r="B112" s="542"/>
      <c r="C112" s="1092" t="str">
        <f>HLOOKUP(LangChoice,Definitions_FlowLang!$C$2:$E$156,Definitions_FlowLang!$A35+1,FALSE)</f>
        <v>Blast furnaces</v>
      </c>
      <c r="D112" s="1092" t="s">
        <v>305</v>
      </c>
      <c r="E112" s="540" t="str">
        <f>HLOOKUP(LangChoice,Definitions_FlowLang!$F$2:$H$156,Definitions_FlowLang!$A35+1,FALSE)</f>
        <v>Includes the production of recovered gases (e.g. blast furnace gas and oxygen steel furnace gas). The production of pig-iron from iron ore in blast furnaces uses fuels for supporting the blast furnace charge and providing heat and carbon for the reduction of the iron ore. Accounting for the calorific content of the fuels entering the process is a complex matter as transformation (into blast furnace gas) and consumption (heat of combustion) occur simultaneously. Some carbon is also retained in the pigiron; almost all of this reappears later in the oxygen steel furnace gas (or converter gas) when the pig-iron is converted to steel. In the 1992/1993 annual questionnaires, Member Countries were asked for the first time to report in transformation processes the quantities of all fuels (e.g. pulverised coal injection [PCI] coal, coke oven coke, natural gas and oil) entering blast furnaces and the quantity of blast furnace gas and oxygen steel furnace gas produced. The Secretariat then needed to split these inputs into the transformation and consumption components. The transformation component is shown in the row blast furnaces in the column appropriate for the fuel, and the consumption component is shown in the row iron and steel, in the column appropriate for the fuel. The Secretariat decided to assume a transformation efficiency such that the carbon input into the blast furnaces should equal the carbon output. This is roughly equivalent to assuming an energy transformation efficiency of 40%.</v>
      </c>
    </row>
    <row r="113" spans="1:5" ht="46.5" customHeight="1" outlineLevel="1" x14ac:dyDescent="0.2">
      <c r="A113" s="1036"/>
      <c r="B113" s="542"/>
      <c r="C113" s="1092" t="str">
        <f>HLOOKUP(LangChoice,Definitions_FlowLang!$C$2:$E$156,Definitions_FlowLang!$A36+1,FALSE)</f>
        <v>Petrochemical plants</v>
      </c>
      <c r="D113" s="1092" t="s">
        <v>305</v>
      </c>
      <c r="E113" s="540" t="str">
        <f>HLOOKUP(LangChoice,Definitions_FlowLang!$F$2:$H$156,Definitions_FlowLang!$A36+1,FALSE)</f>
        <v>Covers backflows returned from the petrochemical industry. Note that backflows from oil products that are used for non-energy purposes (i.e. white spirit and lubricants) are not included here, but in non-energy use.</v>
      </c>
    </row>
    <row r="114" spans="1:5" ht="46.5" customHeight="1" outlineLevel="1" x14ac:dyDescent="0.2">
      <c r="A114" s="1036"/>
      <c r="B114" s="542"/>
      <c r="C114" s="1092" t="str">
        <f>HLOOKUP(LangChoice,Definitions_FlowLang!$C$2:$E$156,Definitions_FlowLang!$A37+1,FALSE)</f>
        <v>BKB / peat briquette plants</v>
      </c>
      <c r="D114" s="1092" t="s">
        <v>305</v>
      </c>
      <c r="E114" s="540" t="str">
        <f>HLOOKUP(LangChoice,Definitions_FlowLang!$F$2:$H$156,Definitions_FlowLang!$A37+1,FALSE)</f>
        <v>Includes the use of fuels for the manufacture of BKB and peat briquettes.</v>
      </c>
    </row>
    <row r="115" spans="1:5" ht="46.5" customHeight="1" outlineLevel="1" x14ac:dyDescent="0.2">
      <c r="A115" s="1036"/>
      <c r="B115" s="542"/>
      <c r="C115" s="1092" t="str">
        <f>HLOOKUP(LangChoice,Definitions_FlowLang!$C$2:$E$156,Definitions_FlowLang!$A38+1,FALSE)</f>
        <v>Oil refineries</v>
      </c>
      <c r="D115" s="1092" t="s">
        <v>305</v>
      </c>
      <c r="E115" s="540" t="str">
        <f>HLOOKUP(LangChoice,Definitions_FlowLang!$F$2:$H$156,Definitions_FlowLang!$A38+1,FALSE)</f>
        <v>Includes the manufacture of finished oil products.</v>
      </c>
    </row>
    <row r="116" spans="1:5" ht="46.5" customHeight="1" outlineLevel="1" x14ac:dyDescent="0.2">
      <c r="A116" s="1036"/>
      <c r="B116" s="542"/>
      <c r="C116" s="1092" t="str">
        <f>HLOOKUP(LangChoice,Definitions_FlowLang!$C$2:$E$156,Definitions_FlowLang!$A39+1,FALSE)</f>
        <v>Coal liquefaction plants</v>
      </c>
      <c r="D116" s="1092" t="s">
        <v>305</v>
      </c>
      <c r="E116" s="540" t="str">
        <f>HLOOKUP(LangChoice,Definitions_FlowLang!$F$2:$H$156,Definitions_FlowLang!$A39+1,FALSE)</f>
        <v>Includes coal, oil and tar sands used to produce synthetic oil.</v>
      </c>
    </row>
    <row r="117" spans="1:5" ht="46.5" customHeight="1" outlineLevel="1" x14ac:dyDescent="0.2">
      <c r="A117" s="1036"/>
      <c r="B117" s="542"/>
      <c r="C117" s="1092" t="str">
        <f>HLOOKUP(LangChoice,Definitions_FlowLang!$C$2:$E$156,Definitions_FlowLang!$A40+1,FALSE)</f>
        <v>Gas-to-liquids (GTL) plants</v>
      </c>
      <c r="D117" s="1092" t="s">
        <v>305</v>
      </c>
      <c r="E117" s="540" t="str">
        <f>HLOOKUP(LangChoice,Definitions_FlowLang!$F$2:$H$156,Definitions_FlowLang!$A40+1,FALSE)</f>
        <v>Includes natural gas used as feedstock for the conversion to liquids, e.g. the quantities of fuel entering the methanol product process for transformation into methanol.</v>
      </c>
    </row>
    <row r="118" spans="1:5" ht="46.5" customHeight="1" outlineLevel="1" x14ac:dyDescent="0.2">
      <c r="A118" s="1036"/>
      <c r="B118" s="542"/>
      <c r="C118" s="1092" t="str">
        <f>HLOOKUP(LangChoice,Definitions_FlowLang!$C$2:$E$156,Definitions_FlowLang!$A41+1,FALSE)</f>
        <v>For blended natural gas</v>
      </c>
      <c r="D118" s="1092" t="s">
        <v>305</v>
      </c>
      <c r="E118" s="540" t="str">
        <f>HLOOKUP(LangChoice,Definitions_FlowLang!$F$2:$H$156,Definitions_FlowLang!$A41+1,FALSE)</f>
        <v>Includes other gases that are blended with natural gas.</v>
      </c>
    </row>
    <row r="119" spans="1:5" ht="46.5" customHeight="1" outlineLevel="1" x14ac:dyDescent="0.2">
      <c r="A119" s="1036"/>
      <c r="B119" s="542"/>
      <c r="C119" s="1092" t="str">
        <f>HLOOKUP(LangChoice,Definitions_FlowLang!$C$2:$E$156,Definitions_FlowLang!$A42+1,FALSE)</f>
        <v>Charcoal production plants</v>
      </c>
      <c r="D119" s="1092" t="s">
        <v>305</v>
      </c>
      <c r="E119" s="540" t="str">
        <f>HLOOKUP(LangChoice,Definitions_FlowLang!$F$2:$H$156,Definitions_FlowLang!$A42+1,FALSE)</f>
        <v>Includes the transformation of solid biofuels into charcoal.</v>
      </c>
    </row>
    <row r="120" spans="1:5" ht="46.5" customHeight="1" outlineLevel="1" x14ac:dyDescent="0.2">
      <c r="A120" s="1036"/>
      <c r="B120" s="542"/>
      <c r="C120" s="1092" t="str">
        <f>HLOOKUP(LangChoice,Definitions_FlowLang!$C$2:$E$156,Definitions_FlowLang!$A43+1,FALSE)</f>
        <v>Non-specified (transformation)</v>
      </c>
      <c r="D120" s="1092" t="s">
        <v>305</v>
      </c>
      <c r="E120" s="540" t="str">
        <f>HLOOKUP(LangChoice,Definitions_FlowLang!$F$2:$H$156,Definitions_FlowLang!$A43+1,FALSE)</f>
        <v>Includes other non-specified transformation.</v>
      </c>
    </row>
    <row r="121" spans="1:5" s="519" customFormat="1" ht="32.1" customHeight="1" x14ac:dyDescent="0.2">
      <c r="A121" s="1034"/>
      <c r="B121" s="1035"/>
      <c r="C121" s="859" t="str">
        <f>HLOOKUP(LangChoice,Definitions_FlowLang!$C$2:$E$156,Definitions_FlowLang!$A44+1,FALSE)</f>
        <v>Energy industry own use and losses</v>
      </c>
      <c r="D121" s="524" t="s">
        <v>305</v>
      </c>
      <c r="E121" s="843"/>
    </row>
    <row r="122" spans="1:5" ht="72" customHeight="1" outlineLevel="1" x14ac:dyDescent="0.2">
      <c r="A122" s="1036"/>
      <c r="B122" s="542"/>
      <c r="C122" s="1092" t="str">
        <f>HLOOKUP(LangChoice,Definitions_FlowLang!$C$2:$E$156,Definitions_FlowLang!$A45+1,FALSE)</f>
        <v>Energy industry own use</v>
      </c>
      <c r="D122" s="1092" t="s">
        <v>305</v>
      </c>
      <c r="E122" s="540" t="str">
        <f>HLOOKUP(LangChoice,Definitions_FlowLang!$F$2:$H$156,Definitions_FlowLang!$A45+1,FALSE)</f>
        <v>Energy industry own use covers the amount of fuels used by the energy producing industries (e.g. for heating, lighting and operation of all equipment used in the extraction process, for traction and for distribution). It includes energy consumed by energy industries for heating, pumping, traction and lighting purposes [ISIC Rev. 4 Divisions 05, 06, 19 and 35, Group 091 and Classes 0892 and 0721].</v>
      </c>
    </row>
    <row r="123" spans="1:5" ht="56.25" customHeight="1" outlineLevel="1" x14ac:dyDescent="0.2">
      <c r="A123" s="1036"/>
      <c r="B123" s="542"/>
      <c r="C123" s="1092" t="str">
        <f>HLOOKUP(LangChoice,Definitions_FlowLang!$C$2:$E$156,Definitions_FlowLang!$A46+1,FALSE)</f>
        <v>Coal mines</v>
      </c>
      <c r="D123" s="1092" t="s">
        <v>305</v>
      </c>
      <c r="E123" s="540" t="str">
        <f>HLOOKUP(LangChoice,Definitions_FlowLang!$F$2:$H$156,Definitions_FlowLang!$A46+1,FALSE)</f>
        <v>Represents the energy which is used directly within the coal industry for hard coal and lignite mining. It excludes coal burned in pithead power stations (included under electricity plants in the transformation sector) and free allocations to miners and their families (considered as part of household consumption and therefore included under residential).</v>
      </c>
    </row>
    <row r="124" spans="1:5" ht="46.5" customHeight="1" outlineLevel="1" x14ac:dyDescent="0.2">
      <c r="A124" s="1036"/>
      <c r="B124" s="542"/>
      <c r="C124" s="1092" t="str">
        <f>HLOOKUP(LangChoice,Definitions_FlowLang!$C$2:$E$156,Definitions_FlowLang!$A47+1,FALSE)</f>
        <v>Oil and gas extraction</v>
      </c>
      <c r="D124" s="1092" t="s">
        <v>305</v>
      </c>
      <c r="E124" s="540" t="str">
        <f>HLOOKUP(LangChoice,Definitions_FlowLang!$F$2:$H$156,Definitions_FlowLang!$A47+1,FALSE)</f>
        <v>Represents the energy which is used for oil and gas extraction. Flared gas is not included.</v>
      </c>
    </row>
    <row r="125" spans="1:5" ht="46.5" customHeight="1" outlineLevel="1" x14ac:dyDescent="0.2">
      <c r="A125" s="1036"/>
      <c r="B125" s="542"/>
      <c r="C125" s="1092" t="str">
        <f>HLOOKUP(LangChoice,Definitions_FlowLang!$C$2:$E$156,Definitions_FlowLang!$A48+1,FALSE)</f>
        <v>Patent fuel plants</v>
      </c>
      <c r="D125" s="1092" t="s">
        <v>305</v>
      </c>
      <c r="E125" s="540" t="str">
        <f>HLOOKUP(LangChoice,Definitions_FlowLang!$F$2:$H$156,Definitions_FlowLang!$A48+1,FALSE)</f>
        <v>Represents the energy used in patent fuel plants.</v>
      </c>
    </row>
    <row r="126" spans="1:5" ht="46.5" customHeight="1" outlineLevel="1" x14ac:dyDescent="0.2">
      <c r="A126" s="1036"/>
      <c r="B126" s="542"/>
      <c r="C126" s="1092" t="str">
        <f>HLOOKUP(LangChoice,Definitions_FlowLang!$C$2:$E$156,Definitions_FlowLang!$A49+1,FALSE)</f>
        <v>Coke ovens</v>
      </c>
      <c r="D126" s="1092" t="s">
        <v>305</v>
      </c>
      <c r="E126" s="540" t="str">
        <f>HLOOKUP(LangChoice,Definitions_FlowLang!$F$2:$H$156,Definitions_FlowLang!$A49+1,FALSE)</f>
        <v>Represents the energy used in coke ovens.</v>
      </c>
    </row>
    <row r="127" spans="1:5" ht="46.5" customHeight="1" outlineLevel="1" x14ac:dyDescent="0.2">
      <c r="A127" s="1036"/>
      <c r="B127" s="542"/>
      <c r="C127" s="1092" t="str">
        <f>HLOOKUP(LangChoice,Definitions_FlowLang!$C$2:$E$156,Definitions_FlowLang!$A50+1,FALSE)</f>
        <v>Gas works</v>
      </c>
      <c r="D127" s="1092" t="s">
        <v>305</v>
      </c>
      <c r="E127" s="540" t="str">
        <f>HLOOKUP(LangChoice,Definitions_FlowLang!$F$2:$H$156,Definitions_FlowLang!$A50+1,FALSE)</f>
        <v>Represents the energy which is used in gas works.</v>
      </c>
    </row>
    <row r="128" spans="1:5" ht="46.5" customHeight="1" outlineLevel="1" x14ac:dyDescent="0.2">
      <c r="A128" s="1036"/>
      <c r="B128" s="542"/>
      <c r="C128" s="1092" t="str">
        <f>HLOOKUP(LangChoice,Definitions_FlowLang!$C$2:$E$156,Definitions_FlowLang!$A51+1,FALSE)</f>
        <v>Gasification plants for biogases</v>
      </c>
      <c r="D128" s="1092" t="s">
        <v>305</v>
      </c>
      <c r="E128" s="540" t="str">
        <f>HLOOKUP(LangChoice,Definitions_FlowLang!$F$2:$H$156,Definitions_FlowLang!$A51+1,FALSE)</f>
        <v>Represents own consumption of biogas necessary to support temperatures needed for anaerobic fermentation.</v>
      </c>
    </row>
    <row r="129" spans="1:5" ht="46.5" customHeight="1" outlineLevel="1" x14ac:dyDescent="0.2">
      <c r="A129" s="1036"/>
      <c r="B129" s="542"/>
      <c r="C129" s="1092" t="str">
        <f>HLOOKUP(LangChoice,Definitions_FlowLang!$C$2:$E$156,Definitions_FlowLang!$A52+1,FALSE)</f>
        <v>Blast furnaces</v>
      </c>
      <c r="D129" s="1092" t="s">
        <v>305</v>
      </c>
      <c r="E129" s="540" t="str">
        <f>HLOOKUP(LangChoice,Definitions_FlowLang!$F$2:$H$156,Definitions_FlowLang!$A52+1,FALSE)</f>
        <v>Represents the energy which is used in blast furnaces.</v>
      </c>
    </row>
    <row r="130" spans="1:5" ht="46.5" customHeight="1" outlineLevel="1" x14ac:dyDescent="0.2">
      <c r="A130" s="1036"/>
      <c r="B130" s="542"/>
      <c r="C130" s="1092" t="str">
        <f>HLOOKUP(LangChoice,Definitions_FlowLang!$C$2:$E$156,Definitions_FlowLang!$A53+1,FALSE)</f>
        <v>BKB / peat briquette plants</v>
      </c>
      <c r="D130" s="1092" t="s">
        <v>305</v>
      </c>
      <c r="E130" s="540" t="str">
        <f>HLOOKUP(LangChoice,Definitions_FlowLang!$F$2:$H$156,Definitions_FlowLang!$A53+1,FALSE)</f>
        <v>Represents the energy used in BKB and peat briquette plants.</v>
      </c>
    </row>
    <row r="131" spans="1:5" ht="46.5" customHeight="1" outlineLevel="1" x14ac:dyDescent="0.2">
      <c r="A131" s="1036"/>
      <c r="B131" s="542"/>
      <c r="C131" s="1092" t="str">
        <f>HLOOKUP(LangChoice,Definitions_FlowLang!$C$2:$E$156,Definitions_FlowLang!$A54+1,FALSE)</f>
        <v>Oil refineries</v>
      </c>
      <c r="D131" s="1092" t="s">
        <v>305</v>
      </c>
      <c r="E131" s="540" t="str">
        <f>HLOOKUP(LangChoice,Definitions_FlowLang!$F$2:$H$156,Definitions_FlowLang!$A54+1,FALSE)</f>
        <v>Represents the energy used in oil refineries.</v>
      </c>
    </row>
    <row r="132" spans="1:5" ht="46.5" customHeight="1" outlineLevel="1" x14ac:dyDescent="0.2">
      <c r="A132" s="1036"/>
      <c r="B132" s="542"/>
      <c r="C132" s="1092" t="str">
        <f>HLOOKUP(LangChoice,Definitions_FlowLang!$C$2:$E$156,Definitions_FlowLang!$A55+1,FALSE)</f>
        <v>Coal liquefaction plants</v>
      </c>
      <c r="D132" s="1092" t="s">
        <v>305</v>
      </c>
      <c r="E132" s="540" t="str">
        <f>HLOOKUP(LangChoice,Definitions_FlowLang!$F$2:$H$156,Definitions_FlowLang!$A55+1,FALSE)</f>
        <v>Represents the energy used in coal liquefaction plants.</v>
      </c>
    </row>
    <row r="133" spans="1:5" ht="46.5" customHeight="1" outlineLevel="1" x14ac:dyDescent="0.2">
      <c r="A133" s="1036"/>
      <c r="B133" s="542"/>
      <c r="C133" s="1092" t="str">
        <f>HLOOKUP(LangChoice,Definitions_FlowLang!$C$2:$E$156,Definitions_FlowLang!$A56+1,FALSE)</f>
        <v>Liquefaction (LNG) / regasification plants</v>
      </c>
      <c r="D133" s="1092" t="s">
        <v>305</v>
      </c>
      <c r="E133" s="540" t="str">
        <f>HLOOKUP(LangChoice,Definitions_FlowLang!$F$2:$H$156,Definitions_FlowLang!$A56+1,FALSE)</f>
        <v>Represents the energy used in LNG and regasification plants.</v>
      </c>
    </row>
    <row r="134" spans="1:5" ht="46.5" customHeight="1" outlineLevel="1" x14ac:dyDescent="0.2">
      <c r="A134" s="1036"/>
      <c r="B134" s="542"/>
      <c r="C134" s="1092" t="str">
        <f>HLOOKUP(LangChoice,Definitions_FlowLang!$C$2:$E$156,Definitions_FlowLang!$A57+1,FALSE)</f>
        <v>Gas-to-liquids (GTL) plants</v>
      </c>
      <c r="D134" s="1092" t="s">
        <v>305</v>
      </c>
      <c r="E134" s="540" t="str">
        <f>HLOOKUP(LangChoice,Definitions_FlowLang!$F$2:$H$156,Definitions_FlowLang!$A57+1,FALSE)</f>
        <v>Represents the energy used in gas-to-liquids plants.</v>
      </c>
    </row>
    <row r="135" spans="1:5" ht="46.5" customHeight="1" outlineLevel="1" x14ac:dyDescent="0.2">
      <c r="A135" s="1036"/>
      <c r="B135" s="542"/>
      <c r="C135" s="1092" t="str">
        <f>HLOOKUP(LangChoice,Definitions_FlowLang!$C$2:$E$156,Definitions_FlowLang!$A58+1,FALSE)</f>
        <v>Own use in electricity, CHP and heat plants</v>
      </c>
      <c r="D135" s="1092" t="s">
        <v>305</v>
      </c>
      <c r="E135" s="540" t="str">
        <f>HLOOKUP(LangChoice,Definitions_FlowLang!$F$2:$H$156,Definitions_FlowLang!$A58+1,FALSE)</f>
        <v>Represents the energy used in main activity producer electricity, CHP and heat plants.</v>
      </c>
    </row>
    <row r="136" spans="1:5" ht="46.5" customHeight="1" outlineLevel="1" x14ac:dyDescent="0.2">
      <c r="A136" s="1036"/>
      <c r="B136" s="542"/>
      <c r="C136" s="1092" t="str">
        <f>HLOOKUP(LangChoice,Definitions_FlowLang!$C$2:$E$156,Definitions_FlowLang!$A59+1,FALSE)</f>
        <v>Used for pumped storage</v>
      </c>
      <c r="D136" s="1092" t="s">
        <v>305</v>
      </c>
      <c r="E136" s="540" t="str">
        <f>HLOOKUP(LangChoice,Definitions_FlowLang!$F$2:$H$156,Definitions_FlowLang!$A59+1,FALSE)</f>
        <v>Represents electricity consumed in hydro-electric plants for pumped storage.</v>
      </c>
    </row>
    <row r="137" spans="1:5" ht="46.5" customHeight="1" outlineLevel="1" x14ac:dyDescent="0.2">
      <c r="A137" s="1036"/>
      <c r="B137" s="542"/>
      <c r="C137" s="1092" t="str">
        <f>HLOOKUP(LangChoice,Definitions_FlowLang!$C$2:$E$156,Definitions_FlowLang!$A60+1,FALSE)</f>
        <v>Nuclear industry</v>
      </c>
      <c r="D137" s="1092" t="s">
        <v>305</v>
      </c>
      <c r="E137" s="540" t="str">
        <f>HLOOKUP(LangChoice,Definitions_FlowLang!$F$2:$H$156,Definitions_FlowLang!$A60+1,FALSE)</f>
        <v>Represents the energy used in the nuclear industry.</v>
      </c>
    </row>
    <row r="138" spans="1:5" ht="46.5" customHeight="1" outlineLevel="1" x14ac:dyDescent="0.2">
      <c r="A138" s="1036"/>
      <c r="B138" s="542"/>
      <c r="C138" s="1092" t="str">
        <f>HLOOKUP(LangChoice,Definitions_FlowLang!$C$2:$E$156,Definitions_FlowLang!$A61+1,FALSE)</f>
        <v>Charcoal production plants</v>
      </c>
      <c r="D138" s="1092" t="s">
        <v>305</v>
      </c>
      <c r="E138" s="540" t="str">
        <f>HLOOKUP(LangChoice,Definitions_FlowLang!$F$2:$H$156,Definitions_FlowLang!$A61+1,FALSE)</f>
        <v>Represents the energy used in charcoal production plants.</v>
      </c>
    </row>
    <row r="139" spans="1:5" ht="46.5" customHeight="1" outlineLevel="1" x14ac:dyDescent="0.2">
      <c r="A139" s="1036"/>
      <c r="B139" s="542"/>
      <c r="C139" s="1092" t="str">
        <f>HLOOKUP(LangChoice,Definitions_FlowLang!$C$2:$E$156,Definitions_FlowLang!$A62+1,FALSE)</f>
        <v>Non-specified (Energy)</v>
      </c>
      <c r="D139" s="1092" t="s">
        <v>305</v>
      </c>
      <c r="E139" s="540" t="str">
        <f>HLOOKUP(LangChoice,Definitions_FlowLang!$F$2:$H$156,Definitions_FlowLang!$A62+1,FALSE)</f>
        <v>Represents use in non-specified energy industries.</v>
      </c>
    </row>
    <row r="140" spans="1:5" ht="46.5" customHeight="1" outlineLevel="1" x14ac:dyDescent="0.2">
      <c r="A140" s="1036"/>
      <c r="B140" s="542"/>
      <c r="C140" s="1092" t="str">
        <f>HLOOKUP(LangChoice,Definitions_FlowLang!$C$2:$E$156,Definitions_FlowLang!$A63+1,FALSE)</f>
        <v>Losses</v>
      </c>
      <c r="D140" s="1092" t="s">
        <v>305</v>
      </c>
      <c r="E140" s="540" t="str">
        <f>HLOOKUP(LangChoice,Definitions_FlowLang!$F$2:$H$156,Definitions_FlowLang!$A63+1,FALSE)</f>
        <v>Losses in energy distribution, transmission and transport.</v>
      </c>
    </row>
    <row r="141" spans="1:5" s="519" customFormat="1" ht="32.1" customHeight="1" x14ac:dyDescent="0.2">
      <c r="A141" s="1034"/>
      <c r="B141" s="1035"/>
      <c r="C141" s="859" t="str">
        <f>HLOOKUP(LangChoice,Definitions_FlowLang!$C$2:$E$156,Definitions_FlowLang!$A64+1,FALSE)</f>
        <v>Final consumption</v>
      </c>
      <c r="D141" s="524" t="s">
        <v>305</v>
      </c>
      <c r="E141" s="843"/>
    </row>
    <row r="142" spans="1:5" ht="74.25" customHeight="1" outlineLevel="1" x14ac:dyDescent="0.2">
      <c r="A142" s="1036"/>
      <c r="B142" s="542"/>
      <c r="C142" s="1092" t="str">
        <f>HLOOKUP(LangChoice,Definitions_FlowLang!$C$2:$E$156,Definitions_FlowLang!$A65+1,FALSE)</f>
        <v>Final consumption</v>
      </c>
      <c r="D142" s="1092" t="s">
        <v>305</v>
      </c>
      <c r="E142" s="540" t="str">
        <f>HLOOKUP(LangChoice,Definitions_FlowLang!$F$2:$H$156,Definitions_FlowLang!$A65+1,FALSE)</f>
        <v>Equal to the sum of the consumption in the end-use sectors. Energy used for transformation processes and for own use of the energy producing industries is excluded. Final consumption reflects for the most part deliveries to consumers (see note on stock changes). Backflows from the petrochemical industry are not included in final consumption (see from other sources under supply and petrochemical plants in transformation processes).</v>
      </c>
    </row>
    <row r="143" spans="1:5" ht="99.75" customHeight="1" outlineLevel="1" x14ac:dyDescent="0.2">
      <c r="A143" s="1036"/>
      <c r="B143" s="542"/>
      <c r="C143" s="1092" t="str">
        <f>HLOOKUP(LangChoice,Definitions_FlowLang!$C$2:$E$156,Definitions_FlowLang!$A66+1,FALSE)</f>
        <v>Industry</v>
      </c>
      <c r="D143" s="1092" t="s">
        <v>305</v>
      </c>
      <c r="E143" s="540" t="str">
        <f>HLOOKUP(LangChoice,Definitions_FlowLang!$F$2:$H$156,Definitions_FlowLang!$A66+1,FALSE)</f>
        <v>Report the fuel, electricity or purchased heat consumption by the industrial undertaking in support of its primary activities in the appropriate sub-sectors:
Report quantities of fuels consumed in heat or CHP plants for the production of heat used by the plant itself. Quantities of fuels consumed for the production of heat that is sold, and for the production of electricity should be reported under the appropriate Transformation sector.</v>
      </c>
    </row>
    <row r="144" spans="1:5" ht="46.5" customHeight="1" outlineLevel="1" x14ac:dyDescent="0.2">
      <c r="A144" s="1036"/>
      <c r="B144" s="542"/>
      <c r="C144" s="1092" t="str">
        <f>HLOOKUP(LangChoice,Definitions_FlowLang!$C$2:$E$156,Definitions_FlowLang!$A67+1,FALSE)</f>
        <v>Iron and steel</v>
      </c>
      <c r="D144" s="1092" t="s">
        <v>305</v>
      </c>
      <c r="E144" s="540" t="str">
        <f>HLOOKUP(LangChoice,Definitions_FlowLang!$F$2:$H$156,Definitions_FlowLang!$A67+1,FALSE)</f>
        <v>[ISIC Rev. 4 Group 241 + Class 2431 (NACE Groups 24.1, 24.2, 24.3, Classes 24.51 and 24.52)]. To avoid double counting, energy used in blast furnaces should be reported in the Energy sector.</v>
      </c>
    </row>
    <row r="145" spans="1:5" ht="46.5" customHeight="1" outlineLevel="1" x14ac:dyDescent="0.2">
      <c r="A145" s="1036"/>
      <c r="B145" s="542"/>
      <c r="C145" s="1092" t="str">
        <f>HLOOKUP(LangChoice,Definitions_FlowLang!$C$2:$E$156,Definitions_FlowLang!$A68+1,FALSE)</f>
        <v>Chemical and petrochemical</v>
      </c>
      <c r="D145" s="1092" t="s">
        <v>305</v>
      </c>
      <c r="E145" s="540" t="str">
        <f>HLOOKUP(LangChoice,Definitions_FlowLang!$F$2:$H$156,Definitions_FlowLang!$A68+1,FALSE)</f>
        <v>[ISIC Rev. 4 Divisions 20 and 21] Excluding petrochemical feedstocks.</v>
      </c>
    </row>
    <row r="146" spans="1:5" ht="46.5" customHeight="1" outlineLevel="1" x14ac:dyDescent="0.2">
      <c r="A146" s="1036"/>
      <c r="B146" s="542"/>
      <c r="C146" s="1092" t="str">
        <f>HLOOKUP(LangChoice,Definitions_FlowLang!$C$2:$E$156,Definitions_FlowLang!$A69+1,FALSE)</f>
        <v>Non-ferrous metals</v>
      </c>
      <c r="D146" s="1092" t="s">
        <v>305</v>
      </c>
      <c r="E146" s="540" t="str">
        <f>HLOOKUP(LangChoice,Definitions_FlowLang!$F$2:$H$156,Definitions_FlowLang!$A69+1,FALSE)</f>
        <v>ISIC Group 242 + Class 2432 (NACE Group 24.4, Classes 24.53 and 24.54).</v>
      </c>
    </row>
    <row r="147" spans="1:5" ht="46.5" customHeight="1" outlineLevel="1" x14ac:dyDescent="0.2">
      <c r="A147" s="1036"/>
      <c r="B147" s="542"/>
      <c r="C147" s="1092" t="str">
        <f>HLOOKUP(LangChoice,Definitions_FlowLang!$C$2:$E$156,Definitions_FlowLang!$A70+1,FALSE)</f>
        <v>Non-metallic minerals</v>
      </c>
      <c r="D147" s="1092" t="s">
        <v>305</v>
      </c>
      <c r="E147" s="540" t="str">
        <f>HLOOKUP(LangChoice,Definitions_FlowLang!$F$2:$H$156,Definitions_FlowLang!$A70+1,FALSE)</f>
        <v>[ISIC Rev. 4 and NACE Division 23.] Report glass, ceramic, cement, and other building materials industries.</v>
      </c>
    </row>
    <row r="148" spans="1:5" ht="46.5" customHeight="1" outlineLevel="1" x14ac:dyDescent="0.2">
      <c r="A148" s="1036"/>
      <c r="B148" s="542"/>
      <c r="C148" s="1092" t="str">
        <f>HLOOKUP(LangChoice,Definitions_FlowLang!$C$2:$E$156,Definitions_FlowLang!$A71+1,FALSE)</f>
        <v>Transport equipment</v>
      </c>
      <c r="D148" s="1092" t="s">
        <v>305</v>
      </c>
      <c r="E148" s="540" t="str">
        <f>HLOOKUP(LangChoice,Definitions_FlowLang!$F$2:$H$156,Definitions_FlowLang!$A71+1,FALSE)</f>
        <v>[ISIC Rev. 4 and NACE Divisions 29 and 30.]</v>
      </c>
    </row>
    <row r="149" spans="1:5" ht="46.5" customHeight="1" outlineLevel="1" x14ac:dyDescent="0.2">
      <c r="A149" s="1036"/>
      <c r="B149" s="542"/>
      <c r="C149" s="1092" t="str">
        <f>HLOOKUP(LangChoice,Definitions_FlowLang!$C$2:$E$156,Definitions_FlowLang!$A72+1,FALSE)</f>
        <v>Machinery</v>
      </c>
      <c r="D149" s="1092" t="s">
        <v>305</v>
      </c>
      <c r="E149" s="540" t="str">
        <f>HLOOKUP(LangChoice,Definitions_FlowLang!$F$2:$H$156,Definitions_FlowLang!$A72+1,FALSE)</f>
        <v>[ISIC Rev. 4 and NACE Divisions 25, 26, 27 and 28.] Report fabricated metal products, machinery and equipment other than transport equipment.</v>
      </c>
    </row>
    <row r="150" spans="1:5" ht="46.5" customHeight="1" outlineLevel="1" x14ac:dyDescent="0.2">
      <c r="A150" s="1036"/>
      <c r="B150" s="542"/>
      <c r="C150" s="1092" t="str">
        <f>HLOOKUP(LangChoice,Definitions_FlowLang!$C$2:$E$156,Definitions_FlowLang!$A73+1,FALSE)</f>
        <v>Mining and quarrying</v>
      </c>
      <c r="D150" s="1092" t="s">
        <v>305</v>
      </c>
      <c r="E150" s="540" t="str">
        <f>HLOOKUP(LangChoice,Definitions_FlowLang!$F$2:$H$156,Definitions_FlowLang!$A73+1,FALSE)</f>
        <v>[ISIC Rev. 4 Divisions 07 and 08 + Group 099 (NACE Divisions 07 and 08 + Group 09.9)]</v>
      </c>
    </row>
    <row r="151" spans="1:5" ht="46.5" customHeight="1" outlineLevel="1" x14ac:dyDescent="0.2">
      <c r="A151" s="1036"/>
      <c r="B151" s="542"/>
      <c r="C151" s="1092" t="str">
        <f>HLOOKUP(LangChoice,Definitions_FlowLang!$C$2:$E$156,Definitions_FlowLang!$A74+1,FALSE)</f>
        <v>Food, beverages and tobacco</v>
      </c>
      <c r="D151" s="1092" t="s">
        <v>305</v>
      </c>
      <c r="E151" s="540" t="str">
        <f>HLOOKUP(LangChoice,Definitions_FlowLang!$F$2:$H$156,Definitions_FlowLang!$A74+1,FALSE)</f>
        <v>[ISIC Rev. 4 and NACE Divisions 10, 11 and 12.]</v>
      </c>
    </row>
    <row r="152" spans="1:5" ht="46.5" customHeight="1" outlineLevel="1" x14ac:dyDescent="0.2">
      <c r="A152" s="1036"/>
      <c r="B152" s="542"/>
      <c r="C152" s="1092" t="str">
        <f>HLOOKUP(LangChoice,Definitions_FlowLang!$C$2:$E$156,Definitions_FlowLang!$A75+1,FALSE)</f>
        <v>Paper, pulp and print</v>
      </c>
      <c r="D152" s="1092" t="s">
        <v>305</v>
      </c>
      <c r="E152" s="540" t="str">
        <f>HLOOKUP(LangChoice,Definitions_FlowLang!$F$2:$H$156,Definitions_FlowLang!$A75+1,FALSE)</f>
        <v>[ISIC Rev. 4 and NACE Divisions 17 and 18.] Includes reproduction of recorded media.</v>
      </c>
    </row>
    <row r="153" spans="1:5" ht="46.5" customHeight="1" outlineLevel="1" x14ac:dyDescent="0.2">
      <c r="A153" s="1036"/>
      <c r="B153" s="542"/>
      <c r="C153" s="1092" t="str">
        <f>HLOOKUP(LangChoice,Definitions_FlowLang!$C$2:$E$156,Definitions_FlowLang!$A76+1,FALSE)</f>
        <v>Wood and wood products</v>
      </c>
      <c r="D153" s="1092" t="s">
        <v>305</v>
      </c>
      <c r="E153" s="540" t="str">
        <f>HLOOKUP(LangChoice,Definitions_FlowLang!$F$2:$H$156,Definitions_FlowLang!$A76+1,FALSE)</f>
        <v>[ISIC Rev. 4 and NACE Division 16] Wood and wood products other than pulp and paper.</v>
      </c>
    </row>
    <row r="154" spans="1:5" ht="46.5" customHeight="1" outlineLevel="1" x14ac:dyDescent="0.2">
      <c r="A154" s="1036"/>
      <c r="B154" s="542"/>
      <c r="C154" s="1092" t="str">
        <f>HLOOKUP(LangChoice,Definitions_FlowLang!$C$2:$E$156,Definitions_FlowLang!$A77+1,FALSE)</f>
        <v>Construction</v>
      </c>
      <c r="D154" s="1092" t="s">
        <v>305</v>
      </c>
      <c r="E154" s="540" t="str">
        <f>HLOOKUP(LangChoice,Definitions_FlowLang!$F$2:$H$156,Definitions_FlowLang!$A77+1,FALSE)</f>
        <v>[ISIC Rev. 4 and NACE Division 41, 42 and 43]</v>
      </c>
    </row>
    <row r="155" spans="1:5" ht="46.5" customHeight="1" outlineLevel="1" x14ac:dyDescent="0.2">
      <c r="A155" s="1036"/>
      <c r="B155" s="542"/>
      <c r="C155" s="1092" t="str">
        <f>HLOOKUP(LangChoice,Definitions_FlowLang!$C$2:$E$156,Definitions_FlowLang!$A78+1,FALSE)</f>
        <v>Textiles and leather</v>
      </c>
      <c r="D155" s="1092" t="s">
        <v>305</v>
      </c>
      <c r="E155" s="540" t="str">
        <f>HLOOKUP(LangChoice,Definitions_FlowLang!$F$2:$H$156,Definitions_FlowLang!$A78+1,FALSE)</f>
        <v>[ISIC and NACE Divisions 13, 14 and 15.]</v>
      </c>
    </row>
    <row r="156" spans="1:5" ht="69.75" customHeight="1" outlineLevel="1" x14ac:dyDescent="0.2">
      <c r="A156" s="1036"/>
      <c r="B156" s="542"/>
      <c r="C156" s="1092" t="str">
        <f>HLOOKUP(LangChoice,Definitions_FlowLang!$C$2:$E$156,Definitions_FlowLang!$A79+1,FALSE)</f>
        <v>Non-specified (Industry)</v>
      </c>
      <c r="D156" s="1092" t="s">
        <v>305</v>
      </c>
      <c r="E156" s="540" t="str">
        <f>HLOOKUP(LangChoice,Definitions_FlowLang!$F$2:$H$156,Definitions_FlowLang!$A79+1,FALSE)</f>
        <v>[ISIC and NACE Divisions 22, 31 and 32.] If your country's industrial classification consumption of fuels/electricity does not correspond to the above ISIC or NACE codes, please estimate the breakdown by industry and include in Not elsewhere specified (Industry) only consumption in sectors which is not covered above.</v>
      </c>
    </row>
    <row r="157" spans="1:5" ht="88.5" customHeight="1" outlineLevel="1" x14ac:dyDescent="0.2">
      <c r="A157" s="1036"/>
      <c r="B157" s="542"/>
      <c r="C157" s="1092" t="str">
        <f>HLOOKUP(LangChoice,Definitions_FlowLang!$C$2:$E$156,Definitions_FlowLang!$A80+1,FALSE)</f>
        <v>Transport</v>
      </c>
      <c r="D157" s="1092" t="s">
        <v>305</v>
      </c>
      <c r="E157" s="540" t="str">
        <f>HLOOKUP(LangChoice,Definitions_FlowLang!$F$2:$H$156,Definitions_FlowLang!$A80+1,FALSE)</f>
        <v>[ISIC Rev. 4 and NACE categories: Divisions 49, 50 and 51.] Report fuels / electricity used for all transport activity irrespective of the economic sector, in which the activity occurs (except military fuel use, see Not elsewhere specified - Other). Electricity and purchased heat used for heating and lighting at railway and bus stations and airports should be reported in Commercial and public services.  The transport sector is divided into the following sub-sectors:</v>
      </c>
    </row>
    <row r="158" spans="1:5" ht="127.5" customHeight="1" outlineLevel="1" x14ac:dyDescent="0.2">
      <c r="A158" s="1036"/>
      <c r="B158" s="542"/>
      <c r="C158" s="1092" t="str">
        <f>HLOOKUP(LangChoice,Definitions_FlowLang!$C$2:$E$156,Definitions_FlowLang!$A81+1,FALSE)</f>
        <v>Domestic aviation</v>
      </c>
      <c r="D158" s="1092" t="s">
        <v>305</v>
      </c>
      <c r="E158" s="540" t="str">
        <f>HLOOKUP(LangChoice,Definitions_FlowLang!$F$2:$H$156,Definitions_FlowLang!$A81+1,FALSE)</f>
        <v>Report quantities of aviation fuels delivered to aircraft for Domestic aviation – commercial, private, agricultural, etc. Include fuel used for purposes other than flying, e.g. bench testing of engines. The domestic/international split should be determined on the basis of departure and landing locations and not by the nationality of the airline. Note that this may include journeys of considerable length between two airports in a country (e.g. San Francisco to Honolulu). Exclude fuels used by airlines for their road vehicles (see Not elsewhere specified – Transport sector) and military use of aviation fuels (see Not elsewhere specified – Other sectors).
 For many countries this incorrectly includes fuel used by domestically owned carriers for outbound international traffic.</v>
      </c>
    </row>
    <row r="159" spans="1:5" ht="99.75" customHeight="1" outlineLevel="1" x14ac:dyDescent="0.2">
      <c r="A159" s="1036"/>
      <c r="B159" s="542"/>
      <c r="C159" s="1092" t="str">
        <f>HLOOKUP(LangChoice,Definitions_FlowLang!$C$2:$E$156,Definitions_FlowLang!$A82+1,FALSE)</f>
        <v>Road</v>
      </c>
      <c r="D159" s="1092" t="s">
        <v>305</v>
      </c>
      <c r="E159" s="540" t="str">
        <f>HLOOKUP(LangChoice,Definitions_FlowLang!$F$2:$H$156,Definitions_FlowLang!$A82+1,FALSE)</f>
        <v>Report oil for use in road vehicles. Include fuel used by agricultural vehicles on highways and lubricants for use in road vehicles. Exclude motor gasoline and diesel used in stationary engines (see Not elsewhere specified – Other sectors), diesel oil for non–highway use in tractors (see Agriculture/forestry – Other sectors), military use (see Not elsewhere specified – Other sectors) and gasoil used in engines at construction sites (see Construction – Industry sector).</v>
      </c>
    </row>
    <row r="160" spans="1:5" ht="54.75" customHeight="1" outlineLevel="1" x14ac:dyDescent="0.2">
      <c r="A160" s="1036"/>
      <c r="B160" s="542"/>
      <c r="C160" s="1092" t="str">
        <f>HLOOKUP(LangChoice,Definitions_FlowLang!$C$2:$E$156,Definitions_FlowLang!$A83+1,FALSE)</f>
        <v>Rail</v>
      </c>
      <c r="D160" s="1092" t="s">
        <v>305</v>
      </c>
      <c r="E160" s="540" t="str">
        <f>HLOOKUP(LangChoice,Definitions_FlowLang!$F$2:$H$156,Definitions_FlowLang!$A83+1,FALSE)</f>
        <v>Includes quantities used in rail traffic, including industrial railways. It includes oil used in rail transport as part of urban or suburban transport systems.</v>
      </c>
    </row>
    <row r="161" spans="1:5" ht="132.75" customHeight="1" outlineLevel="1" x14ac:dyDescent="0.2">
      <c r="A161" s="1036"/>
      <c r="B161" s="542"/>
      <c r="C161" s="1092" t="str">
        <f>HLOOKUP(LangChoice,Definitions_FlowLang!$C$2:$E$156,Definitions_FlowLang!$A84+1,FALSE)</f>
        <v>Pipeline transport</v>
      </c>
      <c r="D161" s="1092" t="s">
        <v>305</v>
      </c>
      <c r="E161" s="540" t="str">
        <f>HLOOKUP(LangChoice,Definitions_FlowLang!$F$2:$H$156,Definitions_FlowLang!$A84+1,FALSE)</f>
        <v>Report oil used as energy in the support and operation of pipelines transporting gases, liquids, slurries and other commodities, including the energy used for pump stations and maintenance of the pipeline. Oil used as energy for the pipeline distribution of natural or manufactured gas, hot water or steam (ISIC Rev. 4 Division 35) from the distributor to final users is excluded and should be reported in the Energy sector, while the oil used for the final distribution of water (ISIC 36) to household, industrial, commercial and other users should be included in the Commercial/public sector. Losses occurring during this transport between distributor and final users should be reported as Distribution losses.</v>
      </c>
    </row>
    <row r="162" spans="1:5" ht="89.25" customHeight="1" outlineLevel="1" x14ac:dyDescent="0.2">
      <c r="A162" s="1036"/>
      <c r="B162" s="542"/>
      <c r="C162" s="1092" t="str">
        <f>HLOOKUP(LangChoice,Definitions_FlowLang!$C$2:$E$156,Definitions_FlowLang!$A85+1,FALSE)</f>
        <v>Domestic navigation</v>
      </c>
      <c r="D162" s="1092" t="s">
        <v>305</v>
      </c>
      <c r="E162" s="540" t="str">
        <f>HLOOKUP(LangChoice,Definitions_FlowLang!$F$2:$H$156,Definitions_FlowLang!$A85+1,FALSE)</f>
        <v>Report fuels delivered to vessels of all flags not engaged in international navigation (see international marine bunkers). The domestic/international split should be determined on the basis of port of departure and port of arrival and not by the flag or nationality of the ship. Note that this may include journeys of considerable length between two ports in a country (e.g. San Francisco to Honolulu).</v>
      </c>
    </row>
    <row r="163" spans="1:5" ht="46.5" customHeight="1" outlineLevel="1" x14ac:dyDescent="0.2">
      <c r="A163" s="1036"/>
      <c r="B163" s="542"/>
      <c r="C163" s="1092" t="str">
        <f>HLOOKUP(LangChoice,Definitions_FlowLang!$C$2:$E$156,Definitions_FlowLang!$A86+1,FALSE)</f>
        <v>Non-specified (transport)</v>
      </c>
      <c r="D163" s="1092" t="s">
        <v>305</v>
      </c>
      <c r="E163" s="540" t="str">
        <f>HLOOKUP(LangChoice,Definitions_FlowLang!$F$2:$H$156,Definitions_FlowLang!$A86+1,FALSE)</f>
        <v>Report fuels used for transport activities not included elsewhere. Include fuels used by airlines for their road vehicles. Note: International marine bunkers and International aviation bunkers are shown in supply and are not included in the transport sector as part of final consumption.</v>
      </c>
    </row>
    <row r="164" spans="1:5" ht="46.5" customHeight="1" outlineLevel="1" x14ac:dyDescent="0.2">
      <c r="A164" s="1036"/>
      <c r="B164" s="542"/>
      <c r="C164" s="1092" t="str">
        <f>HLOOKUP(LangChoice,Definitions_FlowLang!$C$2:$E$156,Definitions_FlowLang!$A87+1,FALSE)</f>
        <v>Other</v>
      </c>
      <c r="D164" s="1092" t="s">
        <v>305</v>
      </c>
      <c r="E164" s="540" t="str">
        <f>HLOOKUP(LangChoice,Definitions_FlowLang!$F$2:$H$156,Definitions_FlowLang!$A87+1,FALSE)</f>
        <v>Includes residential, commercial/public services, agriculture/‌forestry, fishing and non-specified (other).</v>
      </c>
    </row>
    <row r="165" spans="1:5" ht="46.5" customHeight="1" outlineLevel="1" x14ac:dyDescent="0.2">
      <c r="A165" s="1036"/>
      <c r="B165" s="542"/>
      <c r="C165" s="1092" t="str">
        <f>HLOOKUP(LangChoice,Definitions_FlowLang!$C$2:$E$156,Definitions_FlowLang!$A88+1,FALSE)</f>
        <v>Residential</v>
      </c>
      <c r="D165" s="1092" t="s">
        <v>305</v>
      </c>
      <c r="E165" s="540" t="str">
        <f>HLOOKUP(LangChoice,Definitions_FlowLang!$F$2:$H$156,Definitions_FlowLang!$A88+1,FALSE)</f>
        <v xml:space="preserve">Report fuels/electricity consumed by all households including "households with employed persons" (ISIC and NACE Divisions 97 and 98). </v>
      </c>
    </row>
    <row r="166" spans="1:5" ht="46.5" customHeight="1" outlineLevel="1" x14ac:dyDescent="0.2">
      <c r="A166" s="1036"/>
      <c r="B166" s="542"/>
      <c r="C166" s="1092" t="str">
        <f>HLOOKUP(LangChoice,Definitions_FlowLang!$C$2:$E$156,Definitions_FlowLang!$A89+1,FALSE)</f>
        <v>Commercial and public services</v>
      </c>
      <c r="D166" s="1092" t="s">
        <v>305</v>
      </c>
      <c r="E166" s="540" t="str">
        <f>HLOOKUP(LangChoice,Definitions_FlowLang!$F$2:$H$156,Definitions_FlowLang!$A89+1,FALSE)</f>
        <v>[ISIC Rev. 4 Divisions and NACE Divisions 33, 36, 37, 38, 39, 45, 46, 47, 52, 53, 55, 56, 58, 59, 60, 61, 62, 63, 64, 65, 66, 68, 69, 70, 71, 72, 73, 74, 75, 77, 78, 79, 80, 81, 82, 84 (exclude Class 8422), 85, 86, 87, 88, 90, 91, 92, 93, 94, 95, 96 and 99.]
Consumption by businesses and offices in the public and private sectors. Note that consumption at railway, bus stations, shipping piers and airports should be reported in this category and not shown in the Transport sector.</v>
      </c>
    </row>
    <row r="167" spans="1:5" ht="75.75" customHeight="1" outlineLevel="1" x14ac:dyDescent="0.2">
      <c r="A167" s="1036"/>
      <c r="B167" s="542"/>
      <c r="C167" s="1092" t="str">
        <f>HLOOKUP(LangChoice,Definitions_FlowLang!$C$2:$E$156,Definitions_FlowLang!$A90+1,FALSE)</f>
        <v>Agriculture/forestry</v>
      </c>
      <c r="D167" s="1092" t="s">
        <v>305</v>
      </c>
      <c r="E167" s="540" t="str">
        <f>HLOOKUP(LangChoice,Definitions_FlowLang!$F$2:$H$156,Definitions_FlowLang!$A90+1,FALSE)</f>
        <v>[ISIC Rev. 4 and NACE Divisions 01 and 02].
Includes deliveries to users classified as agriculture, hunting and forestry by the ISIC, and therefore includes energy consumed by such users whether for traction (excluding agricultural highway use), power or heating (agricultural and domestic).</v>
      </c>
    </row>
    <row r="168" spans="1:5" ht="78" customHeight="1" outlineLevel="1" x14ac:dyDescent="0.2">
      <c r="A168" s="1036"/>
      <c r="B168" s="542"/>
      <c r="C168" s="1092" t="str">
        <f>HLOOKUP(LangChoice,Definitions_FlowLang!$C$2:$E$156,Definitions_FlowLang!$A91+1,FALSE)</f>
        <v>Fishing</v>
      </c>
      <c r="D168" s="1092" t="s">
        <v>305</v>
      </c>
      <c r="E168" s="540" t="str">
        <f>HLOOKUP(LangChoice,Definitions_FlowLang!$F$2:$H$156,Definitions_FlowLang!$A91+1,FALSE)</f>
        <v>Report fuels used for inland, coastal and deep–sea fishing. Fishing should cover fuels delivered to ships of all flags that have refuelled in the country (include international fishing). Also include energy used in the fishing industry as specified in ISIC Division 03 and NACE Division 03. Prior to 2007 edition, fishing was included with agriculture/forestry and this may continue to be the case for some countries.</v>
      </c>
    </row>
    <row r="169" spans="1:5" ht="73.5" customHeight="1" outlineLevel="1" x14ac:dyDescent="0.2">
      <c r="A169" s="1036"/>
      <c r="B169" s="542"/>
      <c r="C169" s="1092" t="str">
        <f>HLOOKUP(LangChoice,Definitions_FlowLang!$C$2:$E$156,Definitions_FlowLang!$A92+1,FALSE)</f>
        <v>Non-specified (other)</v>
      </c>
      <c r="D169" s="1092" t="s">
        <v>305</v>
      </c>
      <c r="E169" s="540" t="str">
        <f>HLOOKUP(LangChoice,Definitions_FlowLang!$F$2:$H$156,Definitions_FlowLang!$A92+1,FALSE)</f>
        <v>Report activities not included elsewhere. This category includes military fuel use for all mobile and stationary consumption (e.g. ships, aircraft, road and energy used in living quarters), regardless of whether the fuel delivered is for the military of that country or for the military of another country.</v>
      </c>
    </row>
    <row r="170" spans="1:5" ht="46.5" customHeight="1" outlineLevel="1" x14ac:dyDescent="0.2">
      <c r="A170" s="1036"/>
      <c r="B170" s="542"/>
      <c r="C170" s="1092" t="str">
        <f>HLOOKUP(LangChoice,Definitions_FlowLang!$C$2:$E$156,Definitions_FlowLang!$A93+1,FALSE)</f>
        <v>Non-energy use</v>
      </c>
      <c r="D170" s="1092" t="s">
        <v>305</v>
      </c>
      <c r="E170" s="540" t="str">
        <f>HLOOKUP(LangChoice,Definitions_FlowLang!$F$2:$H$156,Definitions_FlowLang!$A93+1,FALSE)</f>
        <v>Non-energy use covers those fuels that are used as raw materials in the different sectors and are not consumed as a fuel or transformed into another fuel. Non-energy use is shown separately in final consumption under the heading non-energy use.</v>
      </c>
    </row>
    <row r="171" spans="1:5" ht="46.5" customHeight="1" outlineLevel="1" x14ac:dyDescent="0.2">
      <c r="A171" s="1036"/>
      <c r="B171" s="542"/>
      <c r="C171" s="1092" t="str">
        <f>HLOOKUP(LangChoice,Definitions_FlowLang!$C$2:$E$156,Definitions_FlowLang!$A94+1,FALSE)</f>
        <v>Non-energy use industry/transformation/energy</v>
      </c>
      <c r="D171" s="1092" t="s">
        <v>305</v>
      </c>
      <c r="E171" s="540" t="str">
        <f>HLOOKUP(LangChoice,Definitions_FlowLang!$F$2:$H$156,Definitions_FlowLang!$A94+1,FALSE)</f>
        <v>Non-energy in industry, transformation processes and energy industry own use.</v>
      </c>
    </row>
    <row r="172" spans="1:5" ht="46.5" customHeight="1" outlineLevel="1" x14ac:dyDescent="0.2">
      <c r="A172" s="1036"/>
      <c r="B172" s="542"/>
      <c r="C172" s="1092" t="str">
        <f>HLOOKUP(LangChoice,Definitions_FlowLang!$C$2:$E$156,Definitions_FlowLang!$A95+1,FALSE)</f>
        <v>Non-energy use in transport</v>
      </c>
      <c r="D172" s="1092" t="s">
        <v>305</v>
      </c>
      <c r="E172" s="540" t="str">
        <f>HLOOKUP(LangChoice,Definitions_FlowLang!$F$2:$H$156,Definitions_FlowLang!$A95+1,FALSE)</f>
        <v>Non-energy use in transport.</v>
      </c>
    </row>
    <row r="173" spans="1:5" ht="46.5" customHeight="1" outlineLevel="1" x14ac:dyDescent="0.2">
      <c r="A173" s="1036"/>
      <c r="B173" s="542"/>
      <c r="C173" s="1092" t="str">
        <f>HLOOKUP(LangChoice,Definitions_FlowLang!$C$2:$E$156,Definitions_FlowLang!$A96+1,FALSE)</f>
        <v>Non-energy use in other</v>
      </c>
      <c r="D173" s="1092" t="s">
        <v>305</v>
      </c>
      <c r="E173" s="540" t="str">
        <f>HLOOKUP(LangChoice,Definitions_FlowLang!$F$2:$H$156,Definitions_FlowLang!$A96+1,FALSE)</f>
        <v>Non-energy use in Commercial and public services, Residential, Agriculture and Not elsewhere specified - Other sectors.</v>
      </c>
    </row>
    <row r="174" spans="1:5" ht="78.75" customHeight="1" outlineLevel="1" x14ac:dyDescent="0.2">
      <c r="A174" s="1036"/>
      <c r="B174" s="542"/>
      <c r="C174" s="1092" t="str">
        <f>HLOOKUP(LangChoice,Definitions_FlowLang!$C$2:$E$156,Definitions_FlowLang!$A97+1,FALSE)</f>
        <v>Memo: Non-energy use chemical/petrochemical</v>
      </c>
      <c r="D174" s="1092" t="s">
        <v>305</v>
      </c>
      <c r="E174" s="540" t="str">
        <f>HLOOKUP(LangChoice,Definitions_FlowLang!$F$2:$H$156,Definitions_FlowLang!$A97+1,FALSE)</f>
        <v>Report quantities used in the petrochemical industry for the purpose of producing ethylene, propylene, butylene, synthesis gas, aromatics, butadiene and other hydrocarbon–based raw materials in processes such as steam cracking, aromatics plants and steam reforming [part of ISIC Rev. 4 Group 201]. Exclude amounts of oil used for fuel purposes.</v>
      </c>
    </row>
    <row r="175" spans="1:5" s="519" customFormat="1" ht="32.1" customHeight="1" x14ac:dyDescent="0.2">
      <c r="A175" s="1034"/>
      <c r="B175" s="1035"/>
      <c r="C175" s="859" t="str">
        <f>HLOOKUP(LangChoice,Definitions_FlowLang!$C$2:$E$156,Definitions_FlowLang!$A98+1,FALSE)</f>
        <v>Electricity and heat output</v>
      </c>
      <c r="D175" s="524" t="s">
        <v>305</v>
      </c>
      <c r="E175" s="843"/>
    </row>
    <row r="176" spans="1:5" ht="46.5" customHeight="1" outlineLevel="1" x14ac:dyDescent="0.2">
      <c r="A176" s="1037"/>
      <c r="B176" s="1095"/>
      <c r="C176" s="1096" t="str">
        <f>HLOOKUP(LangChoice,Definitions_FlowLang!$C$2:$E$156,Definitions_FlowLang!$A99+1,FALSE)</f>
        <v>Electricity output in GWh</v>
      </c>
      <c r="D176" s="1092" t="s">
        <v>305</v>
      </c>
      <c r="E176" s="1097" t="str">
        <f>HLOOKUP(LangChoice,Definitions_FlowLang!$F$2:$H$156,Definitions_FlowLang!$A99+1,FALSE)</f>
        <v>Shows the total number of GWh generated by power plants separated into electricity plants and CHP plants.</v>
      </c>
    </row>
    <row r="177" spans="1:5" ht="57.75" customHeight="1" outlineLevel="1" x14ac:dyDescent="0.2">
      <c r="A177" s="1037"/>
      <c r="B177" s="1095"/>
      <c r="C177" s="1096" t="str">
        <f>HLOOKUP(LangChoice,Definitions_FlowLang!$C$2:$E$156,Definitions_FlowLang!$A108+1,FALSE)</f>
        <v>Heat output in TJ</v>
      </c>
      <c r="D177" s="1092" t="s">
        <v>305</v>
      </c>
      <c r="E177" s="1097" t="str">
        <f>HLOOKUP(LangChoice,Definitions_FlowLang!$F$2:$H$156,Definitions_FlowLang!$A108+1,FALSE)</f>
        <v>Shows the total amount of TJ generated by power plants separated into CHP plants and heat plants.</v>
      </c>
    </row>
  </sheetData>
  <sheetProtection sheet="1" objects="1" scenarios="1"/>
  <mergeCells count="2">
    <mergeCell ref="A85:C85"/>
    <mergeCell ref="A11:C11"/>
  </mergeCells>
  <phoneticPr fontId="9" type="noConversion"/>
  <hyperlinks>
    <hyperlink ref="C4" location="ANTCOAL" display="Coal and Peat" xr:uid="{00000000-0004-0000-0300-000000000000}"/>
    <hyperlink ref="C7" location="NATGAS" display="Natural Gas" xr:uid="{00000000-0004-0000-0300-000001000000}"/>
    <hyperlink ref="C5" location="CRUDEOIL" display="Crude, NGL, refinery feedstocks" xr:uid="{00000000-0004-0000-0300-000002000000}"/>
    <hyperlink ref="C6" location="REFINGAS" display="Oil products" xr:uid="{00000000-0004-0000-0300-000003000000}"/>
    <hyperlink ref="C8" location="INDWASTE" display="Biofuels and waste" xr:uid="{00000000-0004-0000-0300-000004000000}"/>
    <hyperlink ref="C9" location="NUCLEAR" display="Electricity and heat" xr:uid="{00000000-0004-0000-0300-000005000000}"/>
    <hyperlink ref="E4" location="INDPROD" display="Supply" xr:uid="{00000000-0004-0000-0300-000006000000}"/>
    <hyperlink ref="E5" location="TOTTRANF" display="Transformation Processes" xr:uid="{00000000-0004-0000-0300-000007000000}"/>
    <hyperlink ref="E6" location="TOTENGY" display="Energy industry own use and Losses" xr:uid="{00000000-0004-0000-0300-000008000000}"/>
    <hyperlink ref="E7" location="FINCONS" display="Final consumption" xr:uid="{00000000-0004-0000-0300-000009000000}"/>
    <hyperlink ref="E8" location="ELOUTPUT" display="Electricity output (GWh)" xr:uid="{00000000-0004-0000-0300-00000A000000}"/>
    <hyperlink ref="E11" r:id="rId1" xr:uid="{00000000-0004-0000-0300-00000B000000}"/>
    <hyperlink ref="E85" r:id="rId2" xr:uid="{00000000-0004-0000-0300-00000C000000}"/>
  </hyperlinks>
  <pageMargins left="0.75" right="0.75" top="1" bottom="1" header="0.5" footer="0.5"/>
  <pageSetup paperSize="9" orientation="landscape" r:id="rId3"/>
  <headerFooter alignWithMargins="0"/>
  <drawing r:id="rId4"/>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theme="9" tint="0.59999389629810485"/>
  </sheetPr>
  <dimension ref="A1:AZ65"/>
  <sheetViews>
    <sheetView showGridLines="0" topLeftCell="A4" zoomScaleNormal="100" workbookViewId="0">
      <selection activeCell="Q41" sqref="Q41"/>
    </sheetView>
  </sheetViews>
  <sheetFormatPr defaultRowHeight="12.75" x14ac:dyDescent="0.2"/>
  <cols>
    <col min="1" max="1" width="12.7109375" customWidth="1"/>
    <col min="2" max="2" width="19.85546875" customWidth="1"/>
    <col min="3" max="3" width="6.7109375" customWidth="1"/>
    <col min="4" max="4" width="7.140625" bestFit="1" customWidth="1"/>
    <col min="5" max="5" width="6.28515625" customWidth="1"/>
    <col min="6" max="6" width="5.42578125" bestFit="1" customWidth="1"/>
    <col min="7" max="7" width="6.42578125" bestFit="1" customWidth="1"/>
    <col min="8" max="8" width="4.7109375" customWidth="1"/>
    <col min="9" max="9" width="12.140625" customWidth="1"/>
    <col min="10" max="10" width="13.85546875" customWidth="1"/>
    <col min="11" max="11" width="6.7109375" bestFit="1" customWidth="1"/>
    <col min="12" max="12" width="7.140625" bestFit="1" customWidth="1"/>
    <col min="13" max="13" width="5.85546875" bestFit="1" customWidth="1"/>
    <col min="14" max="14" width="5.5703125" customWidth="1"/>
    <col min="15" max="15" width="12" customWidth="1"/>
    <col min="16" max="16" width="0.7109375" customWidth="1"/>
    <col min="27" max="27" width="8.5703125" hidden="1" customWidth="1"/>
    <col min="28" max="30" width="24.28515625" hidden="1" customWidth="1"/>
    <col min="31" max="31" width="22.42578125" hidden="1" customWidth="1"/>
    <col min="32" max="32" width="8.5703125" hidden="1" customWidth="1"/>
    <col min="33" max="52" width="9.140625" hidden="1" customWidth="1"/>
  </cols>
  <sheetData>
    <row r="1" spans="1:32" ht="43.5" customHeight="1" x14ac:dyDescent="0.2">
      <c r="A1" s="2128" t="str">
        <f>HLOOKUP(LangChoice,$AB$8:$AD$40,$AA9+1,FALSE)</f>
        <v>Data validation: Iron and steel sector</v>
      </c>
      <c r="B1" s="2130"/>
      <c r="C1" s="2114"/>
      <c r="D1" s="2114"/>
      <c r="E1" s="2114"/>
      <c r="F1" s="2114"/>
      <c r="G1" s="2114"/>
      <c r="H1" s="2114"/>
      <c r="I1" s="2114"/>
      <c r="J1" s="2114"/>
      <c r="K1" s="2114"/>
      <c r="L1" s="2114"/>
      <c r="M1" s="2114"/>
      <c r="N1" s="2114"/>
      <c r="O1" s="2114"/>
      <c r="P1" s="2114"/>
      <c r="AA1" s="1183" t="s">
        <v>1</v>
      </c>
      <c r="AB1" s="617"/>
      <c r="AC1" s="617"/>
      <c r="AD1" s="617"/>
      <c r="AE1" s="617"/>
      <c r="AF1" s="1181" t="s">
        <v>8050</v>
      </c>
    </row>
    <row r="2" spans="1:32" ht="12.75" customHeight="1" x14ac:dyDescent="0.2">
      <c r="A2" s="259" t="str">
        <f>IronSteel_CokeOven!A2</f>
        <v>Checks:</v>
      </c>
      <c r="B2" s="20"/>
      <c r="C2" s="20"/>
      <c r="D2" s="259" t="str">
        <f>IronSteel_CokeOven!E2</f>
        <v>Process details:</v>
      </c>
      <c r="F2" s="259"/>
      <c r="G2" s="20"/>
      <c r="H2" s="20"/>
      <c r="I2" s="20"/>
      <c r="J2" s="20"/>
      <c r="K2" s="20"/>
      <c r="L2" s="20"/>
      <c r="M2" s="20"/>
    </row>
    <row r="3" spans="1:32" ht="12.75" customHeight="1" x14ac:dyDescent="0.2">
      <c r="A3" s="562" t="s">
        <v>8120</v>
      </c>
      <c r="B3" s="259" t="str">
        <f>HLOOKUP(LangChoice,$AB$8:$AD$40,$AA16+1,FALSE)</f>
        <v>Blast furnace process:</v>
      </c>
      <c r="C3" s="20"/>
      <c r="D3" s="2411" t="s">
        <v>8052</v>
      </c>
      <c r="E3" s="2411"/>
      <c r="F3" s="2411"/>
      <c r="G3" s="2411"/>
      <c r="H3" s="20"/>
      <c r="I3" s="20"/>
    </row>
    <row r="4" spans="1:32" ht="12.75" customHeight="1" x14ac:dyDescent="0.2">
      <c r="A4" s="561" t="s">
        <v>8121</v>
      </c>
      <c r="B4" s="564" t="str">
        <f>HLOOKUP(LangChoice,$AB$8:$AD$40,$AA17+1,FALSE)</f>
        <v>Blast furnace ratio</v>
      </c>
      <c r="C4" s="20"/>
      <c r="D4" s="20"/>
      <c r="E4" s="20"/>
      <c r="F4" s="20"/>
      <c r="G4" s="20"/>
      <c r="H4" s="20"/>
      <c r="I4" s="20"/>
    </row>
    <row r="5" spans="1:32" ht="12.75" customHeight="1" x14ac:dyDescent="0.2">
      <c r="A5" s="565"/>
      <c r="B5" s="566"/>
      <c r="C5" s="32"/>
      <c r="D5" s="32"/>
      <c r="E5" s="32"/>
      <c r="F5" s="32"/>
      <c r="G5" s="32"/>
      <c r="H5" s="32"/>
      <c r="I5" s="32"/>
      <c r="J5" s="700"/>
      <c r="K5" s="701"/>
      <c r="L5" s="701"/>
      <c r="M5" s="701"/>
      <c r="N5" s="701"/>
      <c r="O5" s="673"/>
      <c r="P5" s="673"/>
    </row>
    <row r="6" spans="1:32" ht="5.0999999999999996" customHeight="1" x14ac:dyDescent="0.2">
      <c r="A6" s="561"/>
      <c r="B6" s="564"/>
      <c r="C6" s="20"/>
      <c r="D6" s="20"/>
      <c r="E6" s="20"/>
      <c r="F6" s="20"/>
      <c r="G6" s="20"/>
      <c r="H6" s="20"/>
      <c r="I6" s="20"/>
      <c r="J6" s="699"/>
      <c r="K6" s="592"/>
      <c r="L6" s="592"/>
      <c r="M6" s="592"/>
      <c r="N6" s="592"/>
    </row>
    <row r="7" spans="1:32" ht="69" customHeight="1" x14ac:dyDescent="0.2">
      <c r="A7" s="2416" t="str">
        <f>HLOOKUP(LangChoice,$AB$8:$AD$40,$AA10+1,FALSE)</f>
        <v>Blast furnaces are used to manufacture iron of which the large majority is made into steel. The inputs to blast furnaces are iron oxide ore, fluxes (limestone or lime) to assist the flow of molten metal through the coke bed and remove acidities, and coke to provide heat and an open matrix structure to support the ore and fluxes and allow the molten iron to pass to the bottom of the furnace.
Not all of the carbon monoxide (CO) is converted to carbon dioxide (CO2) in the process and the excess passes out of the blast furnace into the blast-furnace gas. The presence of carbon monoxide in the blast-furnace gas gives it a heating value. The temperature of the blast air as it enters the furnace may be as high as 900°C and provides most of the heat requirement.</v>
      </c>
      <c r="B7" s="2416"/>
      <c r="C7" s="2416"/>
      <c r="D7" s="2416"/>
      <c r="E7" s="2416"/>
      <c r="F7" s="2416"/>
      <c r="G7" s="2416"/>
      <c r="H7" s="2416"/>
      <c r="I7" s="2416"/>
      <c r="J7" s="2416"/>
      <c r="K7" s="2416"/>
      <c r="L7" s="2416"/>
      <c r="M7" s="2416"/>
      <c r="N7" s="2416"/>
      <c r="O7" s="2416"/>
      <c r="P7" s="2416"/>
      <c r="AA7" s="20"/>
      <c r="AB7" s="530" t="s">
        <v>8055</v>
      </c>
      <c r="AC7" s="531"/>
      <c r="AD7" s="531"/>
    </row>
    <row r="8" spans="1:32" ht="12.75" customHeight="1" x14ac:dyDescent="0.2">
      <c r="A8" s="561"/>
      <c r="B8" s="564"/>
      <c r="C8" s="20"/>
      <c r="D8" s="20"/>
      <c r="E8" s="20"/>
      <c r="F8" s="20"/>
      <c r="G8" s="20"/>
      <c r="H8" s="20"/>
      <c r="I8" s="20"/>
      <c r="J8" s="699"/>
      <c r="K8" s="592"/>
      <c r="L8" s="592"/>
      <c r="M8" s="592"/>
      <c r="N8" s="592"/>
      <c r="AA8" s="20"/>
      <c r="AB8" s="530" t="s">
        <v>7</v>
      </c>
      <c r="AC8" s="530" t="s">
        <v>8</v>
      </c>
      <c r="AD8" s="530" t="s">
        <v>9</v>
      </c>
    </row>
    <row r="9" spans="1:32" ht="12.75" customHeight="1" x14ac:dyDescent="0.2">
      <c r="A9" s="561"/>
      <c r="B9" s="564"/>
      <c r="C9" s="20"/>
      <c r="D9" s="20"/>
      <c r="E9" s="20"/>
      <c r="F9" s="20"/>
      <c r="G9" s="20"/>
      <c r="H9" s="20"/>
      <c r="I9" s="20"/>
      <c r="J9" s="699"/>
      <c r="K9" s="592"/>
      <c r="L9" s="592"/>
      <c r="M9" s="592"/>
      <c r="N9" s="592"/>
      <c r="AA9" s="20">
        <v>1</v>
      </c>
      <c r="AB9" s="606" t="s">
        <v>8056</v>
      </c>
      <c r="AC9" s="606" t="s">
        <v>8057</v>
      </c>
      <c r="AD9" s="1134" t="s">
        <v>148</v>
      </c>
    </row>
    <row r="10" spans="1:32" ht="12.75" customHeight="1" x14ac:dyDescent="0.2">
      <c r="A10" s="561"/>
      <c r="B10" s="564"/>
      <c r="C10" s="20"/>
      <c r="D10" s="20"/>
      <c r="E10" s="20"/>
      <c r="F10" s="20"/>
      <c r="G10" s="20"/>
      <c r="H10" s="20"/>
      <c r="I10" s="20"/>
      <c r="J10" s="699"/>
      <c r="K10" s="592"/>
      <c r="L10" s="592"/>
      <c r="M10" s="592"/>
      <c r="N10" s="592"/>
      <c r="AA10" s="20">
        <v>2</v>
      </c>
      <c r="AB10" s="1134" t="s">
        <v>8122</v>
      </c>
      <c r="AC10" s="1134" t="s">
        <v>8123</v>
      </c>
      <c r="AD10" s="1134" t="s">
        <v>148</v>
      </c>
      <c r="AE10" s="1235" t="s">
        <v>8060</v>
      </c>
      <c r="AF10" s="1194"/>
    </row>
    <row r="11" spans="1:32" ht="12.75" customHeight="1" x14ac:dyDescent="0.2">
      <c r="A11" s="561"/>
      <c r="B11" s="564"/>
      <c r="C11" s="20"/>
      <c r="D11" s="20"/>
      <c r="E11" s="20"/>
      <c r="F11" s="20"/>
      <c r="G11" s="20"/>
      <c r="H11" s="20"/>
      <c r="I11" s="2427" t="str">
        <f>B4&amp; " ="</f>
        <v>Blast furnace ratio =</v>
      </c>
      <c r="J11" s="2427"/>
      <c r="K11" s="2401" t="str">
        <f>B40 &amp; " + " &amp; B41</f>
        <v>Blast furnace gas + Other recovered gases</v>
      </c>
      <c r="L11" s="2401"/>
      <c r="M11" s="2401"/>
      <c r="N11" s="2401"/>
      <c r="O11" s="2401"/>
      <c r="AA11" s="20">
        <v>3</v>
      </c>
      <c r="AB11" s="1134" t="s">
        <v>8124</v>
      </c>
      <c r="AC11" s="1134" t="s">
        <v>8125</v>
      </c>
      <c r="AD11" s="1134" t="s">
        <v>148</v>
      </c>
      <c r="AE11" s="1236">
        <v>0</v>
      </c>
      <c r="AF11" s="652" t="b">
        <f ca="1">IF($G$45&lt;AE11,TRUE,FALSE)</f>
        <v>0</v>
      </c>
    </row>
    <row r="12" spans="1:32" ht="12.75" customHeight="1" x14ac:dyDescent="0.2">
      <c r="A12" s="561"/>
      <c r="B12" s="564"/>
      <c r="C12" s="20"/>
      <c r="D12" s="20"/>
      <c r="E12" s="20"/>
      <c r="F12" s="20"/>
      <c r="G12" s="20"/>
      <c r="H12" s="20"/>
      <c r="I12" s="2427"/>
      <c r="J12" s="2427"/>
      <c r="K12" s="2402" t="str">
        <f>B36 &amp; " + " &amp; B37</f>
        <v>Coke oven coke + Pulverized coal injection</v>
      </c>
      <c r="L12" s="2402"/>
      <c r="M12" s="2402"/>
      <c r="N12" s="2402"/>
      <c r="O12" s="2402"/>
      <c r="AA12" s="20">
        <v>4</v>
      </c>
      <c r="AB12" s="1134" t="s">
        <v>8126</v>
      </c>
      <c r="AC12" s="1134" t="s">
        <v>8127</v>
      </c>
      <c r="AD12" s="1134" t="s">
        <v>148</v>
      </c>
      <c r="AE12" s="1236">
        <v>0.35</v>
      </c>
      <c r="AF12" s="652" t="b">
        <f ca="1">IF($G$45&lt;AE12,TRUE,FALSE)</f>
        <v>1</v>
      </c>
    </row>
    <row r="13" spans="1:32" ht="12.75" customHeight="1" x14ac:dyDescent="0.2">
      <c r="A13" s="561"/>
      <c r="B13" s="564"/>
      <c r="C13" s="20"/>
      <c r="D13" s="20"/>
      <c r="E13" s="20"/>
      <c r="F13" s="20"/>
      <c r="G13" s="20"/>
      <c r="H13" s="20"/>
      <c r="I13" s="20"/>
      <c r="J13" s="699"/>
      <c r="K13" s="592"/>
      <c r="L13" s="592"/>
      <c r="M13" s="592"/>
      <c r="N13" s="592"/>
      <c r="AA13" s="20">
        <v>5</v>
      </c>
      <c r="AB13" s="1134" t="s">
        <v>8128</v>
      </c>
      <c r="AC13" s="1134" t="s">
        <v>8129</v>
      </c>
      <c r="AD13" s="1134" t="s">
        <v>148</v>
      </c>
      <c r="AE13" s="1236">
        <v>0.45</v>
      </c>
      <c r="AF13" s="652" t="b">
        <f ca="1">IF($G$45&lt;AE13,TRUE,FALSE)</f>
        <v>1</v>
      </c>
    </row>
    <row r="14" spans="1:32" ht="12.75" customHeight="1" x14ac:dyDescent="0.2">
      <c r="A14" s="561"/>
      <c r="B14" s="564"/>
      <c r="C14" s="20"/>
      <c r="D14" s="20"/>
      <c r="E14" s="20"/>
      <c r="F14" s="20"/>
      <c r="G14" s="20"/>
      <c r="H14" s="20"/>
      <c r="I14" s="20"/>
      <c r="J14" s="2403" t="s">
        <v>8130</v>
      </c>
      <c r="K14" s="2401" t="str">
        <f ca="1">TEXT(G40,"0")  &amp; " "&amp; $H$36 &amp; " + " &amp;  TEXT(G41,"0")  &amp; " "&amp; $H$36</f>
        <v>0 ktoe + 0 ktoe</v>
      </c>
      <c r="L14" s="2401"/>
      <c r="M14" s="2401"/>
      <c r="N14" s="2401"/>
      <c r="O14" s="2401"/>
      <c r="AA14" s="20">
        <v>6</v>
      </c>
      <c r="AB14" s="1134" t="s">
        <v>8131</v>
      </c>
      <c r="AC14" s="1134" t="s">
        <v>8132</v>
      </c>
      <c r="AD14" s="1134" t="s">
        <v>148</v>
      </c>
      <c r="AE14" s="1236">
        <v>1</v>
      </c>
      <c r="AF14" s="652" t="b">
        <f ca="1">IF($G$45&lt;AE14,TRUE,FALSE)</f>
        <v>1</v>
      </c>
    </row>
    <row r="15" spans="1:32" ht="12.75" customHeight="1" x14ac:dyDescent="0.2">
      <c r="A15" s="561"/>
      <c r="B15" s="564"/>
      <c r="C15" s="20"/>
      <c r="D15" s="20"/>
      <c r="E15" s="20"/>
      <c r="F15" s="20"/>
      <c r="G15" s="20"/>
      <c r="H15" s="20"/>
      <c r="I15" s="20"/>
      <c r="J15" s="2403"/>
      <c r="K15" s="2402" t="str">
        <f>TEXT(G36,"0")  &amp; " "&amp; $H$36 &amp; IF(G37=0,""," + " &amp;TEXT(G37,"0")  &amp; " "&amp; $H$36)</f>
        <v>664 ktoe</v>
      </c>
      <c r="L15" s="2402"/>
      <c r="M15" s="2402"/>
      <c r="N15" s="2402"/>
      <c r="O15" s="2402"/>
      <c r="AA15" s="20">
        <v>7</v>
      </c>
      <c r="AB15" s="1134" t="s">
        <v>8133</v>
      </c>
      <c r="AC15" s="1134" t="s">
        <v>8134</v>
      </c>
      <c r="AD15" s="1134" t="s">
        <v>148</v>
      </c>
      <c r="AE15" s="625" t="s">
        <v>8072</v>
      </c>
      <c r="AF15" s="1169"/>
    </row>
    <row r="16" spans="1:32" ht="12.75" customHeight="1" x14ac:dyDescent="0.2">
      <c r="A16" s="561"/>
      <c r="B16" s="564"/>
      <c r="C16" s="20"/>
      <c r="D16" s="20"/>
      <c r="E16" s="20"/>
      <c r="F16" s="20"/>
      <c r="G16" s="20"/>
      <c r="H16" s="20"/>
      <c r="I16" s="20"/>
      <c r="J16" s="699"/>
      <c r="K16" s="592"/>
      <c r="L16" s="592"/>
      <c r="M16" s="592"/>
      <c r="N16" s="592"/>
      <c r="AA16" s="20">
        <v>8</v>
      </c>
      <c r="AB16" s="1134" t="s">
        <v>8135</v>
      </c>
      <c r="AC16" s="1134" t="s">
        <v>8136</v>
      </c>
      <c r="AD16" s="1134" t="s">
        <v>148</v>
      </c>
      <c r="AE16" s="627" t="s">
        <v>8137</v>
      </c>
      <c r="AF16" s="1237">
        <f ca="1">IFERROR(MATCH(TRUE,AF11:AF14,0)+3,AA15+1)</f>
        <v>5</v>
      </c>
    </row>
    <row r="17" spans="1:30" ht="12.75" customHeight="1" x14ac:dyDescent="0.2">
      <c r="A17" s="561"/>
      <c r="B17" s="564"/>
      <c r="C17" s="20"/>
      <c r="D17" s="20"/>
      <c r="E17" s="20"/>
      <c r="F17" s="20"/>
      <c r="G17" s="20"/>
      <c r="H17" s="20"/>
      <c r="I17" s="20"/>
      <c r="J17" s="689" t="s">
        <v>8130</v>
      </c>
      <c r="K17" s="1051">
        <f ca="1">G45</f>
        <v>0</v>
      </c>
      <c r="L17" s="592"/>
      <c r="M17" s="592"/>
      <c r="N17" s="592"/>
      <c r="AA17" s="20">
        <v>9</v>
      </c>
      <c r="AB17" s="1134" t="s">
        <v>8138</v>
      </c>
      <c r="AC17" s="1134" t="s">
        <v>8139</v>
      </c>
      <c r="AD17" s="1134" t="s">
        <v>148</v>
      </c>
    </row>
    <row r="18" spans="1:30" ht="12.75" customHeight="1" x14ac:dyDescent="0.2">
      <c r="A18" s="561"/>
      <c r="B18" s="564"/>
      <c r="C18" s="20"/>
      <c r="D18" s="20"/>
      <c r="E18" s="20"/>
      <c r="F18" s="20"/>
      <c r="G18" s="20"/>
      <c r="H18" s="20"/>
      <c r="I18" s="20"/>
      <c r="J18" s="690"/>
      <c r="K18" s="592"/>
      <c r="L18" s="592"/>
      <c r="M18" s="592"/>
      <c r="N18" s="592"/>
      <c r="AA18" s="20">
        <v>10</v>
      </c>
      <c r="AB18" s="1134" t="s">
        <v>8140</v>
      </c>
      <c r="AC18" s="1134" t="s">
        <v>8141</v>
      </c>
      <c r="AD18" s="1134" t="s">
        <v>148</v>
      </c>
    </row>
    <row r="19" spans="1:30" ht="12.75" customHeight="1" x14ac:dyDescent="0.2">
      <c r="A19" s="561"/>
      <c r="B19" s="564"/>
      <c r="C19" s="20"/>
      <c r="D19" s="20"/>
      <c r="E19" s="20"/>
      <c r="F19" s="20"/>
      <c r="G19" s="20"/>
      <c r="H19" s="20"/>
      <c r="I19" s="20"/>
      <c r="J19" s="699"/>
      <c r="K19" s="592" t="str">
        <f>IronSteel_CokeOven!K19</f>
        <v>Ranges:</v>
      </c>
      <c r="L19" s="592"/>
      <c r="M19" s="592"/>
      <c r="N19" s="592"/>
      <c r="AA19" s="20">
        <v>11</v>
      </c>
      <c r="AB19" s="1134" t="s">
        <v>8142</v>
      </c>
      <c r="AC19" s="1134" t="s">
        <v>8143</v>
      </c>
      <c r="AD19" s="1134" t="s">
        <v>148</v>
      </c>
    </row>
    <row r="20" spans="1:30" ht="12.75" customHeight="1" x14ac:dyDescent="0.2">
      <c r="A20" s="561"/>
      <c r="B20" s="564"/>
      <c r="C20" s="20"/>
      <c r="D20" s="20"/>
      <c r="E20" s="20"/>
      <c r="F20" s="20"/>
      <c r="G20" s="20"/>
      <c r="H20" s="20"/>
      <c r="I20" s="20"/>
      <c r="J20" s="699"/>
      <c r="K20" s="564" t="str">
        <f>"&lt; " &amp; TEXT(AE12,"0%")</f>
        <v>&lt; 35%</v>
      </c>
      <c r="M20" s="20" t="str">
        <f>IronSteel_CokeOven!M20</f>
        <v>Low</v>
      </c>
      <c r="N20" s="592"/>
      <c r="AA20" s="20">
        <v>12</v>
      </c>
      <c r="AB20" s="1134" t="s">
        <v>8144</v>
      </c>
      <c r="AC20" s="1134" t="s">
        <v>8145</v>
      </c>
      <c r="AD20" s="1134" t="s">
        <v>148</v>
      </c>
    </row>
    <row r="21" spans="1:30" ht="12.75" customHeight="1" x14ac:dyDescent="0.2">
      <c r="A21" s="561"/>
      <c r="B21" s="564"/>
      <c r="C21" s="20"/>
      <c r="D21" s="20"/>
      <c r="E21" s="20"/>
      <c r="F21" s="20"/>
      <c r="G21" s="20"/>
      <c r="H21" s="20"/>
      <c r="I21" s="20"/>
      <c r="J21" s="699"/>
      <c r="K21" s="564" t="str">
        <f>TEXT(AE12,"0%") &amp; " - " &amp; TEXT(AE13,"0%")</f>
        <v>35% - 45%</v>
      </c>
      <c r="M21" s="20" t="str">
        <f>IronSteel_CokeOven!M21</f>
        <v>Reasonable</v>
      </c>
      <c r="N21" s="592"/>
      <c r="AA21" s="20">
        <v>13</v>
      </c>
      <c r="AB21" s="1134" t="s">
        <v>8146</v>
      </c>
      <c r="AC21" s="1134" t="s">
        <v>8147</v>
      </c>
      <c r="AD21" s="1134" t="s">
        <v>148</v>
      </c>
    </row>
    <row r="22" spans="1:30" ht="12.75" customHeight="1" x14ac:dyDescent="0.2">
      <c r="A22" s="561"/>
      <c r="B22" s="564"/>
      <c r="C22" s="20"/>
      <c r="D22" s="20"/>
      <c r="E22" s="20"/>
      <c r="F22" s="20"/>
      <c r="G22" s="20"/>
      <c r="H22" s="20"/>
      <c r="I22" s="20"/>
      <c r="J22" s="699"/>
      <c r="K22" s="564" t="str">
        <f>TEXT(AE13,"0%") &amp; " - " &amp; TEXT(AE14,"0%")</f>
        <v>45% - 100%</v>
      </c>
      <c r="M22" s="20" t="str">
        <f>IronSteel_CokeOven!M22</f>
        <v>High</v>
      </c>
      <c r="N22" s="592"/>
      <c r="AA22" s="20">
        <v>14</v>
      </c>
      <c r="AB22" s="1134" t="s">
        <v>8148</v>
      </c>
      <c r="AC22" s="1134" t="s">
        <v>8149</v>
      </c>
      <c r="AD22" s="1134" t="s">
        <v>148</v>
      </c>
    </row>
    <row r="23" spans="1:30" ht="12.75" customHeight="1" x14ac:dyDescent="0.2">
      <c r="A23" s="561"/>
      <c r="B23" s="564"/>
      <c r="C23" s="20"/>
      <c r="D23" s="20"/>
      <c r="E23" s="20"/>
      <c r="F23" s="20"/>
      <c r="G23" s="20"/>
      <c r="H23" s="20"/>
      <c r="I23" s="20"/>
      <c r="J23" s="699"/>
      <c r="K23" s="564" t="str">
        <f>"&gt; " &amp; TEXT(AE14,"0%")</f>
        <v>&gt; 100%</v>
      </c>
      <c r="M23" s="20" t="str">
        <f>IronSteel_CokeOven!M23</f>
        <v>Impossible</v>
      </c>
      <c r="N23" s="592"/>
      <c r="AA23" s="20">
        <v>15</v>
      </c>
      <c r="AB23" s="1134" t="s">
        <v>8101</v>
      </c>
      <c r="AC23" s="1134" t="s">
        <v>8102</v>
      </c>
      <c r="AD23" s="1134" t="s">
        <v>148</v>
      </c>
    </row>
    <row r="24" spans="1:30" ht="12.75" customHeight="1" x14ac:dyDescent="0.2">
      <c r="A24" s="561"/>
      <c r="B24" s="564"/>
      <c r="C24" s="20"/>
      <c r="D24" s="20"/>
      <c r="E24" s="20"/>
      <c r="F24" s="20"/>
      <c r="G24" s="20"/>
      <c r="H24" s="20"/>
      <c r="I24" s="20"/>
      <c r="J24" s="699"/>
      <c r="K24" s="592"/>
      <c r="L24" s="592"/>
      <c r="M24" s="592"/>
      <c r="N24" s="592"/>
      <c r="AA24" s="20">
        <v>16</v>
      </c>
      <c r="AB24" s="1134"/>
      <c r="AC24" s="1234"/>
      <c r="AD24" s="1234"/>
    </row>
    <row r="25" spans="1:30" ht="12.75" customHeight="1" x14ac:dyDescent="0.2">
      <c r="A25" s="561"/>
      <c r="B25" s="564"/>
      <c r="C25" s="20"/>
      <c r="D25" s="20"/>
      <c r="E25" s="20"/>
      <c r="F25" s="20"/>
      <c r="G25" s="20"/>
      <c r="H25" s="20"/>
      <c r="I25" s="20"/>
      <c r="J25" s="699"/>
      <c r="K25" s="2418" t="str">
        <f ca="1">IF($K$17="..",HLOOKUP(LangChoice,$AB$8:$AD$40,$AA23+1,FALSE),HLOOKUP(LangChoice,$AB$8:$AD$15,AF16,FALSE))</f>
        <v>Blast furnace ratio is rather low. Please verify the input and output values.</v>
      </c>
      <c r="L25" s="2419"/>
      <c r="M25" s="2419"/>
      <c r="N25" s="2419"/>
      <c r="O25" s="2420"/>
      <c r="AA25" s="20">
        <v>17</v>
      </c>
      <c r="AB25" s="20"/>
    </row>
    <row r="26" spans="1:30" ht="12.75" customHeight="1" x14ac:dyDescent="0.2">
      <c r="A26" s="561"/>
      <c r="B26" s="564"/>
      <c r="C26" s="20"/>
      <c r="D26" s="20"/>
      <c r="E26" s="20"/>
      <c r="F26" s="20"/>
      <c r="G26" s="20"/>
      <c r="H26" s="20"/>
      <c r="I26" s="20"/>
      <c r="J26" s="699"/>
      <c r="K26" s="2421"/>
      <c r="L26" s="2422"/>
      <c r="M26" s="2422"/>
      <c r="N26" s="2422"/>
      <c r="O26" s="2423"/>
      <c r="AA26" s="20">
        <v>18</v>
      </c>
      <c r="AB26" s="20"/>
    </row>
    <row r="27" spans="1:30" ht="12.75" customHeight="1" x14ac:dyDescent="0.2">
      <c r="A27" s="561"/>
      <c r="B27" s="564"/>
      <c r="C27" s="20"/>
      <c r="D27" s="20"/>
      <c r="E27" s="20"/>
      <c r="F27" s="20"/>
      <c r="G27" s="20"/>
      <c r="H27" s="20"/>
      <c r="I27" s="20"/>
      <c r="J27" s="699"/>
      <c r="K27" s="2421"/>
      <c r="L27" s="2422"/>
      <c r="M27" s="2422"/>
      <c r="N27" s="2422"/>
      <c r="O27" s="2423"/>
      <c r="AA27" s="20">
        <v>19</v>
      </c>
      <c r="AB27" s="20"/>
    </row>
    <row r="28" spans="1:30" ht="12.75" customHeight="1" x14ac:dyDescent="0.2">
      <c r="A28" s="561"/>
      <c r="B28" s="564"/>
      <c r="C28" s="20"/>
      <c r="D28" s="20"/>
      <c r="E28" s="20"/>
      <c r="F28" s="20"/>
      <c r="G28" s="20"/>
      <c r="H28" s="20"/>
      <c r="I28" s="20"/>
      <c r="J28" s="699"/>
      <c r="K28" s="2424"/>
      <c r="L28" s="2425"/>
      <c r="M28" s="2425"/>
      <c r="N28" s="2425"/>
      <c r="O28" s="2426"/>
      <c r="AA28" s="20">
        <v>20</v>
      </c>
      <c r="AB28" s="20"/>
    </row>
    <row r="29" spans="1:30" ht="12.75" customHeight="1" x14ac:dyDescent="0.2">
      <c r="A29" s="561"/>
      <c r="B29" s="564"/>
      <c r="C29" s="20"/>
      <c r="D29" s="20"/>
      <c r="E29" s="20"/>
      <c r="F29" s="20"/>
      <c r="G29" s="20"/>
      <c r="H29" s="20"/>
      <c r="I29" s="20"/>
      <c r="J29" s="699"/>
      <c r="K29" s="592"/>
      <c r="L29" s="592"/>
      <c r="M29" s="592"/>
      <c r="N29" s="592"/>
      <c r="AA29" s="20">
        <v>21</v>
      </c>
    </row>
    <row r="30" spans="1:30" ht="12.75" customHeight="1" x14ac:dyDescent="0.2">
      <c r="A30" s="561"/>
      <c r="B30" s="564"/>
      <c r="C30" s="20"/>
      <c r="D30" s="20"/>
      <c r="E30" s="20"/>
      <c r="F30" s="20"/>
      <c r="G30" s="20"/>
      <c r="H30" s="20"/>
      <c r="I30" s="20"/>
      <c r="J30" s="699"/>
      <c r="K30" s="592"/>
      <c r="L30" s="592"/>
      <c r="M30" s="592"/>
      <c r="N30" s="592"/>
      <c r="AA30" s="20">
        <v>22</v>
      </c>
    </row>
    <row r="31" spans="1:30" ht="12.75" customHeight="1" x14ac:dyDescent="0.2">
      <c r="A31" s="561"/>
      <c r="B31" s="564"/>
      <c r="C31" s="20"/>
      <c r="D31" s="20"/>
      <c r="E31" s="20"/>
      <c r="F31" s="20"/>
      <c r="G31" s="20"/>
      <c r="H31" s="20"/>
      <c r="I31" s="20"/>
      <c r="J31" s="699"/>
      <c r="K31" s="592"/>
      <c r="L31" s="592"/>
      <c r="M31" s="592"/>
      <c r="N31" s="592"/>
      <c r="AA31" s="20">
        <v>23</v>
      </c>
    </row>
    <row r="32" spans="1:30" ht="12.75" customHeight="1" x14ac:dyDescent="0.2">
      <c r="A32" s="561"/>
      <c r="B32" s="564"/>
      <c r="C32" s="20"/>
      <c r="D32" s="20"/>
      <c r="E32" s="20"/>
      <c r="F32" s="20"/>
      <c r="G32" s="20"/>
      <c r="H32" s="20"/>
      <c r="I32" s="20"/>
      <c r="J32" s="699"/>
      <c r="K32" s="592"/>
      <c r="L32" s="592"/>
      <c r="M32" s="592"/>
      <c r="N32" s="592"/>
      <c r="AA32" s="20">
        <v>24</v>
      </c>
    </row>
    <row r="33" spans="1:36" ht="14.25" customHeight="1" x14ac:dyDescent="0.2">
      <c r="A33" s="561"/>
      <c r="B33" s="564"/>
      <c r="C33" s="20"/>
      <c r="D33" s="20"/>
      <c r="E33" s="20"/>
      <c r="F33" s="20"/>
      <c r="G33" s="20"/>
      <c r="H33" s="20"/>
      <c r="I33" s="20"/>
      <c r="J33" s="699"/>
      <c r="K33" s="592"/>
      <c r="L33" s="592"/>
      <c r="M33" s="592"/>
      <c r="N33" s="592"/>
      <c r="AA33" s="20">
        <v>25</v>
      </c>
    </row>
    <row r="34" spans="1:36" ht="5.0999999999999996" customHeight="1" x14ac:dyDescent="0.2">
      <c r="A34" s="691"/>
      <c r="B34" s="691"/>
      <c r="C34" s="691"/>
      <c r="D34" s="691"/>
      <c r="E34" s="691"/>
      <c r="F34" s="621"/>
      <c r="G34" s="621"/>
      <c r="H34" s="597"/>
      <c r="I34" s="597"/>
      <c r="J34" s="20"/>
      <c r="K34" s="20"/>
      <c r="L34" s="20"/>
      <c r="M34" s="20"/>
      <c r="AA34" s="20">
        <v>26</v>
      </c>
    </row>
    <row r="35" spans="1:36" ht="27" customHeight="1" x14ac:dyDescent="0.2">
      <c r="A35" s="2409" t="str">
        <f>A3&amp;" "&amp;B3</f>
        <v>2) Blast furnace process:</v>
      </c>
      <c r="B35" s="2410"/>
      <c r="C35" s="2404" t="str">
        <f>IronSteel_CokeOven!C32</f>
        <v>Physical quantity</v>
      </c>
      <c r="D35" s="2405"/>
      <c r="E35" s="2399" t="str">
        <f>IronSteel_CokeOven!E32</f>
        <v>NCV</v>
      </c>
      <c r="F35" s="2400"/>
      <c r="G35" s="2404" t="str">
        <f>IronSteel_CokeOven!G32</f>
        <v>Energy quantity</v>
      </c>
      <c r="H35" s="2405"/>
      <c r="I35" s="598"/>
      <c r="K35" s="2431"/>
      <c r="L35" s="2431"/>
      <c r="M35" s="2432"/>
      <c r="N35" s="2432"/>
      <c r="O35" s="2431"/>
      <c r="P35" s="2431"/>
      <c r="AA35" s="20">
        <v>27</v>
      </c>
    </row>
    <row r="36" spans="1:36" s="20" customFormat="1" ht="12.75" customHeight="1" x14ac:dyDescent="0.2">
      <c r="A36" s="2406" t="str">
        <f>IronSteel_CokeOven!A33</f>
        <v>Input(s)</v>
      </c>
      <c r="B36" s="1269" t="str">
        <f>OVENCOKE</f>
        <v>Coke oven coke</v>
      </c>
      <c r="C36" s="593">
        <f>'For printing'!$I$32</f>
        <v>1049.742</v>
      </c>
      <c r="D36" s="209" t="str">
        <f>INDEX(Definitions_ProdLang!$I$11:$K$11,1,MATCH(LangChoice,Definitions_ProdLang!$I$2:$K$2,0))</f>
        <v>kt</v>
      </c>
      <c r="E36" s="574">
        <f>'Conversion factors'!I11</f>
        <v>26498</v>
      </c>
      <c r="F36" s="1263" t="str">
        <f>IronSteel_CokeOven!F33</f>
        <v>kJ/kg</v>
      </c>
      <c r="G36" s="593">
        <f>C36*kt_to_kg*E36*kJ_to_ktoe</f>
        <v>664.37526311263969</v>
      </c>
      <c r="H36" s="209" t="str">
        <f>IronSteel_CokeOven!H33</f>
        <v>ktoe</v>
      </c>
      <c r="Q36"/>
      <c r="R36"/>
      <c r="S36"/>
      <c r="T36"/>
      <c r="U36"/>
      <c r="V36"/>
      <c r="W36"/>
      <c r="X36"/>
      <c r="Y36"/>
      <c r="Z36"/>
      <c r="AA36" s="20">
        <v>28</v>
      </c>
      <c r="AF36"/>
      <c r="AG36"/>
      <c r="AH36"/>
      <c r="AI36"/>
      <c r="AJ36"/>
    </row>
    <row r="37" spans="1:36" s="20" customFormat="1" ht="12.75" customHeight="1" x14ac:dyDescent="0.2">
      <c r="A37" s="2407"/>
      <c r="B37" s="1269" t="str">
        <f>HLOOKUP(LangChoice,$AB$8:$AD$40,$AA18+1,FALSE)</f>
        <v>Pulverized coal injection</v>
      </c>
      <c r="C37" s="1011">
        <v>0</v>
      </c>
      <c r="D37" s="209" t="str">
        <f>INDEX(Definitions_ProdLang!$I$11:$K$11,1,MATCH(LangChoice,Definitions_ProdLang!$I$2:$K$2,0))</f>
        <v>kt</v>
      </c>
      <c r="E37" s="1012">
        <v>25000</v>
      </c>
      <c r="F37" s="1263" t="str">
        <f>F36</f>
        <v>kJ/kg</v>
      </c>
      <c r="G37" s="595">
        <f>C37*kt_to_kg*E37*kJ_to_ktoe</f>
        <v>0</v>
      </c>
      <c r="H37" s="209" t="str">
        <f>H36</f>
        <v>ktoe</v>
      </c>
      <c r="Q37"/>
      <c r="R37"/>
      <c r="S37"/>
      <c r="T37"/>
      <c r="U37"/>
      <c r="V37"/>
      <c r="W37"/>
      <c r="X37"/>
      <c r="Y37"/>
      <c r="Z37"/>
      <c r="AA37" s="20">
        <v>29</v>
      </c>
      <c r="AF37"/>
      <c r="AG37"/>
      <c r="AH37"/>
      <c r="AI37"/>
      <c r="AJ37"/>
    </row>
    <row r="38" spans="1:36" s="20" customFormat="1" ht="12.75" customHeight="1" x14ac:dyDescent="0.2">
      <c r="A38" s="2408"/>
      <c r="B38" s="1275" t="str">
        <f>HLOOKUP(LangChoice,$AB$8:$AD$40,$AA19+1,FALSE)</f>
        <v>Limestone</v>
      </c>
      <c r="C38" s="648"/>
      <c r="D38" s="1106"/>
      <c r="E38" s="648"/>
      <c r="F38" s="1106"/>
      <c r="G38" s="648"/>
      <c r="H38" s="1106"/>
      <c r="Q38"/>
      <c r="R38"/>
      <c r="S38"/>
      <c r="T38"/>
      <c r="U38"/>
      <c r="V38"/>
      <c r="W38"/>
      <c r="X38"/>
      <c r="Y38"/>
      <c r="Z38"/>
      <c r="AA38" s="20">
        <v>30</v>
      </c>
      <c r="AF38"/>
      <c r="AG38"/>
      <c r="AH38"/>
      <c r="AI38"/>
      <c r="AJ38"/>
    </row>
    <row r="39" spans="1:36" ht="12.75" customHeight="1" x14ac:dyDescent="0.2">
      <c r="A39" s="698"/>
      <c r="B39" s="1274"/>
      <c r="C39" s="698"/>
      <c r="D39" s="1274"/>
      <c r="E39" s="698"/>
      <c r="F39" s="1273"/>
      <c r="G39" s="619"/>
      <c r="H39" s="1272"/>
      <c r="I39" s="597"/>
      <c r="J39" s="20"/>
      <c r="K39" s="20"/>
      <c r="L39" s="20"/>
      <c r="M39" s="20"/>
      <c r="N39" s="20"/>
      <c r="O39" s="20"/>
      <c r="P39" s="20"/>
    </row>
    <row r="40" spans="1:36" s="20" customFormat="1" ht="12.75" customHeight="1" x14ac:dyDescent="0.2">
      <c r="A40" s="2396" t="str">
        <f>IronSteel_CokeOven!A37</f>
        <v>Output(s)</v>
      </c>
      <c r="B40" s="1271" t="str">
        <f>BLFURGS</f>
        <v>Blast furnace gas</v>
      </c>
      <c r="C40" s="593">
        <f>'For printing'!$O$5</f>
        <v>0</v>
      </c>
      <c r="D40" s="1179" t="str">
        <f>INDEX(Definitions_ProdLang!$I$17:$K$17,1,MATCH(LangChoice,Definitions_ProdLang!$I$2:$K$2,0))</f>
        <v>TJ-gross</v>
      </c>
      <c r="E40" s="596">
        <f>'Conversion factors'!$C50</f>
        <v>1</v>
      </c>
      <c r="F40" s="1264" t="s">
        <v>8115</v>
      </c>
      <c r="G40" s="595">
        <f>C40*E40*TJ_to_ktoe</f>
        <v>0</v>
      </c>
      <c r="H40" s="1179" t="str">
        <f>H36</f>
        <v>ktoe</v>
      </c>
      <c r="Q40"/>
      <c r="R40"/>
      <c r="S40"/>
      <c r="T40"/>
      <c r="U40"/>
      <c r="V40"/>
      <c r="W40"/>
      <c r="X40"/>
      <c r="Y40"/>
      <c r="Z40"/>
      <c r="AF40"/>
      <c r="AG40"/>
      <c r="AH40"/>
      <c r="AI40"/>
      <c r="AJ40"/>
    </row>
    <row r="41" spans="1:36" s="20" customFormat="1" ht="12.75" customHeight="1" x14ac:dyDescent="0.2">
      <c r="A41" s="2397"/>
      <c r="B41" s="1269" t="str">
        <f>OGASES</f>
        <v>Other recovered gases</v>
      </c>
      <c r="C41" s="595">
        <f ca="1">G41/E41/TJ_to_ktoe</f>
        <v>0</v>
      </c>
      <c r="D41" s="209" t="str">
        <f>INDEX(Definitions_ProdLang!$I$17:$K$17,1,MATCH(LangChoice,Definitions_ProdLang!$I$2:$K$2,0))</f>
        <v>TJ-gross</v>
      </c>
      <c r="E41" s="702">
        <f>'Conversion factors'!$C51</f>
        <v>1</v>
      </c>
      <c r="F41" s="1263" t="s">
        <v>8115</v>
      </c>
      <c r="G41" s="595">
        <f ca="1">'Disaggregated Balance'!R27</f>
        <v>0</v>
      </c>
      <c r="H41" s="209" t="str">
        <f>H36</f>
        <v>ktoe</v>
      </c>
      <c r="Q41"/>
      <c r="R41"/>
      <c r="S41"/>
      <c r="T41"/>
      <c r="U41"/>
      <c r="V41"/>
      <c r="W41"/>
      <c r="X41"/>
      <c r="Y41"/>
      <c r="Z41"/>
      <c r="AF41"/>
      <c r="AG41"/>
      <c r="AH41"/>
      <c r="AI41"/>
      <c r="AJ41"/>
    </row>
    <row r="42" spans="1:36" s="20" customFormat="1" ht="12.75" customHeight="1" x14ac:dyDescent="0.2">
      <c r="A42" s="2397"/>
      <c r="B42" s="1275" t="str">
        <f>HLOOKUP(LangChoice,$AB$8:$AD$40,$AA20+1,FALSE)</f>
        <v>Molten iron</v>
      </c>
      <c r="C42" s="648"/>
      <c r="D42" s="1106"/>
      <c r="E42" s="648"/>
      <c r="F42" s="1106"/>
      <c r="G42" s="648"/>
      <c r="H42" s="1106"/>
      <c r="Q42"/>
      <c r="R42"/>
      <c r="S42"/>
      <c r="T42"/>
      <c r="U42"/>
      <c r="V42"/>
      <c r="W42"/>
      <c r="X42"/>
      <c r="Y42"/>
      <c r="Z42"/>
      <c r="AB42" s="1218" t="s">
        <v>8116</v>
      </c>
      <c r="AC42" s="661"/>
      <c r="AD42" s="661" t="s">
        <v>8117</v>
      </c>
      <c r="AE42" s="1219"/>
      <c r="AF42"/>
      <c r="AG42"/>
      <c r="AH42"/>
      <c r="AI42"/>
      <c r="AJ42"/>
    </row>
    <row r="43" spans="1:36" s="20" customFormat="1" ht="12.75" customHeight="1" x14ac:dyDescent="0.2">
      <c r="A43" s="2398"/>
      <c r="B43" s="1275" t="str">
        <f>HLOOKUP(LangChoice,$AB$8:$AD$40,$AA21+1,FALSE)</f>
        <v>Molten slag</v>
      </c>
      <c r="C43" s="648"/>
      <c r="D43" s="1106"/>
      <c r="E43" s="648"/>
      <c r="F43" s="1106"/>
      <c r="G43" s="648"/>
      <c r="H43" s="1106"/>
      <c r="Q43"/>
      <c r="R43"/>
      <c r="S43"/>
      <c r="T43"/>
      <c r="U43"/>
      <c r="V43"/>
      <c r="W43"/>
      <c r="X43"/>
      <c r="Y43"/>
      <c r="Z43"/>
      <c r="AB43" s="624"/>
      <c r="AC43" s="20" t="str">
        <f>A36</f>
        <v>Input(s)</v>
      </c>
      <c r="AE43" s="590" t="str">
        <f>A40</f>
        <v>Output(s)</v>
      </c>
      <c r="AF43"/>
      <c r="AG43"/>
      <c r="AH43"/>
      <c r="AI43"/>
      <c r="AJ43"/>
    </row>
    <row r="44" spans="1:36" ht="12.75" customHeight="1" x14ac:dyDescent="0.2">
      <c r="A44" s="698"/>
      <c r="B44" s="698"/>
      <c r="C44" s="698"/>
      <c r="D44" s="698"/>
      <c r="E44" s="698"/>
      <c r="F44" s="619"/>
      <c r="G44" s="619"/>
      <c r="H44" s="620"/>
      <c r="I44" s="597"/>
      <c r="J44" s="20"/>
      <c r="K44" s="20"/>
      <c r="L44" s="20"/>
      <c r="M44" s="20"/>
      <c r="N44" s="20"/>
      <c r="O44" s="20"/>
      <c r="P44" s="20"/>
      <c r="AA44" s="20"/>
      <c r="AB44" s="589" t="str">
        <f>B36</f>
        <v>Coke oven coke</v>
      </c>
      <c r="AC44" s="626">
        <f>G36</f>
        <v>664.37526311263969</v>
      </c>
      <c r="AD44" s="20"/>
      <c r="AE44" s="590">
        <v>0</v>
      </c>
    </row>
    <row r="45" spans="1:36" s="20" customFormat="1" ht="18" customHeight="1" x14ac:dyDescent="0.2">
      <c r="A45" s="575" t="str">
        <f>IronSteel_CokeOven!A41</f>
        <v>Indicator(s)</v>
      </c>
      <c r="B45" s="15"/>
      <c r="C45" s="571"/>
      <c r="D45" s="571"/>
      <c r="E45" s="571"/>
      <c r="F45" s="572" t="str">
        <f>A4&amp;" "&amp;B4&amp;":"</f>
        <v>2.1) Blast furnace ratio:</v>
      </c>
      <c r="G45" s="2429">
        <f ca="1">IFERROR(SUM(G40:G41)/SUM(G36:G37),"..")</f>
        <v>0</v>
      </c>
      <c r="H45" s="2430"/>
      <c r="I45" s="599"/>
      <c r="J45" s="571"/>
      <c r="Q45"/>
      <c r="R45"/>
      <c r="S45"/>
      <c r="T45"/>
      <c r="U45"/>
      <c r="V45"/>
      <c r="W45"/>
      <c r="X45"/>
      <c r="Y45"/>
      <c r="Z45"/>
      <c r="AB45" s="589" t="str">
        <f>B37</f>
        <v>Pulverized coal injection</v>
      </c>
      <c r="AC45" s="626">
        <f>G37</f>
        <v>0</v>
      </c>
      <c r="AE45" s="692">
        <v>0</v>
      </c>
      <c r="AF45"/>
      <c r="AG45"/>
      <c r="AH45"/>
      <c r="AI45"/>
      <c r="AJ45"/>
    </row>
    <row r="46" spans="1:36" ht="12.75" customHeight="1" x14ac:dyDescent="0.2">
      <c r="A46" s="1013"/>
      <c r="B46" s="1013"/>
      <c r="C46" s="1013"/>
      <c r="D46" s="1013"/>
      <c r="E46" s="1013"/>
      <c r="F46" s="992"/>
      <c r="G46" s="992"/>
      <c r="H46" s="997"/>
      <c r="I46" s="597"/>
      <c r="J46" s="20"/>
      <c r="K46" s="20"/>
      <c r="L46" s="20"/>
      <c r="M46" s="20"/>
      <c r="N46" s="20"/>
      <c r="O46" s="20"/>
      <c r="P46" s="20"/>
      <c r="AA46" s="20"/>
      <c r="AB46" s="589" t="str">
        <f>B40</f>
        <v>Blast furnace gas</v>
      </c>
      <c r="AC46" s="20">
        <v>0</v>
      </c>
      <c r="AD46" s="20"/>
      <c r="AE46" s="692">
        <f>G40</f>
        <v>0</v>
      </c>
    </row>
    <row r="47" spans="1:36" s="20" customFormat="1" x14ac:dyDescent="0.2">
      <c r="A47" s="15"/>
      <c r="D47" s="567"/>
      <c r="N47"/>
      <c r="O47"/>
      <c r="P47"/>
      <c r="Q47"/>
      <c r="R47"/>
      <c r="S47"/>
      <c r="T47"/>
      <c r="U47"/>
      <c r="V47"/>
      <c r="W47"/>
      <c r="X47"/>
      <c r="Y47"/>
      <c r="Z47"/>
      <c r="AA47" s="259" t="s">
        <v>8118</v>
      </c>
      <c r="AB47" s="589" t="str">
        <f>B41</f>
        <v>Other recovered gases</v>
      </c>
      <c r="AC47" s="20">
        <v>0</v>
      </c>
      <c r="AE47" s="692">
        <f ca="1">G41</f>
        <v>0</v>
      </c>
      <c r="AF47"/>
      <c r="AG47"/>
      <c r="AH47"/>
      <c r="AI47"/>
      <c r="AJ47"/>
    </row>
    <row r="48" spans="1:36" s="20" customFormat="1" x14ac:dyDescent="0.2">
      <c r="A48" s="15"/>
      <c r="N48"/>
      <c r="O48"/>
      <c r="P48"/>
      <c r="Q48"/>
      <c r="R48"/>
      <c r="S48"/>
      <c r="T48"/>
      <c r="U48"/>
      <c r="V48"/>
      <c r="W48"/>
      <c r="X48"/>
      <c r="Y48"/>
      <c r="Z48"/>
      <c r="AA48" s="697">
        <f>AE12</f>
        <v>0.35</v>
      </c>
      <c r="AB48" s="693" t="str">
        <f>HLOOKUP(LangChoice,$AB$8:$AD$40,$AA22+1,FALSE)</f>
        <v>Range, blast furnace ratio</v>
      </c>
      <c r="AC48" s="677">
        <f>AA48*SUM(AC44:AC45)</f>
        <v>232.53134208942387</v>
      </c>
      <c r="AD48" s="677">
        <f t="shared" ref="AD48:AE50" si="0">AC48</f>
        <v>232.53134208942387</v>
      </c>
      <c r="AE48" s="694">
        <f t="shared" si="0"/>
        <v>232.53134208942387</v>
      </c>
      <c r="AF48"/>
      <c r="AG48"/>
      <c r="AH48"/>
      <c r="AI48"/>
      <c r="AJ48"/>
    </row>
    <row r="49" spans="1:36" s="20" customFormat="1" x14ac:dyDescent="0.2">
      <c r="A49" s="15"/>
      <c r="D49" s="569"/>
      <c r="G49" s="561"/>
      <c r="N49"/>
      <c r="O49"/>
      <c r="P49"/>
      <c r="Q49"/>
      <c r="R49"/>
      <c r="S49"/>
      <c r="T49"/>
      <c r="U49"/>
      <c r="V49"/>
      <c r="W49"/>
      <c r="X49"/>
      <c r="Y49"/>
      <c r="Z49"/>
      <c r="AA49" s="697">
        <f>AE13</f>
        <v>0.45</v>
      </c>
      <c r="AB49" s="693" t="str">
        <f>AB48</f>
        <v>Range, blast furnace ratio</v>
      </c>
      <c r="AC49" s="677">
        <f>AA49*SUM(AC44:AC45)</f>
        <v>298.96886840068788</v>
      </c>
      <c r="AD49" s="677">
        <f t="shared" si="0"/>
        <v>298.96886840068788</v>
      </c>
      <c r="AE49" s="694">
        <f t="shared" si="0"/>
        <v>298.96886840068788</v>
      </c>
      <c r="AF49"/>
      <c r="AG49"/>
      <c r="AH49"/>
      <c r="AI49"/>
      <c r="AJ49"/>
    </row>
    <row r="50" spans="1:36" s="20" customFormat="1" x14ac:dyDescent="0.2">
      <c r="A50" s="15"/>
      <c r="N50"/>
      <c r="O50"/>
      <c r="P50"/>
      <c r="Q50"/>
      <c r="R50"/>
      <c r="S50"/>
      <c r="T50"/>
      <c r="U50"/>
      <c r="V50"/>
      <c r="W50"/>
      <c r="X50"/>
      <c r="Y50"/>
      <c r="Z50"/>
      <c r="AB50" s="695" t="str">
        <f>CountryName &amp; " " &amp;B4</f>
        <v>South Africa Blast furnace ratio</v>
      </c>
      <c r="AC50" s="688">
        <f ca="1">G45*SUM(AC44:AC45)</f>
        <v>0</v>
      </c>
      <c r="AD50" s="688">
        <f t="shared" ca="1" si="0"/>
        <v>0</v>
      </c>
      <c r="AE50" s="696">
        <f t="shared" ca="1" si="0"/>
        <v>0</v>
      </c>
      <c r="AF50"/>
      <c r="AG50"/>
      <c r="AH50"/>
      <c r="AI50"/>
      <c r="AJ50"/>
    </row>
    <row r="51" spans="1:36" s="20" customFormat="1" x14ac:dyDescent="0.2">
      <c r="A51" s="15"/>
      <c r="K51"/>
      <c r="L51"/>
      <c r="M51"/>
      <c r="N51"/>
      <c r="O51"/>
      <c r="P51"/>
      <c r="Q51"/>
      <c r="R51"/>
      <c r="S51"/>
      <c r="T51"/>
      <c r="U51"/>
      <c r="V51"/>
      <c r="W51"/>
      <c r="X51"/>
      <c r="Y51"/>
      <c r="Z51"/>
      <c r="AB51" s="627" t="s">
        <v>8119</v>
      </c>
      <c r="AC51" s="32" t="str">
        <f>IronSteel_CokeOven!$G$32&amp;" ["&amp;IronSteel_CokeOven!$H$33&amp;"]"</f>
        <v>Energy quantity [ktoe]</v>
      </c>
      <c r="AD51" s="32"/>
      <c r="AE51" s="628"/>
      <c r="AF51"/>
      <c r="AG51"/>
      <c r="AH51"/>
      <c r="AI51"/>
      <c r="AJ51"/>
    </row>
    <row r="52" spans="1:36" s="20" customFormat="1" x14ac:dyDescent="0.2">
      <c r="A52" s="15"/>
      <c r="K52"/>
      <c r="L52"/>
      <c r="M52"/>
      <c r="N52"/>
      <c r="O52"/>
      <c r="P52"/>
      <c r="Q52"/>
      <c r="R52"/>
      <c r="S52"/>
      <c r="T52"/>
      <c r="U52"/>
      <c r="V52"/>
      <c r="W52"/>
      <c r="X52"/>
      <c r="Y52"/>
      <c r="Z52"/>
      <c r="AA52"/>
      <c r="AB52"/>
      <c r="AC52"/>
      <c r="AD52"/>
      <c r="AE52"/>
      <c r="AF52"/>
      <c r="AG52"/>
      <c r="AH52"/>
      <c r="AI52"/>
      <c r="AJ52"/>
    </row>
    <row r="53" spans="1:36" s="20" customFormat="1" x14ac:dyDescent="0.2">
      <c r="A53" s="15"/>
      <c r="K53"/>
      <c r="L53"/>
      <c r="M53"/>
      <c r="N53"/>
      <c r="O53"/>
      <c r="P53"/>
      <c r="Q53"/>
      <c r="R53"/>
      <c r="S53"/>
      <c r="T53"/>
      <c r="U53"/>
      <c r="V53"/>
      <c r="W53"/>
      <c r="X53"/>
      <c r="Y53"/>
      <c r="Z53"/>
      <c r="AA53"/>
      <c r="AB53"/>
      <c r="AC53"/>
      <c r="AD53"/>
      <c r="AE53"/>
      <c r="AF53"/>
      <c r="AG53"/>
      <c r="AH53"/>
      <c r="AI53"/>
      <c r="AJ53"/>
    </row>
    <row r="54" spans="1:36" s="20" customFormat="1" x14ac:dyDescent="0.2">
      <c r="A54" s="15"/>
      <c r="K54"/>
      <c r="L54"/>
      <c r="M54"/>
      <c r="N54"/>
      <c r="O54"/>
      <c r="P54"/>
      <c r="Q54"/>
      <c r="R54"/>
      <c r="S54"/>
      <c r="T54"/>
      <c r="U54"/>
      <c r="V54"/>
      <c r="W54"/>
      <c r="X54"/>
      <c r="Y54"/>
      <c r="Z54"/>
      <c r="AA54"/>
      <c r="AB54"/>
      <c r="AC54"/>
      <c r="AD54"/>
      <c r="AE54"/>
      <c r="AF54"/>
      <c r="AG54"/>
      <c r="AH54"/>
      <c r="AI54"/>
      <c r="AJ54"/>
    </row>
    <row r="55" spans="1:36" x14ac:dyDescent="0.2">
      <c r="A55" s="15"/>
    </row>
    <row r="56" spans="1:36" x14ac:dyDescent="0.2">
      <c r="A56" s="15"/>
    </row>
    <row r="57" spans="1:36" x14ac:dyDescent="0.2">
      <c r="A57" s="15"/>
    </row>
    <row r="58" spans="1:36" x14ac:dyDescent="0.2">
      <c r="A58" s="15"/>
    </row>
    <row r="59" spans="1:36" x14ac:dyDescent="0.2">
      <c r="A59" s="15"/>
    </row>
    <row r="60" spans="1:36" x14ac:dyDescent="0.2">
      <c r="A60" s="15"/>
    </row>
    <row r="61" spans="1:36" x14ac:dyDescent="0.2">
      <c r="A61" s="15"/>
    </row>
    <row r="62" spans="1:36" x14ac:dyDescent="0.2">
      <c r="A62" s="15"/>
    </row>
    <row r="63" spans="1:36" x14ac:dyDescent="0.2">
      <c r="A63" s="15"/>
    </row>
    <row r="64" spans="1:36" x14ac:dyDescent="0.2">
      <c r="A64" s="15"/>
    </row>
    <row r="65" spans="1:1" x14ac:dyDescent="0.2">
      <c r="A65" s="15"/>
    </row>
  </sheetData>
  <sheetProtection algorithmName="SHA-512" hashValue="f1hEkK9Z/r3ikqBXAk6jGU9GC15qB922W3IpU/ygmA3mL6lDbAH4Ws0Agl5nrKfFYNMOxUaP8/+FTBQlzolSpg==" saltValue="swp2kMarX+Zzeq5CSfsFFg==" spinCount="100000" sheet="1" objects="1" scenarios="1"/>
  <mergeCells count="19">
    <mergeCell ref="K35:L35"/>
    <mergeCell ref="M35:N35"/>
    <mergeCell ref="J14:J15"/>
    <mergeCell ref="K25:O28"/>
    <mergeCell ref="K14:O14"/>
    <mergeCell ref="K15:O15"/>
    <mergeCell ref="O35:P35"/>
    <mergeCell ref="D3:G3"/>
    <mergeCell ref="I11:J12"/>
    <mergeCell ref="A7:P7"/>
    <mergeCell ref="K11:O11"/>
    <mergeCell ref="K12:O12"/>
    <mergeCell ref="G45:H45"/>
    <mergeCell ref="A35:B35"/>
    <mergeCell ref="C35:D35"/>
    <mergeCell ref="E35:F35"/>
    <mergeCell ref="G35:H35"/>
    <mergeCell ref="A36:A38"/>
    <mergeCell ref="A40:A43"/>
  </mergeCells>
  <conditionalFormatting sqref="K17">
    <cfRule type="cellIs" dxfId="18" priority="135" stopIfTrue="1" operator="between">
      <formula>$AE$13</formula>
      <formula>$AE$14</formula>
    </cfRule>
    <cfRule type="cellIs" dxfId="17" priority="136" stopIfTrue="1" operator="between">
      <formula>$AE$12</formula>
      <formula>$AE$13</formula>
    </cfRule>
    <cfRule type="cellIs" dxfId="16" priority="137" stopIfTrue="1" operator="lessThan">
      <formula>$AE$12</formula>
    </cfRule>
    <cfRule type="cellIs" dxfId="15" priority="138" stopIfTrue="1" operator="greaterThan">
      <formula>$AE$14</formula>
    </cfRule>
  </conditionalFormatting>
  <conditionalFormatting sqref="K25">
    <cfRule type="expression" dxfId="14" priority="139">
      <formula>$G$45&lt;$AE$11</formula>
    </cfRule>
    <cfRule type="expression" dxfId="13" priority="140">
      <formula>AND($G$45&gt;($AE$12-0.0001),$G$45&lt;($AE$13-0.0001))</formula>
    </cfRule>
    <cfRule type="expression" dxfId="12" priority="141">
      <formula>$G$45&gt;$AE$14</formula>
    </cfRule>
    <cfRule type="expression" dxfId="11" priority="142">
      <formula>OR($G$45&lt;($AE$12+0.0001),$G$45&gt;($AE$13-0.0001))</formula>
    </cfRule>
  </conditionalFormatting>
  <hyperlinks>
    <hyperlink ref="D3" r:id="rId1" xr:uid="{00000000-0004-0000-2700-000000000000}"/>
  </hyperlinks>
  <pageMargins left="0.7" right="0.7" top="0.75" bottom="0.75" header="0.3" footer="0.3"/>
  <pageSetup paperSize="9" orientation="landscape" r:id="rId2"/>
  <drawing r:id="rId3"/>
  <legacyDrawing r:id="rId4"/>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6">
    <tabColor theme="9" tint="0.59999389629810485"/>
  </sheetPr>
  <dimension ref="A1:AZ84"/>
  <sheetViews>
    <sheetView showGridLines="0" topLeftCell="A9" zoomScaleNormal="100" zoomScaleSheetLayoutView="70" workbookViewId="0">
      <selection activeCell="N16" sqref="N16"/>
    </sheetView>
  </sheetViews>
  <sheetFormatPr defaultColWidth="9.140625" defaultRowHeight="11.25" x14ac:dyDescent="0.2"/>
  <cols>
    <col min="1" max="1" width="12.7109375" style="20" customWidth="1"/>
    <col min="2" max="2" width="25.7109375" style="20" customWidth="1"/>
    <col min="3" max="3" width="8.5703125" style="20" customWidth="1"/>
    <col min="4" max="4" width="6.5703125" style="20" customWidth="1"/>
    <col min="5" max="5" width="7.85546875" style="20" customWidth="1"/>
    <col min="6" max="6" width="17.85546875" style="20" bestFit="1" customWidth="1"/>
    <col min="7" max="7" width="5.28515625" style="20" customWidth="1"/>
    <col min="8" max="8" width="7.28515625" style="20" customWidth="1"/>
    <col min="9" max="9" width="7.5703125" style="20" customWidth="1"/>
    <col min="10" max="10" width="11.140625" style="20" customWidth="1"/>
    <col min="11" max="11" width="21.7109375" style="20" customWidth="1"/>
    <col min="12" max="12" width="1.42578125" style="20" customWidth="1"/>
    <col min="13" max="13" width="0.85546875" style="20" customWidth="1"/>
    <col min="14" max="25" width="10.42578125" style="20" customWidth="1"/>
    <col min="26" max="26" width="10" style="20" customWidth="1"/>
    <col min="27" max="27" width="8.5703125" style="20" hidden="1" customWidth="1"/>
    <col min="28" max="28" width="2.7109375" style="20" hidden="1" customWidth="1"/>
    <col min="29" max="31" width="26" style="20" hidden="1" customWidth="1"/>
    <col min="32" max="32" width="16.140625" style="20" hidden="1" customWidth="1"/>
    <col min="33" max="33" width="12" style="20" hidden="1" customWidth="1"/>
    <col min="34" max="34" width="11.85546875" style="20" hidden="1" customWidth="1"/>
    <col min="35" max="35" width="12" style="20" hidden="1" customWidth="1"/>
    <col min="36" max="36" width="7" style="20" hidden="1" customWidth="1"/>
    <col min="37" max="37" width="7.85546875" style="20" hidden="1" customWidth="1"/>
    <col min="38" max="52" width="9.140625" style="20" hidden="1" customWidth="1"/>
    <col min="53" max="16384" width="9.140625" style="20"/>
  </cols>
  <sheetData>
    <row r="1" spans="1:37" ht="43.5" customHeight="1" x14ac:dyDescent="0.2">
      <c r="A1" s="2128" t="str">
        <f>HLOOKUP(LangChoice,$AC$10:$AE$40,$AB11+1,FALSE)</f>
        <v>Data validation: Oil refining sector</v>
      </c>
      <c r="B1" s="2130"/>
      <c r="C1" s="2131"/>
      <c r="D1" s="2131"/>
      <c r="E1" s="2131"/>
      <c r="F1" s="2131"/>
      <c r="G1" s="2131"/>
      <c r="H1" s="2131"/>
      <c r="I1" s="2131"/>
      <c r="J1" s="2131"/>
      <c r="K1" s="2131"/>
      <c r="L1" s="2131"/>
      <c r="AA1" s="1183" t="s">
        <v>1</v>
      </c>
      <c r="AB1" s="1183"/>
      <c r="AC1" s="617"/>
      <c r="AD1" s="617"/>
      <c r="AE1" s="617"/>
      <c r="AF1" s="617"/>
      <c r="AG1" s="617"/>
      <c r="AH1" s="617"/>
      <c r="AI1" s="617"/>
      <c r="AJ1" s="617"/>
      <c r="AK1" s="1181" t="s">
        <v>8050</v>
      </c>
    </row>
    <row r="2" spans="1:37" ht="12.75" x14ac:dyDescent="0.2">
      <c r="A2" s="259" t="str">
        <f>IronSteel_CokeOven!A2</f>
        <v>Checks:</v>
      </c>
      <c r="D2" s="259" t="str">
        <f>IronSteel_CokeOven!E2</f>
        <v>Process details:</v>
      </c>
      <c r="F2" s="259"/>
      <c r="AD2"/>
      <c r="AE2"/>
      <c r="AF2"/>
    </row>
    <row r="3" spans="1:37" ht="12.75" x14ac:dyDescent="0.2">
      <c r="A3" s="562" t="s">
        <v>8150</v>
      </c>
      <c r="B3" s="259" t="str">
        <f>HLOOKUP(LangChoice,$AC$10:$AE$40,$AB18+1,FALSE)</f>
        <v>Oil refining process:</v>
      </c>
      <c r="D3" s="2411" t="s">
        <v>8052</v>
      </c>
      <c r="E3" s="2411"/>
      <c r="F3" s="2411"/>
      <c r="AF3"/>
    </row>
    <row r="4" spans="1:37" ht="12.75" x14ac:dyDescent="0.2">
      <c r="A4" s="561" t="s">
        <v>8151</v>
      </c>
      <c r="B4" s="564" t="str">
        <f>HLOOKUP(LangChoice,$AC$10:$AE$40,$AB19+1,FALSE)</f>
        <v>Refining losses (mass)</v>
      </c>
      <c r="AF4"/>
    </row>
    <row r="5" spans="1:37" ht="12.75" x14ac:dyDescent="0.2">
      <c r="A5" s="561" t="s">
        <v>8152</v>
      </c>
      <c r="B5" s="564" t="str">
        <f>HLOOKUP(LangChoice,$AC$10:$AE$40,$AB20+1,FALSE)</f>
        <v>Refining losses (energy)</v>
      </c>
      <c r="E5" s="563"/>
      <c r="F5" s="563"/>
      <c r="AD5"/>
      <c r="AE5"/>
      <c r="AF5"/>
    </row>
    <row r="6" spans="1:37" ht="12.75" x14ac:dyDescent="0.2">
      <c r="A6" s="561" t="s">
        <v>8153</v>
      </c>
      <c r="B6" s="564" t="str">
        <f>HLOOKUP(LangChoice,$AC$10:$AE$40,$AB21+1,FALSE)</f>
        <v>Own energy use</v>
      </c>
      <c r="E6" s="622"/>
      <c r="F6" s="622"/>
      <c r="AD6"/>
      <c r="AE6"/>
      <c r="AF6"/>
    </row>
    <row r="7" spans="1:37" ht="12.75" x14ac:dyDescent="0.2">
      <c r="A7" s="561" t="s">
        <v>8154</v>
      </c>
      <c r="B7" s="564" t="str">
        <f>HLOOKUP(LangChoice,$AC$10:$AE$40,$AB22+1,FALSE)</f>
        <v>Output shares</v>
      </c>
      <c r="E7" s="622"/>
      <c r="F7" s="622"/>
      <c r="AD7"/>
      <c r="AE7"/>
      <c r="AF7"/>
    </row>
    <row r="8" spans="1:37" customFormat="1" ht="5.0999999999999996" customHeight="1" x14ac:dyDescent="0.2">
      <c r="A8" s="2438"/>
      <c r="B8" s="2438"/>
      <c r="C8" s="2438"/>
      <c r="D8" s="2438"/>
      <c r="E8" s="2438"/>
      <c r="F8" s="992"/>
      <c r="G8" s="992"/>
      <c r="H8" s="997"/>
      <c r="I8" s="997"/>
      <c r="J8" s="386"/>
      <c r="K8" s="386"/>
      <c r="L8" s="386"/>
      <c r="M8" s="20"/>
      <c r="N8" s="20"/>
      <c r="O8" s="20"/>
      <c r="P8" s="20"/>
      <c r="Q8" s="20"/>
      <c r="R8" s="20"/>
      <c r="S8" s="20"/>
      <c r="T8" s="20"/>
      <c r="U8" s="20"/>
      <c r="V8" s="20"/>
      <c r="W8" s="20"/>
      <c r="X8" s="20"/>
      <c r="Y8" s="20"/>
      <c r="Z8" s="20"/>
      <c r="AA8" s="20"/>
      <c r="AB8" s="20"/>
      <c r="AC8" s="20"/>
      <c r="AD8" s="20"/>
      <c r="AE8" s="20"/>
      <c r="AF8" s="20"/>
      <c r="AG8" s="20"/>
    </row>
    <row r="9" spans="1:37" customFormat="1" ht="45.75" customHeight="1" x14ac:dyDescent="0.2">
      <c r="A9" s="2416" t="str">
        <f>HLOOKUP(LangChoice,$AC$10:$AE$40,$AB12+1,FALSE)</f>
        <v>A refinery takes crude oil and separates it into different fractions, then converts those fractions into usable products, and these products are finally blended to produce a finished product. These products are the fuels and chemicals used every day. In a refinery, portions of the outputs from some processes are fed back into the same process, fed to new processes, fed back to a previous process or blended with other outputs to form finished products. Oil products produced and used for energy purposes must be accounted within production.</v>
      </c>
      <c r="B9" s="2416"/>
      <c r="C9" s="2416"/>
      <c r="D9" s="2416"/>
      <c r="E9" s="2416"/>
      <c r="F9" s="2416"/>
      <c r="G9" s="2416"/>
      <c r="H9" s="2416"/>
      <c r="I9" s="2416"/>
      <c r="J9" s="2416"/>
      <c r="K9" s="2416"/>
      <c r="L9" s="2416"/>
      <c r="M9" s="20"/>
      <c r="N9" s="20"/>
      <c r="O9" s="20"/>
      <c r="P9" s="20"/>
      <c r="Q9" s="20"/>
      <c r="R9" s="20"/>
      <c r="S9" s="20"/>
      <c r="T9" s="20"/>
      <c r="U9" s="20"/>
      <c r="V9" s="20"/>
      <c r="W9" s="20"/>
      <c r="X9" s="20"/>
      <c r="Y9" s="20"/>
      <c r="Z9" s="20"/>
      <c r="AA9" s="20"/>
      <c r="AB9" s="20"/>
      <c r="AC9" s="530" t="s">
        <v>8055</v>
      </c>
      <c r="AD9" s="531"/>
      <c r="AE9" s="531"/>
      <c r="AF9" s="20"/>
      <c r="AG9" s="20"/>
    </row>
    <row r="10" spans="1:37" customFormat="1" ht="15.75" customHeight="1" x14ac:dyDescent="0.2">
      <c r="A10" s="623"/>
      <c r="B10" s="623"/>
      <c r="C10" s="623"/>
      <c r="D10" s="623"/>
      <c r="E10" s="623"/>
      <c r="F10" s="623"/>
      <c r="G10" s="623"/>
      <c r="H10" s="597"/>
      <c r="I10" s="597"/>
      <c r="J10" s="20"/>
      <c r="K10" s="20"/>
      <c r="L10" s="20"/>
      <c r="M10" s="20"/>
      <c r="N10" s="20"/>
      <c r="O10" s="20"/>
      <c r="P10" s="20"/>
      <c r="Q10" s="20"/>
      <c r="R10" s="20"/>
      <c r="S10" s="20"/>
      <c r="T10" s="20"/>
      <c r="U10" s="20"/>
      <c r="V10" s="20"/>
      <c r="W10" s="20"/>
      <c r="X10" s="20"/>
      <c r="Y10" s="20"/>
      <c r="Z10" s="20"/>
      <c r="AA10" s="20"/>
      <c r="AB10" s="20"/>
      <c r="AC10" s="530" t="s">
        <v>7</v>
      </c>
      <c r="AD10" s="530" t="s">
        <v>8</v>
      </c>
      <c r="AE10" s="530" t="s">
        <v>9</v>
      </c>
      <c r="AF10" s="20"/>
      <c r="AG10" s="20"/>
    </row>
    <row r="11" spans="1:37" customFormat="1" ht="22.5" customHeight="1" x14ac:dyDescent="0.2">
      <c r="A11" s="623"/>
      <c r="B11" s="623"/>
      <c r="C11" s="623"/>
      <c r="D11" s="623"/>
      <c r="E11" s="623"/>
      <c r="F11" s="623"/>
      <c r="G11" s="2440" t="str">
        <f>B4&amp; " ="</f>
        <v>Refining losses (mass) =</v>
      </c>
      <c r="H11" s="2440"/>
      <c r="I11" s="2440"/>
      <c r="J11" s="2439" t="str">
        <f>B32&amp;" - "&amp;B37</f>
        <v>Input(s), Total - Output(s), Total</v>
      </c>
      <c r="K11" s="2439"/>
      <c r="L11" s="20"/>
      <c r="M11" s="20"/>
      <c r="N11" s="20"/>
      <c r="O11" s="20"/>
      <c r="P11" s="20"/>
      <c r="Q11" s="20"/>
      <c r="R11" s="20"/>
      <c r="S11" s="20"/>
      <c r="T11" s="20"/>
      <c r="U11" s="20"/>
      <c r="V11" s="20"/>
      <c r="W11" s="20"/>
      <c r="X11" s="20"/>
      <c r="Y11" s="20"/>
      <c r="Z11" s="20"/>
      <c r="AA11" s="20"/>
      <c r="AB11" s="576">
        <v>1</v>
      </c>
      <c r="AC11" s="1079" t="s">
        <v>8155</v>
      </c>
      <c r="AD11" s="1079" t="s">
        <v>8156</v>
      </c>
      <c r="AE11" s="1079" t="s">
        <v>148</v>
      </c>
      <c r="AF11" s="20"/>
      <c r="AG11" s="20"/>
    </row>
    <row r="12" spans="1:37" customFormat="1" ht="15.75" customHeight="1" x14ac:dyDescent="0.2">
      <c r="A12" s="623"/>
      <c r="B12" s="623"/>
      <c r="C12" s="623"/>
      <c r="D12" s="623"/>
      <c r="E12" s="623"/>
      <c r="F12" s="623"/>
      <c r="G12" s="802"/>
      <c r="H12" s="802"/>
      <c r="I12" s="1280" t="s">
        <v>8130</v>
      </c>
      <c r="J12" s="2434" t="str">
        <f>TEXT(C32,"0")&amp;" "&amp;IronSteel_CokeOven!D33&amp;" - "&amp;TEXT(C37,"0")&amp;" "&amp;IronSteel_CokeOven!D33</f>
        <v>19624 kt - 17255 kt</v>
      </c>
      <c r="K12" s="2434"/>
      <c r="L12" s="20"/>
      <c r="M12" s="20"/>
      <c r="N12" s="20"/>
      <c r="O12" s="20"/>
      <c r="P12" s="20"/>
      <c r="Q12" s="20"/>
      <c r="R12" s="20"/>
      <c r="S12" s="20"/>
      <c r="T12" s="20"/>
      <c r="U12" s="20"/>
      <c r="V12" s="20"/>
      <c r="W12" s="20"/>
      <c r="X12" s="20"/>
      <c r="Y12" s="20"/>
      <c r="Z12" s="20"/>
      <c r="AA12" s="20"/>
      <c r="AB12" s="576">
        <v>2</v>
      </c>
      <c r="AC12" s="576" t="s">
        <v>8157</v>
      </c>
      <c r="AD12" s="576" t="s">
        <v>8158</v>
      </c>
      <c r="AE12" s="576" t="s">
        <v>148</v>
      </c>
      <c r="AF12" s="20"/>
      <c r="AG12" s="20"/>
      <c r="AH12" s="20"/>
    </row>
    <row r="13" spans="1:37" customFormat="1" ht="15.75" customHeight="1" x14ac:dyDescent="0.2">
      <c r="A13" s="623"/>
      <c r="B13" s="623"/>
      <c r="C13" s="623"/>
      <c r="D13" s="623"/>
      <c r="E13" s="623"/>
      <c r="F13" s="623"/>
      <c r="G13" s="1281"/>
      <c r="H13" s="1282"/>
      <c r="I13" s="1280" t="s">
        <v>8130</v>
      </c>
      <c r="J13" s="2435" t="str">
        <f>C33&amp;" "&amp;D33</f>
        <v>2369.66072124978 kt</v>
      </c>
      <c r="K13" s="2435"/>
      <c r="L13" s="1041"/>
      <c r="M13" s="20"/>
      <c r="N13" s="20"/>
      <c r="O13" s="20"/>
      <c r="P13" s="20"/>
      <c r="Q13" s="20"/>
      <c r="R13" s="20"/>
      <c r="S13" s="20"/>
      <c r="T13" s="20"/>
      <c r="U13" s="20"/>
      <c r="V13" s="20"/>
      <c r="W13" s="20"/>
      <c r="X13" s="20"/>
      <c r="Y13" s="20"/>
      <c r="Z13" s="20"/>
      <c r="AA13" s="20"/>
      <c r="AB13" s="576">
        <v>3</v>
      </c>
      <c r="AC13" s="576" t="s">
        <v>8159</v>
      </c>
      <c r="AD13" s="576" t="s">
        <v>8160</v>
      </c>
      <c r="AE13" s="576" t="s">
        <v>148</v>
      </c>
      <c r="AF13" s="1235" t="s">
        <v>8161</v>
      </c>
      <c r="AG13" s="1194"/>
    </row>
    <row r="14" spans="1:37" customFormat="1" ht="15.75" customHeight="1" x14ac:dyDescent="0.2">
      <c r="A14" s="623"/>
      <c r="B14" s="623"/>
      <c r="C14" s="623"/>
      <c r="D14" s="623"/>
      <c r="E14" s="623"/>
      <c r="F14" s="623"/>
      <c r="G14" s="1281"/>
      <c r="H14" s="1282"/>
      <c r="I14" s="209"/>
      <c r="J14" s="1040" t="str">
        <f>HLOOKUP(LangChoice,$AC$10:$AE$40,$AB25+1,FALSE)</f>
        <v>Must always be &gt; 0 !</v>
      </c>
      <c r="K14" s="373"/>
      <c r="L14" s="20"/>
      <c r="M14" s="20"/>
      <c r="N14" s="20"/>
      <c r="O14" s="20"/>
      <c r="P14" s="20"/>
      <c r="Q14" s="20"/>
      <c r="R14" s="20"/>
      <c r="S14" s="20"/>
      <c r="T14" s="20"/>
      <c r="U14" s="20"/>
      <c r="V14" s="20"/>
      <c r="W14" s="20"/>
      <c r="X14" s="20"/>
      <c r="Y14" s="20"/>
      <c r="Z14" s="20"/>
      <c r="AA14" s="20"/>
      <c r="AB14" s="576">
        <v>4</v>
      </c>
      <c r="AC14" s="576" t="s">
        <v>8162</v>
      </c>
      <c r="AD14" s="576" t="s">
        <v>8163</v>
      </c>
      <c r="AE14" s="576" t="s">
        <v>148</v>
      </c>
      <c r="AF14" s="589">
        <v>0</v>
      </c>
      <c r="AG14" s="652" t="b">
        <f>IF($C$34&lt;AF14,TRUE,FALSE)</f>
        <v>0</v>
      </c>
    </row>
    <row r="15" spans="1:37" customFormat="1" ht="15.75" customHeight="1" x14ac:dyDescent="0.2">
      <c r="A15" s="623"/>
      <c r="B15" s="623"/>
      <c r="C15" s="623"/>
      <c r="D15" s="623"/>
      <c r="E15" s="623"/>
      <c r="F15" s="623"/>
      <c r="G15" s="1281"/>
      <c r="H15" s="1282"/>
      <c r="I15" s="1280" t="str">
        <f>B34</f>
        <v>share of the input:</v>
      </c>
      <c r="J15" s="1038" t="str">
        <f>IFERROR(ROUND(C34,1)&amp;D34,"..")</f>
        <v>12.1%</v>
      </c>
      <c r="K15" s="560"/>
      <c r="L15" s="560"/>
      <c r="M15" s="20"/>
      <c r="N15" s="20"/>
      <c r="O15" s="20"/>
      <c r="P15" s="20"/>
      <c r="Q15" s="20"/>
      <c r="R15" s="20"/>
      <c r="S15" s="20"/>
      <c r="T15" s="20"/>
      <c r="U15" s="20"/>
      <c r="V15" s="20"/>
      <c r="W15" s="20"/>
      <c r="X15" s="20"/>
      <c r="Y15" s="20"/>
      <c r="Z15" s="20"/>
      <c r="AA15" s="20"/>
      <c r="AB15" s="576">
        <v>5</v>
      </c>
      <c r="AC15" s="576" t="s">
        <v>8164</v>
      </c>
      <c r="AD15" s="576" t="s">
        <v>8165</v>
      </c>
      <c r="AE15" s="576" t="s">
        <v>148</v>
      </c>
      <c r="AF15" s="589">
        <v>5</v>
      </c>
      <c r="AG15" s="652" t="b">
        <f>IF($C$34&lt;AF15,TRUE,FALSE)</f>
        <v>0</v>
      </c>
    </row>
    <row r="16" spans="1:37" customFormat="1" ht="15.75" customHeight="1" x14ac:dyDescent="0.2">
      <c r="A16" s="623"/>
      <c r="B16" s="623"/>
      <c r="C16" s="623"/>
      <c r="D16" s="623"/>
      <c r="E16" s="623"/>
      <c r="F16" s="623"/>
      <c r="G16" s="623"/>
      <c r="H16" s="597"/>
      <c r="I16" s="597"/>
      <c r="J16" s="20"/>
      <c r="K16" s="373"/>
      <c r="L16" s="20"/>
      <c r="M16" s="20"/>
      <c r="N16" s="20"/>
      <c r="O16" s="20"/>
      <c r="P16" s="20"/>
      <c r="Q16" s="20"/>
      <c r="R16" s="20"/>
      <c r="S16" s="20"/>
      <c r="T16" s="20"/>
      <c r="U16" s="20"/>
      <c r="V16" s="20"/>
      <c r="W16" s="20"/>
      <c r="X16" s="20"/>
      <c r="Y16" s="20"/>
      <c r="Z16" s="20"/>
      <c r="AA16" s="20"/>
      <c r="AB16" s="576">
        <v>6</v>
      </c>
      <c r="AC16" s="576" t="s">
        <v>8166</v>
      </c>
      <c r="AD16" s="576" t="s">
        <v>8167</v>
      </c>
      <c r="AE16" s="576" t="s">
        <v>148</v>
      </c>
      <c r="AF16" s="589">
        <v>10</v>
      </c>
      <c r="AG16" s="652" t="b">
        <f>IF($C$34&lt;AF16,TRUE,FALSE)</f>
        <v>0</v>
      </c>
    </row>
    <row r="17" spans="1:33" customFormat="1" ht="15.75" customHeight="1" x14ac:dyDescent="0.2">
      <c r="A17" s="623"/>
      <c r="B17" s="623"/>
      <c r="C17" s="623"/>
      <c r="D17" s="623"/>
      <c r="E17" s="623"/>
      <c r="F17" s="623"/>
      <c r="G17" s="623"/>
      <c r="H17" s="597"/>
      <c r="I17" s="597"/>
      <c r="J17" s="240" t="str">
        <f>IronSteel_CokeOven!K19</f>
        <v>Ranges:</v>
      </c>
      <c r="K17" s="20"/>
      <c r="L17" s="20"/>
      <c r="M17" s="20"/>
      <c r="N17" s="20"/>
      <c r="O17" s="20"/>
      <c r="P17" s="20"/>
      <c r="Q17" s="20"/>
      <c r="R17" s="20"/>
      <c r="S17" s="20"/>
      <c r="T17" s="20"/>
      <c r="U17" s="20"/>
      <c r="V17" s="20"/>
      <c r="W17" s="20"/>
      <c r="X17" s="20"/>
      <c r="Y17" s="20"/>
      <c r="Z17" s="20"/>
      <c r="AA17" s="20"/>
      <c r="AB17" s="576">
        <v>7</v>
      </c>
      <c r="AC17" s="576" t="s">
        <v>8168</v>
      </c>
      <c r="AD17" s="576" t="s">
        <v>8169</v>
      </c>
      <c r="AE17" s="576" t="s">
        <v>148</v>
      </c>
      <c r="AF17" s="625" t="s">
        <v>8170</v>
      </c>
      <c r="AG17" s="652" t="b">
        <f>IF($C$34&gt;AF16,TRUE,FALSE)</f>
        <v>1</v>
      </c>
    </row>
    <row r="18" spans="1:33" customFormat="1" ht="15.75" customHeight="1" x14ac:dyDescent="0.2">
      <c r="A18" s="623"/>
      <c r="B18" s="623"/>
      <c r="C18" s="623"/>
      <c r="D18" s="623"/>
      <c r="E18" s="623"/>
      <c r="F18" s="623"/>
      <c r="G18" s="623"/>
      <c r="H18" s="597"/>
      <c r="I18" s="597"/>
      <c r="J18" s="564" t="str">
        <f>"&lt; " &amp; TEXT(AF14,"0%")</f>
        <v>&lt; 0%</v>
      </c>
      <c r="K18" s="20" t="str">
        <f>IronSteel_CokeOven!M23</f>
        <v>Impossible</v>
      </c>
      <c r="L18" s="20"/>
      <c r="M18" s="20"/>
      <c r="N18" s="20"/>
      <c r="O18" s="20"/>
      <c r="P18" s="20"/>
      <c r="Q18" s="20"/>
      <c r="R18" s="20"/>
      <c r="S18" s="20"/>
      <c r="T18" s="20"/>
      <c r="U18" s="20"/>
      <c r="V18" s="20"/>
      <c r="W18" s="20"/>
      <c r="X18" s="20"/>
      <c r="Y18" s="20"/>
      <c r="Z18" s="20"/>
      <c r="AA18" s="20"/>
      <c r="AB18" s="576">
        <v>8</v>
      </c>
      <c r="AC18" s="576" t="s">
        <v>8171</v>
      </c>
      <c r="AD18" s="576" t="s">
        <v>8172</v>
      </c>
      <c r="AE18" s="576" t="s">
        <v>148</v>
      </c>
      <c r="AF18" s="627" t="s">
        <v>8173</v>
      </c>
      <c r="AG18" s="1237">
        <f>MATCH(TRUE,AG14:AG17,0)+4</f>
        <v>8</v>
      </c>
    </row>
    <row r="19" spans="1:33" customFormat="1" ht="15.75" customHeight="1" x14ac:dyDescent="0.2">
      <c r="A19" s="623"/>
      <c r="B19" s="623"/>
      <c r="C19" s="623"/>
      <c r="D19" s="623"/>
      <c r="E19" s="623"/>
      <c r="F19" s="623"/>
      <c r="G19" s="623"/>
      <c r="H19" s="597"/>
      <c r="I19" s="597"/>
      <c r="J19" s="564" t="str">
        <f>TEXT(AF14/100,"0") &amp; " - " &amp; TEXT(AF15/100,"0%")</f>
        <v>0 - 5%</v>
      </c>
      <c r="K19" s="20" t="str">
        <f>IronSteel_CokeOven!M21</f>
        <v>Reasonable</v>
      </c>
      <c r="L19" s="207"/>
      <c r="M19" s="20"/>
      <c r="N19" s="20"/>
      <c r="O19" s="20"/>
      <c r="P19" s="20"/>
      <c r="Q19" s="20"/>
      <c r="R19" s="20"/>
      <c r="S19" s="20"/>
      <c r="T19" s="20"/>
      <c r="U19" s="20"/>
      <c r="V19" s="20"/>
      <c r="W19" s="20"/>
      <c r="X19" s="20"/>
      <c r="Y19" s="20"/>
      <c r="Z19" s="20"/>
      <c r="AA19" s="20"/>
      <c r="AB19" s="576">
        <v>9</v>
      </c>
      <c r="AC19" s="576" t="s">
        <v>8174</v>
      </c>
      <c r="AD19" s="207" t="s">
        <v>8175</v>
      </c>
      <c r="AE19" s="576" t="s">
        <v>148</v>
      </c>
      <c r="AF19" s="20"/>
      <c r="AG19" s="20"/>
    </row>
    <row r="20" spans="1:33" customFormat="1" ht="15.75" customHeight="1" x14ac:dyDescent="0.2">
      <c r="A20" s="623"/>
      <c r="B20" s="623"/>
      <c r="C20" s="623"/>
      <c r="D20" s="623"/>
      <c r="E20" s="623"/>
      <c r="F20" s="623"/>
      <c r="G20" s="623"/>
      <c r="H20" s="597"/>
      <c r="I20" s="597"/>
      <c r="J20" s="564" t="str">
        <f>TEXT(AF15/100,"0%") &amp; " - " &amp; TEXT(AF16/100,"0%")</f>
        <v>5% - 10%</v>
      </c>
      <c r="K20" s="1042" t="str">
        <f>IronSteel_CokeOven!M22</f>
        <v>High</v>
      </c>
      <c r="L20" s="20"/>
      <c r="M20" s="20"/>
      <c r="N20" s="20"/>
      <c r="O20" s="20"/>
      <c r="P20" s="20"/>
      <c r="Q20" s="20"/>
      <c r="R20" s="20"/>
      <c r="S20" s="20"/>
      <c r="T20" s="20"/>
      <c r="U20" s="20"/>
      <c r="V20" s="20"/>
      <c r="W20" s="20"/>
      <c r="X20" s="20"/>
      <c r="Y20" s="20"/>
      <c r="Z20" s="20"/>
      <c r="AA20" s="20"/>
      <c r="AB20" s="576">
        <v>10</v>
      </c>
      <c r="AC20" s="576" t="s">
        <v>8176</v>
      </c>
      <c r="AD20" s="576" t="s">
        <v>8177</v>
      </c>
      <c r="AE20" s="576" t="s">
        <v>148</v>
      </c>
      <c r="AF20" s="20"/>
      <c r="AG20" s="20"/>
    </row>
    <row r="21" spans="1:33" customFormat="1" ht="15.75" customHeight="1" x14ac:dyDescent="0.2">
      <c r="A21" s="623"/>
      <c r="B21" s="623"/>
      <c r="C21" s="623"/>
      <c r="D21" s="623"/>
      <c r="E21" s="623"/>
      <c r="F21" s="623"/>
      <c r="G21" s="623"/>
      <c r="H21" s="597"/>
      <c r="I21" s="597"/>
      <c r="J21" s="564" t="str">
        <f>"&gt; " &amp; TEXT(AF16/100,"0%")</f>
        <v>&gt; 10%</v>
      </c>
      <c r="K21" s="20" t="str">
        <f>HLOOKUP(LangChoice,$AC$10:$AE$40,$AB26+1,FALSE)</f>
        <v>Suspicious</v>
      </c>
      <c r="L21" s="20"/>
      <c r="M21" s="20"/>
      <c r="N21" s="20"/>
      <c r="O21" s="20"/>
      <c r="P21" s="20"/>
      <c r="Q21" s="20"/>
      <c r="R21" s="20"/>
      <c r="S21" s="20"/>
      <c r="T21" s="20"/>
      <c r="U21" s="20"/>
      <c r="V21" s="20"/>
      <c r="W21" s="20"/>
      <c r="X21" s="20"/>
      <c r="Y21" s="20"/>
      <c r="Z21" s="20"/>
      <c r="AA21" s="20"/>
      <c r="AB21" s="576">
        <v>11</v>
      </c>
      <c r="AC21" s="576" t="s">
        <v>8178</v>
      </c>
      <c r="AD21" s="576" t="s">
        <v>8179</v>
      </c>
      <c r="AE21" s="576" t="s">
        <v>148</v>
      </c>
      <c r="AF21" s="20"/>
      <c r="AG21" s="20"/>
    </row>
    <row r="22" spans="1:33" customFormat="1" ht="15.75" customHeight="1" x14ac:dyDescent="0.2">
      <c r="A22" s="623"/>
      <c r="B22" s="623"/>
      <c r="C22" s="623"/>
      <c r="D22" s="623"/>
      <c r="E22" s="623"/>
      <c r="F22" s="623"/>
      <c r="G22" s="623"/>
      <c r="H22" s="597"/>
      <c r="I22" s="597"/>
      <c r="J22" s="597"/>
      <c r="K22" s="20"/>
      <c r="L22" s="20"/>
      <c r="M22" s="20"/>
      <c r="N22" s="20"/>
      <c r="O22" s="20"/>
      <c r="P22" s="20"/>
      <c r="Q22" s="20"/>
      <c r="R22" s="20"/>
      <c r="S22" s="20"/>
      <c r="T22" s="20"/>
      <c r="U22" s="20"/>
      <c r="V22" s="20"/>
      <c r="W22" s="20"/>
      <c r="X22" s="20"/>
      <c r="Y22" s="20"/>
      <c r="Z22" s="20"/>
      <c r="AA22" s="20"/>
      <c r="AB22" s="576">
        <v>12</v>
      </c>
      <c r="AC22" s="576" t="s">
        <v>8180</v>
      </c>
      <c r="AD22" s="576" t="s">
        <v>8181</v>
      </c>
      <c r="AE22" s="576" t="s">
        <v>148</v>
      </c>
      <c r="AF22" s="20"/>
      <c r="AG22" s="20"/>
    </row>
    <row r="23" spans="1:33" customFormat="1" ht="63.75" customHeight="1" x14ac:dyDescent="0.2">
      <c r="A23" s="2416" t="str">
        <f>HLOOKUP(LangChoice,$AC$10:$AE$40,$AB13+1,FALSE)</f>
        <v>Refinery losses are mass differences which appear between the total oil throughput of the refinery (reported as Refinery Intake Observed in Table 1) and the total gross production of finished products (reported in Table 2A). The losses arise through genuine oil losses and the conversion of refinery statistics used within the refineries to mass units.</v>
      </c>
      <c r="B23" s="2416"/>
      <c r="C23" s="2416"/>
      <c r="D23" s="2416"/>
      <c r="E23" s="2416"/>
      <c r="F23" s="2416"/>
      <c r="G23" s="2416"/>
      <c r="H23" s="2416"/>
      <c r="I23" s="597"/>
      <c r="J23" s="2436" t="str">
        <f>IF($J$15="..",HLOOKUP(LangChoice,$AC$10:$AE$40,$AB27+1,FALSE),HLOOKUP(LangChoice,$AC$10:$AE$17,AG18,FALSE))</f>
        <v>Oil refinery losses are notably high. Please verify the input and output values.</v>
      </c>
      <c r="K23" s="2437"/>
      <c r="L23" s="678"/>
      <c r="M23" s="20"/>
      <c r="N23" s="20"/>
      <c r="O23" s="20"/>
      <c r="P23" s="20"/>
      <c r="Q23" s="20"/>
      <c r="R23" s="20"/>
      <c r="S23" s="20"/>
      <c r="T23" s="20"/>
      <c r="U23" s="20"/>
      <c r="V23" s="20"/>
      <c r="W23" s="20"/>
      <c r="X23" s="20"/>
      <c r="Y23" s="20"/>
      <c r="Z23" s="20"/>
      <c r="AA23" s="20"/>
      <c r="AB23" s="576">
        <v>13</v>
      </c>
      <c r="AC23" s="576" t="s">
        <v>8182</v>
      </c>
      <c r="AD23" s="576" t="s">
        <v>8183</v>
      </c>
      <c r="AE23" s="576" t="s">
        <v>148</v>
      </c>
      <c r="AF23" s="1240" t="s">
        <v>8184</v>
      </c>
      <c r="AG23" s="20"/>
    </row>
    <row r="24" spans="1:33" customFormat="1" ht="33" customHeight="1" x14ac:dyDescent="0.2">
      <c r="A24" s="623"/>
      <c r="B24" s="623"/>
      <c r="C24" s="623"/>
      <c r="D24" s="623"/>
      <c r="E24" s="623"/>
      <c r="F24" s="623"/>
      <c r="G24" s="623"/>
      <c r="H24" s="597"/>
      <c r="I24" s="597"/>
      <c r="J24" s="597"/>
      <c r="K24" s="20"/>
      <c r="L24" s="20"/>
      <c r="M24" s="20"/>
      <c r="N24" s="20"/>
      <c r="O24" s="20"/>
      <c r="P24" s="20"/>
      <c r="Q24" s="20"/>
      <c r="R24" s="20"/>
      <c r="S24" s="20"/>
      <c r="T24" s="20"/>
      <c r="U24" s="20"/>
      <c r="V24" s="20"/>
      <c r="W24" s="20"/>
      <c r="X24" s="20"/>
      <c r="Y24" s="20"/>
      <c r="Z24" s="20"/>
      <c r="AA24" s="20"/>
      <c r="AB24" s="576">
        <v>14</v>
      </c>
      <c r="AC24" s="576" t="str">
        <f>"Difference between losses in mass and energy terms is "&amp; TEXT(AF24,"0%") &amp; ". Check the calorific values!"</f>
        <v>Difference between losses in mass and energy terms is -229%. Check the calorific values!</v>
      </c>
      <c r="AD24" s="576" t="str">
        <f>"Разница между потерями в массовом и энергетическом выражении составляет " &amp; TEXT(AF24,"0%") &amp; ". Проверьте значения теплотворной способности!"</f>
        <v>Разница между потерями в массовом и энергетическом выражении составляет -229%. Проверьте значения теплотворной способности!</v>
      </c>
      <c r="AE24" s="576" t="s">
        <v>148</v>
      </c>
      <c r="AF24" s="1238">
        <f>(C33-E35)/C33</f>
        <v>-2.2941801205183383</v>
      </c>
      <c r="AG24" s="20"/>
    </row>
    <row r="25" spans="1:33" customFormat="1" ht="19.5" customHeight="1" x14ac:dyDescent="0.2">
      <c r="A25" s="621"/>
      <c r="B25" s="621"/>
      <c r="C25" s="621"/>
      <c r="D25" s="621"/>
      <c r="E25" s="621"/>
      <c r="F25" s="621"/>
      <c r="G25" s="621"/>
      <c r="H25" s="597"/>
      <c r="I25" s="597"/>
      <c r="J25" s="20"/>
      <c r="K25" s="20"/>
      <c r="L25" s="20"/>
      <c r="M25" s="20"/>
      <c r="N25" s="20"/>
      <c r="O25" s="20"/>
      <c r="P25" s="20"/>
      <c r="Q25" s="20"/>
      <c r="R25" s="20"/>
      <c r="S25" s="20"/>
      <c r="T25" s="20"/>
      <c r="U25" s="20"/>
      <c r="V25" s="20"/>
      <c r="W25" s="20"/>
      <c r="X25" s="20"/>
      <c r="Y25" s="20"/>
      <c r="Z25" s="20"/>
      <c r="AA25" s="20"/>
      <c r="AB25" s="576">
        <v>15</v>
      </c>
      <c r="AC25" s="576" t="s">
        <v>8185</v>
      </c>
      <c r="AD25" s="576" t="s">
        <v>8186</v>
      </c>
      <c r="AE25" s="576" t="s">
        <v>148</v>
      </c>
      <c r="AF25" s="20"/>
      <c r="AG25" s="20"/>
    </row>
    <row r="26" spans="1:33" ht="36.75" customHeight="1" x14ac:dyDescent="0.2">
      <c r="A26" s="1284" t="str">
        <f>IronSteel_CokeOven!$A$33</f>
        <v>Input(s)</v>
      </c>
      <c r="B26" s="32"/>
      <c r="C26" s="1283" t="str">
        <f>IronSteel_CokeOven!$C$32&amp;" ["&amp;IronSteel_CokeOven!$D$33&amp;"]"</f>
        <v>Physical quantity [kt]</v>
      </c>
      <c r="D26" s="1283" t="str">
        <f>IronSteel_CokeOven!$E$32&amp;" ["&amp;IronSteel_CokeOven!$F$33&amp;"]"</f>
        <v>NCV [kJ/kg]</v>
      </c>
      <c r="E26" s="1283" t="str">
        <f>IronSteel_CokeOven!$G$32&amp;" ["&amp;IronSteel_CokeOven!$H$33&amp;"]"</f>
        <v>Energy quantity [ktoe]</v>
      </c>
      <c r="F26" s="998"/>
      <c r="L26" s="576"/>
      <c r="M26" s="576"/>
      <c r="N26" s="576"/>
      <c r="O26" s="576"/>
      <c r="P26" s="576"/>
      <c r="Q26" s="576"/>
      <c r="R26" s="576"/>
      <c r="S26" s="576"/>
      <c r="T26" s="576"/>
      <c r="U26" s="576"/>
      <c r="V26" s="576"/>
      <c r="W26" s="576"/>
      <c r="X26" s="576"/>
      <c r="Y26" s="576"/>
      <c r="Z26" s="576"/>
      <c r="AA26" s="576"/>
      <c r="AB26" s="576">
        <v>16</v>
      </c>
      <c r="AC26" s="576" t="s">
        <v>8187</v>
      </c>
      <c r="AD26" s="576" t="s">
        <v>8188</v>
      </c>
      <c r="AE26" s="576" t="s">
        <v>148</v>
      </c>
    </row>
    <row r="27" spans="1:33" ht="12.75" customHeight="1" x14ac:dyDescent="0.2">
      <c r="A27" s="999"/>
      <c r="B27" s="1269" t="str">
        <f>CRUDEOIL</f>
        <v>Crude oil</v>
      </c>
      <c r="C27" s="608">
        <f>'For printing'!U$35</f>
        <v>19079.3</v>
      </c>
      <c r="D27" s="568">
        <f>'Conversion factors'!C18</f>
        <v>42300</v>
      </c>
      <c r="E27" s="679">
        <f>C27*D27/MJ_per_toe</f>
        <v>19276.162940670678</v>
      </c>
      <c r="F27" s="606" t="str">
        <f>A6&amp;" "&amp;B6&amp;":"</f>
        <v>3.3) Own energy use:</v>
      </c>
      <c r="G27" s="578">
        <f ca="1">-ROUND('Disaggregated Balance'!$BP$45,0)</f>
        <v>44655</v>
      </c>
      <c r="H27" s="576" t="str">
        <f>IronSteel_CokeOven!H33</f>
        <v>ktoe</v>
      </c>
      <c r="AB27" s="576">
        <v>17</v>
      </c>
      <c r="AC27" s="576" t="s">
        <v>8101</v>
      </c>
      <c r="AD27" s="1134" t="s">
        <v>8102</v>
      </c>
      <c r="AE27" s="812" t="s">
        <v>148</v>
      </c>
    </row>
    <row r="28" spans="1:33" x14ac:dyDescent="0.2">
      <c r="A28" s="590"/>
      <c r="B28" s="1269" t="str">
        <f>NGL</f>
        <v>Natural gas liquids (NGL)</v>
      </c>
      <c r="C28" s="608">
        <f>'For printing'!V$35</f>
        <v>393.02</v>
      </c>
      <c r="D28" s="568">
        <f>'Conversion factors'!C19</f>
        <v>42743</v>
      </c>
      <c r="E28" s="680">
        <f>C28*D28/MJ_per_toe</f>
        <v>401.23373125059709</v>
      </c>
      <c r="F28" s="300" t="str">
        <f>HLOOKUP(LangChoice,$AC$10:$AE$40,$AB28+1,FALSE)</f>
        <v>share of the input:</v>
      </c>
      <c r="G28" s="607">
        <f ca="1">IFERROR(G27/$E$32*100,"..")</f>
        <v>225.19595900379636</v>
      </c>
      <c r="H28" s="576" t="s">
        <v>8189</v>
      </c>
      <c r="AB28" s="576">
        <v>18</v>
      </c>
      <c r="AC28" s="576" t="s">
        <v>8190</v>
      </c>
      <c r="AD28" s="576" t="s">
        <v>8191</v>
      </c>
      <c r="AE28" s="812" t="s">
        <v>148</v>
      </c>
    </row>
    <row r="29" spans="1:33" x14ac:dyDescent="0.2">
      <c r="A29" s="590"/>
      <c r="B29" s="1269" t="str">
        <f>REFFEEDS</f>
        <v>Refinery feedstocks</v>
      </c>
      <c r="C29" s="608">
        <f>'For printing'!W$35</f>
        <v>152</v>
      </c>
      <c r="D29" s="568">
        <f>'Conversion factors'!C20</f>
        <v>41868</v>
      </c>
      <c r="E29" s="680">
        <f>C29*D29/MJ_per_toe</f>
        <v>152</v>
      </c>
      <c r="O29" s="576"/>
      <c r="P29" s="576"/>
      <c r="Q29" s="576"/>
      <c r="R29" s="576"/>
      <c r="S29" s="576"/>
      <c r="AB29" s="576">
        <v>19</v>
      </c>
      <c r="AC29" s="20" t="s">
        <v>545</v>
      </c>
      <c r="AD29" s="20" t="s">
        <v>8192</v>
      </c>
      <c r="AE29" s="20" t="s">
        <v>545</v>
      </c>
    </row>
    <row r="30" spans="1:33" x14ac:dyDescent="0.2">
      <c r="A30" s="590"/>
      <c r="B30" s="1269" t="str">
        <f>ADDITIVE</f>
        <v>Additives/ blending components</v>
      </c>
      <c r="C30" s="608">
        <f>'For printing'!X$35</f>
        <v>0</v>
      </c>
      <c r="D30" s="568">
        <f>'Conversion factors'!C21</f>
        <v>41868</v>
      </c>
      <c r="E30" s="680">
        <f>C30*D30/MJ_per_toe</f>
        <v>0</v>
      </c>
      <c r="O30" s="576"/>
      <c r="P30" s="576"/>
      <c r="Q30" s="576"/>
      <c r="R30" s="576"/>
      <c r="S30" s="576"/>
      <c r="AB30" s="576">
        <v>20</v>
      </c>
      <c r="AC30" s="576" t="s">
        <v>8193</v>
      </c>
      <c r="AD30" s="576" t="s">
        <v>8194</v>
      </c>
      <c r="AE30" s="812" t="s">
        <v>148</v>
      </c>
    </row>
    <row r="31" spans="1:33" x14ac:dyDescent="0.2">
      <c r="A31" s="590"/>
      <c r="B31" s="1269" t="str">
        <f>NONCRUDE</f>
        <v>Other hydro-carbons</v>
      </c>
      <c r="C31" s="608">
        <f>'For printing'!Y$35</f>
        <v>0</v>
      </c>
      <c r="D31" s="568">
        <f>'Conversion factors'!C22</f>
        <v>40520</v>
      </c>
      <c r="E31" s="680">
        <f>C31*D31/MJ_per_toe</f>
        <v>0</v>
      </c>
      <c r="O31" s="576"/>
      <c r="P31" s="576"/>
      <c r="Q31" s="576"/>
      <c r="R31" s="576"/>
      <c r="S31" s="576"/>
      <c r="AB31" s="576">
        <v>21</v>
      </c>
      <c r="AC31" s="20" t="s">
        <v>8195</v>
      </c>
      <c r="AD31" s="20" t="s">
        <v>554</v>
      </c>
      <c r="AE31" s="20" t="s">
        <v>8196</v>
      </c>
    </row>
    <row r="32" spans="1:33" ht="15" customHeight="1" thickBot="1" x14ac:dyDescent="0.25">
      <c r="A32" s="267"/>
      <c r="B32" s="1288" t="str">
        <f>A26&amp; ", "&amp; HLOOKUP(LangChoice,$AC$10:$AE$57,$AB34+1,FALSE)</f>
        <v>Input(s), Total</v>
      </c>
      <c r="C32" s="600">
        <f>SUM(C27:C31)</f>
        <v>19624.32</v>
      </c>
      <c r="D32" s="601"/>
      <c r="E32" s="681">
        <f>SUM(E27:E31)</f>
        <v>19829.396671921277</v>
      </c>
      <c r="AB32" s="576">
        <v>22</v>
      </c>
      <c r="AC32" s="576" t="s">
        <v>8197</v>
      </c>
      <c r="AD32" s="576" t="s">
        <v>8198</v>
      </c>
      <c r="AE32" s="812" t="s">
        <v>148</v>
      </c>
    </row>
    <row r="33" spans="1:31" ht="12" thickTop="1" x14ac:dyDescent="0.2">
      <c r="B33" s="561" t="str">
        <f>A4&amp;" "&amp;B4&amp;":"</f>
        <v>3.1) Refining losses (mass):</v>
      </c>
      <c r="C33" s="644">
        <f>C32-C37</f>
        <v>2369.6607212497802</v>
      </c>
      <c r="D33" s="209" t="str">
        <f>IronSteel_CokeOven!D33</f>
        <v>kt</v>
      </c>
      <c r="E33" s="649" t="str">
        <f>IF(C33&lt;0,"Check!","")</f>
        <v/>
      </c>
      <c r="F33" s="1330" t="str">
        <f>IFERROR(IF(AND(C33*E35&gt;0,(C33-E35)/C33&gt;10%),HLOOKUP(LangChoice,$AC$10:$AE$57,$AB24+1,FALSE),""),"")</f>
        <v/>
      </c>
      <c r="AB33" s="576">
        <v>23</v>
      </c>
      <c r="AC33" s="576" t="s">
        <v>1347</v>
      </c>
      <c r="AD33" s="576" t="s">
        <v>7058</v>
      </c>
      <c r="AE33" s="576" t="s">
        <v>1293</v>
      </c>
    </row>
    <row r="34" spans="1:31" x14ac:dyDescent="0.2">
      <c r="B34" s="300" t="str">
        <f>F28</f>
        <v>share of the input:</v>
      </c>
      <c r="C34" s="645">
        <f>IFERROR(C33/$C$32*100,"..")</f>
        <v>12.075122711257155</v>
      </c>
      <c r="D34" s="20" t="s">
        <v>8189</v>
      </c>
      <c r="E34" s="650"/>
      <c r="G34" s="2433" t="str">
        <f>IF(AND($E$35&lt;0,$C$33&gt;=0),HLOOKUP(LangChoice,$AC$10:$AE$57,$AB23+1,FALSE),"")</f>
        <v/>
      </c>
      <c r="H34" s="2433"/>
      <c r="I34" s="2433"/>
      <c r="J34" s="2433"/>
      <c r="K34" s="2433"/>
      <c r="L34" s="2433"/>
      <c r="AB34" s="576">
        <v>24</v>
      </c>
      <c r="AC34" s="576" t="s">
        <v>375</v>
      </c>
      <c r="AD34" s="576" t="s">
        <v>376</v>
      </c>
      <c r="AE34" s="812" t="s">
        <v>148</v>
      </c>
    </row>
    <row r="35" spans="1:31" x14ac:dyDescent="0.2">
      <c r="B35" s="561" t="str">
        <f>A5&amp;" "&amp;B5&amp;":"</f>
        <v>3.2) Refining losses (energy):</v>
      </c>
      <c r="C35" s="648"/>
      <c r="D35" s="648"/>
      <c r="E35" s="646">
        <f>E32-E37</f>
        <v>7806.0892403141734</v>
      </c>
      <c r="F35" s="209" t="str">
        <f>H27</f>
        <v>ktoe</v>
      </c>
      <c r="G35" s="2433"/>
      <c r="H35" s="2433"/>
      <c r="I35" s="2433"/>
      <c r="J35" s="2433"/>
      <c r="K35" s="2433"/>
      <c r="L35" s="2433"/>
      <c r="AB35" s="576">
        <v>25</v>
      </c>
    </row>
    <row r="36" spans="1:31" ht="12" thickBot="1" x14ac:dyDescent="0.25">
      <c r="A36" s="251"/>
      <c r="B36" s="300" t="str">
        <f>F28</f>
        <v>share of the input:</v>
      </c>
      <c r="C36" s="648"/>
      <c r="D36" s="648"/>
      <c r="E36" s="647">
        <f>IFERROR(E35/$E$32*100,"..")</f>
        <v>39.366246837795686</v>
      </c>
      <c r="F36" s="20" t="s">
        <v>8189</v>
      </c>
      <c r="G36" s="2433"/>
      <c r="H36" s="2433"/>
      <c r="I36" s="2433"/>
      <c r="J36" s="2433"/>
      <c r="K36" s="2433"/>
      <c r="L36" s="2433"/>
      <c r="AB36" s="576">
        <v>26</v>
      </c>
    </row>
    <row r="37" spans="1:31" ht="15" customHeight="1" thickTop="1" x14ac:dyDescent="0.2">
      <c r="A37" s="1287" t="str">
        <f>IronSteel_CokeOven!A37</f>
        <v>Output(s)</v>
      </c>
      <c r="B37" s="1289" t="str">
        <f>A37&amp; ", "&amp; HLOOKUP(LangChoice,$AC$10:$AE$57,$AB34+1,FALSE)</f>
        <v>Output(s), Total</v>
      </c>
      <c r="C37" s="602">
        <f>SUM(C38:C54)</f>
        <v>17254.65927875022</v>
      </c>
      <c r="D37" s="603"/>
      <c r="E37" s="686">
        <f>SUM(E38:E54)</f>
        <v>12023.307431607103</v>
      </c>
      <c r="F37" s="606" t="str">
        <f>A7&amp;" "&amp;B7&amp;":"</f>
        <v>3.4) Output shares:</v>
      </c>
      <c r="AB37" s="576">
        <v>27</v>
      </c>
    </row>
    <row r="38" spans="1:31" x14ac:dyDescent="0.2">
      <c r="A38" s="1000" t="str">
        <f>$AC$66</f>
        <v>Other</v>
      </c>
      <c r="B38" s="1269" t="str">
        <f>REFINGAS</f>
        <v>Refinery gas</v>
      </c>
      <c r="C38" s="608">
        <f>'For printing'!Z$5</f>
        <v>270.18732421875001</v>
      </c>
      <c r="D38" s="568">
        <f>'Conversion factors'!C23</f>
        <v>29733</v>
      </c>
      <c r="E38" s="680">
        <f>C38*D38/MJ_per_toe</f>
        <v>191.8763664611659</v>
      </c>
      <c r="F38" s="579"/>
      <c r="AB38" s="576">
        <v>28</v>
      </c>
    </row>
    <row r="39" spans="1:31" x14ac:dyDescent="0.2">
      <c r="A39" s="1001" t="str">
        <f>$AC$61</f>
        <v>LPG</v>
      </c>
      <c r="B39" s="1269" t="str">
        <f>ETHANE</f>
        <v>Ethane</v>
      </c>
      <c r="C39" s="608">
        <f>'For printing'!AA$5</f>
        <v>0</v>
      </c>
      <c r="D39" s="568">
        <f>'Conversion factors'!C24</f>
        <v>6883</v>
      </c>
      <c r="E39" s="680">
        <f t="shared" ref="E39:E54" si="0">C39*D39/MJ_per_toe</f>
        <v>0</v>
      </c>
      <c r="F39" s="579"/>
      <c r="AB39" s="576">
        <v>29</v>
      </c>
    </row>
    <row r="40" spans="1:31" x14ac:dyDescent="0.2">
      <c r="A40" s="1001" t="str">
        <f>$AC$61</f>
        <v>LPG</v>
      </c>
      <c r="B40" s="1269" t="str">
        <f>LPG</f>
        <v>Liquefied petroleum gases (LPG)</v>
      </c>
      <c r="C40" s="608">
        <f>'For printing'!AB$5*540/1000000</f>
        <v>360.37693124999998</v>
      </c>
      <c r="D40" s="568">
        <f>'Conversion factors'!C25</f>
        <v>13632</v>
      </c>
      <c r="E40" s="680">
        <f t="shared" si="0"/>
        <v>117.33682828890799</v>
      </c>
      <c r="F40" s="579"/>
      <c r="AB40" s="576">
        <v>30</v>
      </c>
    </row>
    <row r="41" spans="1:31" x14ac:dyDescent="0.2">
      <c r="A41" s="1001" t="str">
        <f>$AC$61</f>
        <v>LPG</v>
      </c>
      <c r="B41" s="1285" t="str">
        <f>NAPHTHA</f>
        <v>Naphtha</v>
      </c>
      <c r="C41" s="608">
        <f>'For printing'!AJ$5*720/1000000</f>
        <v>214.03876500000001</v>
      </c>
      <c r="D41" s="568">
        <f>'Conversion factors'!C33</f>
        <v>23267</v>
      </c>
      <c r="E41" s="680">
        <f>C41*D41/MJ_per_toe</f>
        <v>118.94621059651763</v>
      </c>
      <c r="F41" s="579"/>
    </row>
    <row r="42" spans="1:31" x14ac:dyDescent="0.2">
      <c r="A42" s="1001" t="str">
        <f>$AC$62</f>
        <v>Aviation fuels</v>
      </c>
      <c r="B42" s="1285" t="str">
        <f>AVGAS</f>
        <v>Aviation gasoline</v>
      </c>
      <c r="C42" s="608">
        <v>0</v>
      </c>
      <c r="D42" s="568">
        <f>'Conversion factors'!C27</f>
        <v>24253</v>
      </c>
      <c r="E42" s="680">
        <f t="shared" si="0"/>
        <v>0</v>
      </c>
      <c r="F42" s="579"/>
    </row>
    <row r="43" spans="1:31" ht="11.25" customHeight="1" x14ac:dyDescent="0.2">
      <c r="A43" s="1001" t="str">
        <f>$AC$62</f>
        <v>Aviation fuels</v>
      </c>
      <c r="B43" s="1285" t="str">
        <f>JETGAS</f>
        <v>Gasoline type jet fuel</v>
      </c>
      <c r="C43" s="608">
        <f>'For printing'!AE$5*760/1000000</f>
        <v>460.36543999999998</v>
      </c>
      <c r="D43" s="568">
        <f>'Conversion factors'!C28</f>
        <v>23508</v>
      </c>
      <c r="E43" s="680">
        <f t="shared" si="0"/>
        <v>258.4854964058469</v>
      </c>
      <c r="F43" s="579"/>
      <c r="L43" s="629"/>
      <c r="M43" s="587"/>
      <c r="N43" s="587"/>
      <c r="O43" s="587"/>
      <c r="P43" s="587"/>
      <c r="Q43" s="587"/>
      <c r="R43" s="587"/>
      <c r="S43" s="587"/>
      <c r="T43" s="587"/>
      <c r="U43" s="587"/>
      <c r="V43" s="587"/>
      <c r="W43" s="587"/>
      <c r="X43" s="587"/>
      <c r="Y43" s="587"/>
      <c r="Z43" s="587"/>
      <c r="AA43" s="587"/>
    </row>
    <row r="44" spans="1:31" x14ac:dyDescent="0.2">
      <c r="A44" s="1002" t="str">
        <f>$AC$63</f>
        <v>Motor gasoline</v>
      </c>
      <c r="B44" s="1285" t="str">
        <f>NONBIOGASO</f>
        <v>Motor gasoline excl. biofuels</v>
      </c>
      <c r="C44" s="608">
        <f>'For printing'!AC$5*870/1000000</f>
        <v>6436.9190615400003</v>
      </c>
      <c r="D44" s="568">
        <f>'Conversion factors'!C26</f>
        <v>24117</v>
      </c>
      <c r="E44" s="680">
        <f>C44*D44/MJ_per_toe</f>
        <v>3707.8240423989728</v>
      </c>
      <c r="F44" s="579"/>
    </row>
    <row r="45" spans="1:31" ht="11.25" customHeight="1" x14ac:dyDescent="0.2">
      <c r="A45" s="1001" t="str">
        <f>$AC$66</f>
        <v>Other</v>
      </c>
      <c r="B45" s="1285" t="str">
        <f>WHITESP</f>
        <v>White spirit &amp; SBP</v>
      </c>
      <c r="C45" s="608">
        <f>'For printing'!AK$5*810/1000000</f>
        <v>17.07191279296875</v>
      </c>
      <c r="D45" s="568">
        <f>'Conversion factors'!C34</f>
        <v>27847</v>
      </c>
      <c r="E45" s="680">
        <f>C45*D45/MJ_per_toe</f>
        <v>11.35477107924431</v>
      </c>
      <c r="F45" s="579"/>
    </row>
    <row r="46" spans="1:31" x14ac:dyDescent="0.2">
      <c r="A46" s="1001" t="str">
        <f>$AC$62</f>
        <v>Aviation fuels</v>
      </c>
      <c r="B46" s="1285" t="str">
        <f>NONBIOJETK</f>
        <v>Kerosene type jet fuel excl. biofuels</v>
      </c>
      <c r="C46" s="608">
        <f>'For printing'!AF$5*810/1000000</f>
        <v>882.66499875</v>
      </c>
      <c r="D46" s="568">
        <f>'Conversion factors'!C29</f>
        <v>26915</v>
      </c>
      <c r="E46" s="680">
        <f t="shared" si="0"/>
        <v>567.42448746909929</v>
      </c>
      <c r="F46" s="579"/>
    </row>
    <row r="47" spans="1:31" x14ac:dyDescent="0.2">
      <c r="A47" s="1002" t="str">
        <f>$AC$64</f>
        <v>Middle distillates</v>
      </c>
      <c r="B47" s="1285" t="str">
        <f>OTHKERO</f>
        <v>Other kerosene</v>
      </c>
      <c r="C47" s="608">
        <f>'For printing'!AG$5*810/1000000</f>
        <v>375.18179906249998</v>
      </c>
      <c r="D47" s="568">
        <f>'Conversion factors'!C30</f>
        <v>28341</v>
      </c>
      <c r="E47" s="680">
        <f t="shared" si="0"/>
        <v>253.96549553908261</v>
      </c>
      <c r="F47" s="579"/>
    </row>
    <row r="48" spans="1:31" x14ac:dyDescent="0.2">
      <c r="A48" s="1002" t="str">
        <f>$AC$64</f>
        <v>Middle distillates</v>
      </c>
      <c r="B48" s="1285" t="str">
        <f>NONBIODIES</f>
        <v>Gas/diesel oil excluding biofuels</v>
      </c>
      <c r="C48" s="608">
        <f>'For printing'!AH$5*870/1000000</f>
        <v>5147.3665908360008</v>
      </c>
      <c r="D48" s="568">
        <f>'Conversion factors'!C31</f>
        <v>32479</v>
      </c>
      <c r="E48" s="680">
        <f t="shared" si="0"/>
        <v>3993.0572156244025</v>
      </c>
      <c r="F48" s="579"/>
    </row>
    <row r="49" spans="1:35" ht="11.25" customHeight="1" x14ac:dyDescent="0.2">
      <c r="A49" s="1001" t="str">
        <f>$AC$66</f>
        <v>Other</v>
      </c>
      <c r="B49" s="1285" t="str">
        <f>PARWAX</f>
        <v>Paraffin waxes</v>
      </c>
      <c r="C49" s="608">
        <f>'For printing'!AN$5</f>
        <v>295.842625</v>
      </c>
      <c r="D49" s="568">
        <f>'Conversion factors'!C37</f>
        <v>40000</v>
      </c>
      <c r="E49" s="680">
        <f>C49*D49/MJ_per_toe</f>
        <v>282.64318811502818</v>
      </c>
      <c r="F49" s="579"/>
    </row>
    <row r="50" spans="1:35" x14ac:dyDescent="0.2">
      <c r="A50" s="1001" t="str">
        <f>RESFUEL</f>
        <v>Fuel oil</v>
      </c>
      <c r="B50" s="1285" t="str">
        <f>RESFUEL</f>
        <v>Fuel oil</v>
      </c>
      <c r="C50" s="608">
        <f>'For printing'!AI$5*950/1000000</f>
        <v>2793.0617499999998</v>
      </c>
      <c r="D50" s="568">
        <f>'Conversion factors'!C32</f>
        <v>37758</v>
      </c>
      <c r="E50" s="680">
        <f t="shared" si="0"/>
        <v>2518.8789900759525</v>
      </c>
      <c r="F50" s="579"/>
    </row>
    <row r="51" spans="1:35" ht="12.75" customHeight="1" x14ac:dyDescent="0.2">
      <c r="A51" s="1001" t="str">
        <f>$AC$66</f>
        <v>Other</v>
      </c>
      <c r="B51" s="1285" t="str">
        <f>LUBRIC</f>
        <v>Lubricants</v>
      </c>
      <c r="C51" s="608">
        <f>'For printing'!AL$5*900/1000000</f>
        <v>0.42867</v>
      </c>
      <c r="D51" s="568">
        <f>'Conversion factors'!C35</f>
        <v>42000</v>
      </c>
      <c r="E51" s="680">
        <f t="shared" si="0"/>
        <v>0.43002149613069646</v>
      </c>
      <c r="F51" s="579"/>
    </row>
    <row r="52" spans="1:35" ht="12.75" customHeight="1" x14ac:dyDescent="0.2">
      <c r="A52" s="1001" t="str">
        <f>$AC$66</f>
        <v>Other</v>
      </c>
      <c r="B52" s="1269" t="str">
        <f>BITUMEN</f>
        <v>Bitumen</v>
      </c>
      <c r="C52" s="608">
        <f>'For printing'!AM$5*910/1000000</f>
        <v>0.30215640000000005</v>
      </c>
      <c r="D52" s="568">
        <f>'Conversion factors'!C36</f>
        <v>39000</v>
      </c>
      <c r="E52" s="680">
        <f t="shared" si="0"/>
        <v>0.28145838349097163</v>
      </c>
      <c r="F52" s="579"/>
    </row>
    <row r="53" spans="1:35" ht="12.75" customHeight="1" x14ac:dyDescent="0.2">
      <c r="A53" s="1001" t="str">
        <f>$AC$66</f>
        <v>Other</v>
      </c>
      <c r="B53" s="1269" t="str">
        <f>PETCOKE</f>
        <v>Petroleum coke</v>
      </c>
      <c r="C53" s="608">
        <f>'For printing'!AO$5*1140/1000000</f>
        <v>5.45034E-2</v>
      </c>
      <c r="D53" s="568">
        <f>'Conversion factors'!C38</f>
        <v>32000</v>
      </c>
      <c r="E53" s="680">
        <f t="shared" si="0"/>
        <v>4.1657323015190602E-2</v>
      </c>
      <c r="F53" s="579"/>
      <c r="AC53" s="719" t="s">
        <v>8116</v>
      </c>
      <c r="AD53" s="554"/>
      <c r="AE53" s="1194"/>
    </row>
    <row r="54" spans="1:35" ht="13.5" customHeight="1" x14ac:dyDescent="0.2">
      <c r="A54" s="1001" t="str">
        <f>$AC$66</f>
        <v>Other</v>
      </c>
      <c r="B54" s="1286" t="str">
        <f>ONONSPEC</f>
        <v>Non-specified oil products</v>
      </c>
      <c r="C54" s="684">
        <f>'For printing'!AP$5*910/1000000</f>
        <v>0.79675050000000003</v>
      </c>
      <c r="D54" s="685">
        <f>'Conversion factors'!C39</f>
        <v>40000</v>
      </c>
      <c r="E54" s="687">
        <f t="shared" si="0"/>
        <v>0.76120235024362282</v>
      </c>
      <c r="F54" s="579"/>
      <c r="AC54" s="624" t="s">
        <v>8199</v>
      </c>
      <c r="AD54" s="259" t="s">
        <v>8200</v>
      </c>
      <c r="AE54" s="590"/>
    </row>
    <row r="55" spans="1:35" ht="9.9499999999999993" customHeight="1" x14ac:dyDescent="0.2">
      <c r="A55" s="386"/>
      <c r="AC55" s="625" t="str">
        <f>A26</f>
        <v>Input(s)</v>
      </c>
      <c r="AD55" s="626">
        <f>C32</f>
        <v>19624.32</v>
      </c>
      <c r="AE55" s="590"/>
    </row>
    <row r="56" spans="1:35" ht="9.9499999999999993" customHeight="1" x14ac:dyDescent="0.2">
      <c r="AC56" s="625" t="str">
        <f>B4</f>
        <v>Refining losses (mass)</v>
      </c>
      <c r="AD56" s="626">
        <f>C33</f>
        <v>2369.6607212497802</v>
      </c>
      <c r="AE56" s="590"/>
    </row>
    <row r="57" spans="1:35" ht="9.9499999999999993" customHeight="1" x14ac:dyDescent="0.2">
      <c r="AC57" s="625" t="str">
        <f>A37</f>
        <v>Output(s)</v>
      </c>
      <c r="AD57" s="626">
        <f>C37</f>
        <v>17254.65927875022</v>
      </c>
      <c r="AE57" s="590"/>
    </row>
    <row r="58" spans="1:35" ht="9.9499999999999993" customHeight="1" x14ac:dyDescent="0.2">
      <c r="AC58" s="627" t="s">
        <v>8119</v>
      </c>
      <c r="AD58" s="32" t="str">
        <f>C26</f>
        <v>Physical quantity [kt]</v>
      </c>
      <c r="AE58" s="628"/>
    </row>
    <row r="59" spans="1:35" ht="9.9499999999999993" customHeight="1" x14ac:dyDescent="0.2">
      <c r="AC59" s="719" t="s">
        <v>8201</v>
      </c>
      <c r="AD59" s="554"/>
      <c r="AE59" s="1221"/>
    </row>
    <row r="60" spans="1:35" ht="9.9499999999999993" customHeight="1" x14ac:dyDescent="0.2">
      <c r="AC60" s="589"/>
      <c r="AE60" s="590"/>
    </row>
    <row r="61" spans="1:35" x14ac:dyDescent="0.2">
      <c r="AC61" s="589" t="str">
        <f>HLOOKUP(LangChoice,$AC$10:$AE$40,$AB29+1,FALSE)</f>
        <v>LPG</v>
      </c>
      <c r="AD61" s="20">
        <f t="shared" ref="AD61:AD66" si="1">SUMIF($A$38:$A$54,AC61,$C$38:$C$54)</f>
        <v>574.41569625</v>
      </c>
      <c r="AE61" s="651"/>
      <c r="AG61" s="555"/>
      <c r="AH61" s="555"/>
      <c r="AI61" s="555"/>
    </row>
    <row r="62" spans="1:35" x14ac:dyDescent="0.2">
      <c r="AC62" s="589" t="str">
        <f>HLOOKUP(LangChoice,$AC$10:$AE$40,$AB30+1,FALSE)</f>
        <v>Aviation fuels</v>
      </c>
      <c r="AD62" s="20">
        <f t="shared" si="1"/>
        <v>1343.03043875</v>
      </c>
      <c r="AE62" s="651"/>
    </row>
    <row r="63" spans="1:35" x14ac:dyDescent="0.2">
      <c r="AC63" s="589" t="str">
        <f>HLOOKUP(LangChoice,$AC$10:$AE$40,$AB31+1,FALSE)</f>
        <v>Motor gasoline</v>
      </c>
      <c r="AD63" s="20">
        <f t="shared" si="1"/>
        <v>6436.9190615400003</v>
      </c>
      <c r="AE63" s="651"/>
    </row>
    <row r="64" spans="1:35" x14ac:dyDescent="0.2">
      <c r="AC64" s="589" t="str">
        <f>HLOOKUP(LangChoice,$AC$10:$AE$40,$AB32+1,FALSE)</f>
        <v>Middle distillates</v>
      </c>
      <c r="AD64" s="20">
        <f t="shared" si="1"/>
        <v>5522.5483898985003</v>
      </c>
      <c r="AE64" s="651"/>
    </row>
    <row r="65" spans="29:37" x14ac:dyDescent="0.2">
      <c r="AC65" s="589" t="str">
        <f>RESFUEL</f>
        <v>Fuel oil</v>
      </c>
      <c r="AD65" s="20">
        <f t="shared" si="1"/>
        <v>2793.0617499999998</v>
      </c>
      <c r="AE65" s="651"/>
    </row>
    <row r="66" spans="29:37" x14ac:dyDescent="0.2">
      <c r="AC66" s="589" t="str">
        <f>HLOOKUP(LangChoice,$AC$10:$AE$40,$AB33+1,FALSE)</f>
        <v>Other</v>
      </c>
      <c r="AD66" s="20">
        <f t="shared" si="1"/>
        <v>584.68394231171885</v>
      </c>
      <c r="AE66" s="651"/>
    </row>
    <row r="67" spans="29:37" x14ac:dyDescent="0.2">
      <c r="AC67" s="589" t="s">
        <v>8202</v>
      </c>
      <c r="AD67" s="643">
        <f>SUM(AD61:AD66)</f>
        <v>17254.65927875022</v>
      </c>
      <c r="AE67" s="590" t="s">
        <v>8202</v>
      </c>
    </row>
    <row r="68" spans="29:37" x14ac:dyDescent="0.2">
      <c r="AC68" s="627" t="s">
        <v>8203</v>
      </c>
      <c r="AD68" s="594">
        <f>AD67-C37</f>
        <v>0</v>
      </c>
      <c r="AE68" s="628"/>
    </row>
    <row r="69" spans="29:37" x14ac:dyDescent="0.2">
      <c r="AC69" s="719" t="s">
        <v>8204</v>
      </c>
      <c r="AD69" s="554"/>
      <c r="AE69" s="554"/>
      <c r="AF69" s="554"/>
      <c r="AG69" s="554"/>
      <c r="AH69" s="554"/>
      <c r="AI69" s="554"/>
      <c r="AJ69" s="554"/>
      <c r="AK69" s="1194"/>
    </row>
    <row r="70" spans="29:37" x14ac:dyDescent="0.2">
      <c r="AC70" s="589"/>
      <c r="AD70" s="20" t="str">
        <f>AC55</f>
        <v>Input(s)</v>
      </c>
      <c r="AE70" s="20" t="str">
        <f>AC56</f>
        <v>Refining losses (mass)</v>
      </c>
      <c r="AF70" s="567" t="str">
        <f t="array" ref="AF70:AK70">TRANSPOSE(AC61:AC66)</f>
        <v>LPG</v>
      </c>
      <c r="AG70" s="567" t="str">
        <v>Aviation fuels</v>
      </c>
      <c r="AH70" s="567" t="str">
        <v>Motor gasoline</v>
      </c>
      <c r="AI70" s="567" t="str">
        <v>Middle distillates</v>
      </c>
      <c r="AJ70" s="567" t="str">
        <v>Fuel oil</v>
      </c>
      <c r="AK70" s="652" t="str">
        <v>Other</v>
      </c>
    </row>
    <row r="71" spans="29:37" x14ac:dyDescent="0.2">
      <c r="AC71" s="625" t="s">
        <v>8205</v>
      </c>
      <c r="AD71" s="20">
        <v>0</v>
      </c>
      <c r="AE71" s="20">
        <f>C37</f>
        <v>17254.65927875022</v>
      </c>
      <c r="AF71" s="20">
        <f>AG72+AG71</f>
        <v>16680.243582500218</v>
      </c>
      <c r="AG71" s="20">
        <f>AH71+AH72</f>
        <v>15337.213143750219</v>
      </c>
      <c r="AH71" s="20">
        <f>AI71+AI72</f>
        <v>8900.2940822102191</v>
      </c>
      <c r="AI71" s="20">
        <f>AJ71+AJ72</f>
        <v>3377.7456923117188</v>
      </c>
      <c r="AJ71" s="20">
        <f>AK72</f>
        <v>584.68394231171885</v>
      </c>
      <c r="AK71" s="590">
        <v>0</v>
      </c>
    </row>
    <row r="72" spans="29:37" x14ac:dyDescent="0.2">
      <c r="AC72" s="625" t="s">
        <v>8205</v>
      </c>
      <c r="AD72" s="20">
        <f>C32</f>
        <v>19624.32</v>
      </c>
      <c r="AE72" s="20">
        <f>C33</f>
        <v>2369.6607212497802</v>
      </c>
      <c r="AF72" s="20">
        <f>AD61</f>
        <v>574.41569625</v>
      </c>
      <c r="AG72" s="20">
        <f>AD62</f>
        <v>1343.03043875</v>
      </c>
      <c r="AH72" s="20">
        <f>AD63</f>
        <v>6436.9190615400003</v>
      </c>
      <c r="AI72" s="20">
        <f>AD64</f>
        <v>5522.5483898985003</v>
      </c>
      <c r="AJ72" s="20">
        <f>AD65</f>
        <v>2793.0617499999998</v>
      </c>
      <c r="AK72" s="590">
        <f>AD66</f>
        <v>584.68394231171885</v>
      </c>
    </row>
    <row r="73" spans="29:37" x14ac:dyDescent="0.2">
      <c r="AC73" s="625" t="s">
        <v>8206</v>
      </c>
      <c r="AD73" s="20">
        <f>AD72</f>
        <v>19624.32</v>
      </c>
      <c r="AE73" s="20">
        <f>AD73</f>
        <v>19624.32</v>
      </c>
      <c r="AK73" s="590"/>
    </row>
    <row r="74" spans="29:37" x14ac:dyDescent="0.2">
      <c r="AC74" s="625" t="s">
        <v>8206</v>
      </c>
      <c r="AE74" s="20">
        <f>AE71</f>
        <v>17254.65927875022</v>
      </c>
      <c r="AF74" s="20">
        <f>AE74</f>
        <v>17254.65927875022</v>
      </c>
      <c r="AK74" s="590"/>
    </row>
    <row r="75" spans="29:37" x14ac:dyDescent="0.2">
      <c r="AC75" s="625" t="s">
        <v>8206</v>
      </c>
      <c r="AF75" s="20">
        <f>AF$71</f>
        <v>16680.243582500218</v>
      </c>
      <c r="AG75" s="20">
        <f>AF75</f>
        <v>16680.243582500218</v>
      </c>
      <c r="AK75" s="590"/>
    </row>
    <row r="76" spans="29:37" x14ac:dyDescent="0.2">
      <c r="AC76" s="625" t="s">
        <v>8206</v>
      </c>
      <c r="AG76" s="20">
        <f>AG$71</f>
        <v>15337.213143750219</v>
      </c>
      <c r="AH76" s="20">
        <f>AG76</f>
        <v>15337.213143750219</v>
      </c>
      <c r="AK76" s="590"/>
    </row>
    <row r="77" spans="29:37" x14ac:dyDescent="0.2">
      <c r="AC77" s="625" t="s">
        <v>8206</v>
      </c>
      <c r="AH77" s="20">
        <f>AH$71</f>
        <v>8900.2940822102191</v>
      </c>
      <c r="AI77" s="20">
        <f>AH77</f>
        <v>8900.2940822102191</v>
      </c>
      <c r="AK77" s="590"/>
    </row>
    <row r="78" spans="29:37" x14ac:dyDescent="0.2">
      <c r="AC78" s="625" t="s">
        <v>8206</v>
      </c>
      <c r="AI78" s="20">
        <f>AI$71</f>
        <v>3377.7456923117188</v>
      </c>
      <c r="AJ78" s="20">
        <f>AI78</f>
        <v>3377.7456923117188</v>
      </c>
      <c r="AK78" s="590"/>
    </row>
    <row r="79" spans="29:37" x14ac:dyDescent="0.2">
      <c r="AC79" s="625" t="s">
        <v>8206</v>
      </c>
      <c r="AJ79" s="20">
        <f>AJ$71</f>
        <v>584.68394231171885</v>
      </c>
      <c r="AK79" s="590">
        <f>AJ79</f>
        <v>584.68394231171885</v>
      </c>
    </row>
    <row r="80" spans="29:37" x14ac:dyDescent="0.2">
      <c r="AC80" s="627" t="s">
        <v>8206</v>
      </c>
      <c r="AD80" s="32"/>
      <c r="AE80" s="32"/>
      <c r="AF80" s="32"/>
      <c r="AG80" s="32"/>
      <c r="AH80" s="32"/>
      <c r="AI80" s="32"/>
      <c r="AJ80" s="32"/>
      <c r="AK80" s="628">
        <f>AK$71</f>
        <v>0</v>
      </c>
    </row>
    <row r="81" spans="29:37" x14ac:dyDescent="0.2">
      <c r="AC81" s="719" t="s">
        <v>8207</v>
      </c>
      <c r="AD81" s="554"/>
      <c r="AE81" s="554"/>
      <c r="AF81" s="554"/>
      <c r="AG81" s="554"/>
      <c r="AH81" s="554"/>
      <c r="AI81" s="554"/>
      <c r="AJ81" s="554"/>
      <c r="AK81" s="1194"/>
    </row>
    <row r="82" spans="29:37" x14ac:dyDescent="0.2">
      <c r="AC82" s="625" t="s">
        <v>7628</v>
      </c>
      <c r="AF82" s="20">
        <v>212</v>
      </c>
      <c r="AG82" s="20">
        <v>0</v>
      </c>
      <c r="AH82" s="20">
        <v>255</v>
      </c>
      <c r="AI82" s="20">
        <v>72</v>
      </c>
      <c r="AJ82" s="20">
        <v>139</v>
      </c>
      <c r="AK82" s="590">
        <v>167</v>
      </c>
    </row>
    <row r="83" spans="29:37" x14ac:dyDescent="0.2">
      <c r="AC83" s="625" t="s">
        <v>7245</v>
      </c>
      <c r="AF83" s="20">
        <v>54</v>
      </c>
      <c r="AG83" s="20">
        <v>103</v>
      </c>
      <c r="AH83" s="20">
        <v>192</v>
      </c>
      <c r="AI83" s="20">
        <v>134</v>
      </c>
      <c r="AJ83" s="20">
        <v>198</v>
      </c>
      <c r="AK83" s="590">
        <v>167</v>
      </c>
    </row>
    <row r="84" spans="29:37" x14ac:dyDescent="0.2">
      <c r="AC84" s="627" t="s">
        <v>7240</v>
      </c>
      <c r="AD84" s="32"/>
      <c r="AE84" s="32"/>
      <c r="AF84" s="32">
        <v>51</v>
      </c>
      <c r="AG84" s="32">
        <v>142</v>
      </c>
      <c r="AH84" s="32">
        <v>0</v>
      </c>
      <c r="AI84" s="32">
        <v>82</v>
      </c>
      <c r="AJ84" s="32">
        <v>105</v>
      </c>
      <c r="AK84" s="628">
        <v>172</v>
      </c>
    </row>
  </sheetData>
  <sheetProtection algorithmName="SHA-512" hashValue="W1+h059Bs5MVUs6uj7uZ95J2acVYffRL245ZfA9NwQpAGZbW5hW5OSGcj1ifouNKOawz/r7tk9qGSeiE6eVfeQ==" saltValue="hGTDlfHpc4fbLSe7hEHYSw==" spinCount="100000" sheet="1" objects="1" scenarios="1"/>
  <mergeCells count="10">
    <mergeCell ref="G34:L36"/>
    <mergeCell ref="D3:F3"/>
    <mergeCell ref="J12:K12"/>
    <mergeCell ref="J13:K13"/>
    <mergeCell ref="J23:K23"/>
    <mergeCell ref="A8:E8"/>
    <mergeCell ref="A9:L9"/>
    <mergeCell ref="A23:H23"/>
    <mergeCell ref="J11:K11"/>
    <mergeCell ref="G11:I11"/>
  </mergeCells>
  <conditionalFormatting sqref="AD68">
    <cfRule type="cellIs" dxfId="10" priority="9" stopIfTrue="1" operator="equal">
      <formula>0</formula>
    </cfRule>
  </conditionalFormatting>
  <conditionalFormatting sqref="J23">
    <cfRule type="expression" dxfId="9" priority="144" stopIfTrue="1">
      <formula>AND($C$34&gt;$AF$15,$C$34&lt;($AF$16+0.001))</formula>
    </cfRule>
    <cfRule type="expression" dxfId="8" priority="145" stopIfTrue="1">
      <formula>$C$34&gt;$AF$16</formula>
    </cfRule>
    <cfRule type="expression" dxfId="7" priority="146" stopIfTrue="1">
      <formula>$C$34&lt;$AF$14</formula>
    </cfRule>
    <cfRule type="expression" dxfId="6" priority="147" stopIfTrue="1">
      <formula>AND($C$34&gt;0,$C$34&lt;($AF$15+0.001))</formula>
    </cfRule>
  </conditionalFormatting>
  <conditionalFormatting sqref="J15">
    <cfRule type="expression" dxfId="5" priority="148">
      <formula>AND($C$34&gt;$AF$14,$C$34&lt;$AF$15)</formula>
    </cfRule>
    <cfRule type="expression" dxfId="4" priority="149">
      <formula>AND($C$34&gt;$AF$15,$C$34&lt;$AF$16)</formula>
    </cfRule>
    <cfRule type="expression" dxfId="3" priority="150">
      <formula>$C$34&lt;$AF$14</formula>
    </cfRule>
    <cfRule type="expression" dxfId="2" priority="151">
      <formula>$C$34&gt;$AF$16</formula>
    </cfRule>
  </conditionalFormatting>
  <conditionalFormatting sqref="G34">
    <cfRule type="expression" dxfId="1" priority="1">
      <formula>AND($C$33&gt;=0,$E$35&lt;0)</formula>
    </cfRule>
  </conditionalFormatting>
  <hyperlinks>
    <hyperlink ref="D3" r:id="rId1" xr:uid="{00000000-0004-0000-2800-000000000000}"/>
  </hyperlinks>
  <pageMargins left="0.70866141732283472" right="0.70866141732283472" top="0.74803149606299213" bottom="0.74803149606299213" header="0.31496062992125984" footer="0.31496062992125984"/>
  <pageSetup paperSize="9" orientation="landscape" r:id="rId2"/>
  <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5">
    <tabColor theme="9" tint="0.59999389629810485"/>
  </sheetPr>
  <dimension ref="A1:AZ102"/>
  <sheetViews>
    <sheetView showGridLines="0" zoomScaleNormal="100" workbookViewId="0">
      <pane ySplit="1" topLeftCell="A10" activePane="bottomLeft" state="frozen"/>
      <selection sqref="A1:I1"/>
      <selection pane="bottomLeft" activeCell="T10" sqref="T10"/>
    </sheetView>
  </sheetViews>
  <sheetFormatPr defaultRowHeight="12.75" x14ac:dyDescent="0.2"/>
  <cols>
    <col min="1" max="1" width="12.7109375" customWidth="1"/>
    <col min="2" max="2" width="25.28515625" customWidth="1"/>
    <col min="3" max="3" width="23.140625" hidden="1" customWidth="1"/>
    <col min="4" max="5" width="7.7109375" customWidth="1"/>
    <col min="6" max="6" width="6.7109375" customWidth="1"/>
    <col min="7" max="9" width="7.7109375" customWidth="1"/>
    <col min="10" max="10" width="6.7109375" customWidth="1"/>
    <col min="11" max="12" width="7.7109375" customWidth="1"/>
    <col min="13" max="13" width="6.7109375" customWidth="1"/>
    <col min="14" max="14" width="1.42578125" customWidth="1"/>
    <col min="15" max="17" width="6.7109375" customWidth="1"/>
    <col min="18" max="18" width="11.85546875" customWidth="1"/>
    <col min="19" max="19" width="10.28515625" customWidth="1"/>
    <col min="20" max="25" width="6.42578125" customWidth="1"/>
    <col min="26" max="26" width="8.85546875" customWidth="1"/>
    <col min="27" max="27" width="8.5703125" hidden="1" customWidth="1"/>
    <col min="28" max="28" width="9.140625" hidden="1" customWidth="1"/>
    <col min="29" max="29" width="9.7109375" hidden="1" customWidth="1"/>
    <col min="30" max="34" width="9.28515625" hidden="1" customWidth="1"/>
    <col min="35" max="42" width="9.140625" hidden="1" customWidth="1"/>
    <col min="43" max="43" width="8.85546875" hidden="1" customWidth="1"/>
    <col min="44" max="44" width="8.28515625" hidden="1" customWidth="1"/>
    <col min="45" max="45" width="7.42578125" hidden="1" customWidth="1"/>
    <col min="46" max="46" width="9.85546875" hidden="1" customWidth="1"/>
    <col min="47" max="47" width="13.42578125" hidden="1" customWidth="1"/>
    <col min="48" max="48" width="14.42578125" hidden="1" customWidth="1"/>
    <col min="49" max="49" width="7.42578125" hidden="1" customWidth="1"/>
    <col min="50" max="50" width="9.85546875" hidden="1" customWidth="1"/>
    <col min="51" max="52" width="9.140625" hidden="1" customWidth="1"/>
  </cols>
  <sheetData>
    <row r="1" spans="1:52" ht="43.5" customHeight="1" x14ac:dyDescent="0.2">
      <c r="A1" s="2128" t="str">
        <f>Electricity_Heat_I!A1</f>
        <v>Data validation: Electricity and heat generation sector</v>
      </c>
      <c r="B1" s="2130"/>
      <c r="C1" s="2115" t="s">
        <v>184</v>
      </c>
      <c r="D1" s="2114"/>
      <c r="E1" s="2114"/>
      <c r="F1" s="2114"/>
      <c r="G1" s="2114"/>
      <c r="H1" s="2114"/>
      <c r="I1" s="2114"/>
      <c r="J1" s="2114"/>
      <c r="K1" s="2114"/>
      <c r="L1" s="2114"/>
      <c r="M1" s="2114"/>
      <c r="N1" s="2114"/>
      <c r="O1" s="2114"/>
      <c r="P1" s="2114"/>
      <c r="Q1" s="2114"/>
      <c r="R1" s="592"/>
      <c r="AA1" s="1182" t="s">
        <v>1</v>
      </c>
      <c r="AB1" s="653" t="s">
        <v>8055</v>
      </c>
      <c r="AC1" s="653"/>
      <c r="AD1" s="653"/>
      <c r="AE1" s="653"/>
      <c r="AF1" s="653"/>
      <c r="AG1" s="653"/>
      <c r="AH1" s="653"/>
      <c r="AI1" s="653"/>
      <c r="AJ1" s="653"/>
      <c r="AK1" s="653"/>
      <c r="AL1" s="653"/>
      <c r="AM1" s="653"/>
      <c r="AN1" s="653"/>
      <c r="AO1" s="653"/>
      <c r="AP1" s="653"/>
      <c r="AQ1" s="653"/>
      <c r="AR1" s="653"/>
      <c r="AS1" s="653"/>
      <c r="AT1" s="653"/>
      <c r="AU1" s="653"/>
      <c r="AV1" s="653"/>
      <c r="AW1" s="653"/>
      <c r="AX1" s="1181" t="s">
        <v>2</v>
      </c>
    </row>
    <row r="2" spans="1:52" ht="12.75" customHeight="1" x14ac:dyDescent="0.2">
      <c r="A2" s="259" t="str">
        <f>IronSteel_CokeOven!A2</f>
        <v>Checks:</v>
      </c>
      <c r="B2" s="20"/>
      <c r="C2" s="20"/>
      <c r="D2" s="20"/>
      <c r="G2" s="259" t="str">
        <f>IronSteel_CokeOven!E2</f>
        <v>Process details:</v>
      </c>
      <c r="H2" s="20"/>
      <c r="R2" s="592"/>
      <c r="AA2" s="20"/>
      <c r="AB2" s="1072" t="s">
        <v>7</v>
      </c>
      <c r="AC2" s="1072" t="s">
        <v>8</v>
      </c>
      <c r="AD2" s="1072" t="s">
        <v>9</v>
      </c>
      <c r="AV2" s="240"/>
    </row>
    <row r="3" spans="1:52" ht="12.75" customHeight="1" x14ac:dyDescent="0.2">
      <c r="A3" s="562" t="s">
        <v>8208</v>
      </c>
      <c r="B3" s="259" t="str">
        <f>HLOOKUP(LangChoice,$AB$2:$AD$20,AA3+1,FALSE)</f>
        <v>Main activity producers</v>
      </c>
      <c r="C3" s="259"/>
      <c r="D3" s="20"/>
      <c r="G3" s="563" t="s">
        <v>8052</v>
      </c>
      <c r="H3" s="20"/>
      <c r="I3" s="592"/>
      <c r="J3" s="592"/>
      <c r="K3" s="592"/>
      <c r="L3" s="592"/>
      <c r="M3" s="592"/>
      <c r="R3" s="592"/>
      <c r="AA3" s="576">
        <v>1</v>
      </c>
      <c r="AB3" s="1134" t="s">
        <v>8209</v>
      </c>
      <c r="AC3" s="576" t="s">
        <v>8210</v>
      </c>
      <c r="AD3" s="576" t="s">
        <v>148</v>
      </c>
      <c r="AV3" s="20"/>
    </row>
    <row r="4" spans="1:52" ht="12.75" customHeight="1" x14ac:dyDescent="0.2">
      <c r="A4" s="562" t="s">
        <v>8211</v>
      </c>
      <c r="B4" s="259" t="str">
        <f>HLOOKUP(LangChoice,$AB$2:$AD$20,AA4+1,FALSE)</f>
        <v>Autoproducers</v>
      </c>
      <c r="C4" s="240"/>
      <c r="D4" s="20"/>
      <c r="F4" s="20"/>
      <c r="G4" s="1071" t="s">
        <v>8212</v>
      </c>
      <c r="H4" s="20"/>
      <c r="I4" s="592"/>
      <c r="J4" s="592"/>
      <c r="K4" s="592"/>
      <c r="L4" s="592"/>
      <c r="M4" s="592"/>
      <c r="N4" s="592"/>
      <c r="O4" s="592"/>
      <c r="P4" s="592"/>
      <c r="Q4" s="592"/>
      <c r="R4" s="592"/>
      <c r="AA4" s="576">
        <v>2</v>
      </c>
      <c r="AB4" s="1134" t="s">
        <v>8213</v>
      </c>
      <c r="AC4" s="576" t="s">
        <v>8214</v>
      </c>
      <c r="AD4" s="576" t="s">
        <v>148</v>
      </c>
      <c r="AV4" s="20"/>
    </row>
    <row r="5" spans="1:52" ht="12.75" customHeight="1" x14ac:dyDescent="0.2">
      <c r="A5" s="565"/>
      <c r="B5" s="566"/>
      <c r="C5" s="566"/>
      <c r="D5" s="32"/>
      <c r="E5" s="32"/>
      <c r="F5" s="32"/>
      <c r="G5" s="32"/>
      <c r="H5" s="32"/>
      <c r="I5" s="32"/>
      <c r="J5" s="32"/>
      <c r="K5" s="32"/>
      <c r="L5" s="700"/>
      <c r="M5" s="701"/>
      <c r="N5" s="701"/>
      <c r="O5" s="701"/>
      <c r="P5" s="701"/>
      <c r="Q5" s="701"/>
      <c r="R5" s="592"/>
      <c r="AA5" s="576">
        <v>3</v>
      </c>
      <c r="AB5" s="1134" t="s">
        <v>8215</v>
      </c>
      <c r="AC5" s="576" t="s">
        <v>8216</v>
      </c>
      <c r="AD5" s="576" t="s">
        <v>148</v>
      </c>
      <c r="AV5" s="20"/>
    </row>
    <row r="6" spans="1:52" ht="5.0999999999999996" customHeight="1" x14ac:dyDescent="0.2">
      <c r="A6" s="561"/>
      <c r="B6" s="564"/>
      <c r="C6" s="564"/>
      <c r="D6" s="20"/>
      <c r="E6" s="20"/>
      <c r="F6" s="20"/>
      <c r="G6" s="20"/>
      <c r="H6" s="20"/>
      <c r="I6" s="20"/>
      <c r="J6" s="20"/>
      <c r="K6" s="20"/>
      <c r="L6" s="699"/>
      <c r="M6" s="592"/>
      <c r="N6" s="592"/>
      <c r="O6" s="592"/>
      <c r="P6" s="592"/>
      <c r="Q6" s="592"/>
      <c r="R6" s="592"/>
      <c r="AA6" s="576">
        <v>4</v>
      </c>
      <c r="AB6" s="1134" t="s">
        <v>8217</v>
      </c>
      <c r="AC6" s="207" t="s">
        <v>8218</v>
      </c>
      <c r="AD6" s="576" t="s">
        <v>148</v>
      </c>
      <c r="AV6" s="20"/>
    </row>
    <row r="7" spans="1:52" ht="50.1" customHeight="1" x14ac:dyDescent="0.2">
      <c r="A7" s="2416" t="str">
        <f>B3&amp;": "&amp;HLOOKUP(LangChoice,$AB$2:$AD$20,AA5+1,FALSE)</f>
        <v>Main activity producers: These are units that produce electricity or heat as their principal activity. These enterprises may be privately or publicly owned companies.</v>
      </c>
      <c r="B7" s="2416"/>
      <c r="C7" s="2416"/>
      <c r="D7" s="2416"/>
      <c r="E7" s="2416"/>
      <c r="F7" s="2416"/>
      <c r="G7" s="2416"/>
      <c r="H7" s="2416"/>
      <c r="I7" s="2416"/>
      <c r="J7" s="2416"/>
      <c r="K7" s="2416"/>
      <c r="L7" s="2416"/>
      <c r="M7" s="2416"/>
      <c r="N7" s="592"/>
      <c r="O7" s="592"/>
      <c r="P7" s="592"/>
      <c r="Q7" s="592"/>
      <c r="R7" s="592"/>
      <c r="AA7" s="576">
        <v>5</v>
      </c>
      <c r="AB7" s="576" t="s">
        <v>8219</v>
      </c>
      <c r="AC7" s="576" t="s">
        <v>8220</v>
      </c>
      <c r="AD7" s="576" t="s">
        <v>148</v>
      </c>
      <c r="AV7" s="20"/>
    </row>
    <row r="8" spans="1:52" ht="9.9499999999999993" customHeight="1" x14ac:dyDescent="0.2">
      <c r="A8" s="561"/>
      <c r="B8" s="564"/>
      <c r="C8" s="564"/>
      <c r="D8" s="20"/>
      <c r="E8" s="20"/>
      <c r="F8" s="20"/>
      <c r="G8" s="20"/>
      <c r="H8" s="20"/>
      <c r="I8" s="20"/>
      <c r="J8" s="20"/>
      <c r="K8" s="20"/>
      <c r="L8" s="699"/>
      <c r="M8" s="592"/>
      <c r="N8" s="592"/>
      <c r="O8" s="592"/>
      <c r="P8" s="592"/>
      <c r="Q8" s="592"/>
      <c r="R8" s="592"/>
      <c r="AA8" s="576">
        <v>6</v>
      </c>
      <c r="AB8" s="576" t="s">
        <v>8105</v>
      </c>
      <c r="AC8" s="576" t="s">
        <v>8106</v>
      </c>
      <c r="AD8" s="576" t="s">
        <v>148</v>
      </c>
    </row>
    <row r="9" spans="1:52" ht="12.75" customHeight="1" x14ac:dyDescent="0.2">
      <c r="A9" s="2443" t="str">
        <f>$A$3&amp;" "&amp;$B$3</f>
        <v>7) Main activity producers</v>
      </c>
      <c r="B9" s="2444"/>
      <c r="C9" s="743"/>
      <c r="D9" s="2449" t="str">
        <f>"I: "&amp;Electricity_Heat_I!$B$3</f>
        <v>I: Electricity-only plants</v>
      </c>
      <c r="E9" s="2450"/>
      <c r="F9" s="2451"/>
      <c r="G9" s="2452" t="str">
        <f>"II: "&amp;Electricity_Heat_I!$B$4</f>
        <v>II: CHP plants</v>
      </c>
      <c r="H9" s="2452"/>
      <c r="I9" s="2452"/>
      <c r="J9" s="2453"/>
      <c r="K9" s="2452" t="str">
        <f>"III: "&amp;Electricity_Heat_I!$B$5</f>
        <v>III: Heat plants</v>
      </c>
      <c r="L9" s="2452"/>
      <c r="M9" s="2454"/>
      <c r="N9" s="592"/>
      <c r="O9" s="2449" t="str">
        <f>HLOOKUP(LangChoice,$AB$2:$AD$20,AA16+1,FALSE)</f>
        <v>Check:</v>
      </c>
      <c r="P9" s="2450"/>
      <c r="Q9" s="2455"/>
      <c r="R9" s="592"/>
      <c r="AA9" s="576">
        <v>7</v>
      </c>
      <c r="AB9" s="576" t="s">
        <v>8109</v>
      </c>
      <c r="AC9" s="576" t="s">
        <v>8110</v>
      </c>
      <c r="AD9" s="576" t="s">
        <v>148</v>
      </c>
    </row>
    <row r="10" spans="1:52" ht="12.75" customHeight="1" x14ac:dyDescent="0.2">
      <c r="A10" s="2445"/>
      <c r="B10" s="2446"/>
      <c r="D10" s="1307" t="str">
        <f>IronSteel_CokeOven!A33</f>
        <v>Input(s)</v>
      </c>
      <c r="E10" s="1308" t="str">
        <f>IronSteel_CokeOven!A37</f>
        <v>Output(s)</v>
      </c>
      <c r="F10" s="1306" t="str">
        <f>HLOOKUP(LangChoice,$AB$2:$AD$20,AA15+1,FALSE)</f>
        <v>Eff.</v>
      </c>
      <c r="G10" s="1309" t="str">
        <f>D10</f>
        <v>Input(s)</v>
      </c>
      <c r="H10" s="2441" t="str">
        <f>E10</f>
        <v>Output(s)</v>
      </c>
      <c r="I10" s="2442"/>
      <c r="J10" s="1304" t="str">
        <f>F10</f>
        <v>Eff.</v>
      </c>
      <c r="K10" s="1309" t="str">
        <f>D10</f>
        <v>Input(s)</v>
      </c>
      <c r="L10" s="1308" t="str">
        <f>E10</f>
        <v>Output(s)</v>
      </c>
      <c r="M10" s="1305" t="str">
        <f>F10</f>
        <v>Eff.</v>
      </c>
      <c r="N10" s="592"/>
      <c r="O10" s="773" t="s">
        <v>7247</v>
      </c>
      <c r="P10" s="771" t="s">
        <v>8221</v>
      </c>
      <c r="Q10" s="774" t="s">
        <v>8222</v>
      </c>
      <c r="R10" s="592"/>
      <c r="AA10" s="576">
        <v>8</v>
      </c>
      <c r="AB10" s="576"/>
      <c r="AC10" s="576"/>
      <c r="AD10" s="576" t="s">
        <v>148</v>
      </c>
    </row>
    <row r="11" spans="1:52" ht="12.75" customHeight="1" x14ac:dyDescent="0.2">
      <c r="A11" s="2447"/>
      <c r="B11" s="2448"/>
      <c r="D11" s="751" t="str">
        <f>IronSteel_CokeOven!H33</f>
        <v>ktoe</v>
      </c>
      <c r="E11" s="752" t="str">
        <f>Electricity_Heat_I!G26</f>
        <v>GWh</v>
      </c>
      <c r="F11" s="768"/>
      <c r="G11" s="747" t="str">
        <f>D11</f>
        <v>ktoe</v>
      </c>
      <c r="H11" s="770" t="str">
        <f>E11</f>
        <v>GWh</v>
      </c>
      <c r="I11" s="750" t="str">
        <f>Electricity_Heat_I!H26</f>
        <v>TJ</v>
      </c>
      <c r="J11" s="768"/>
      <c r="K11" s="747" t="str">
        <f>D11</f>
        <v>ktoe</v>
      </c>
      <c r="L11" s="748" t="str">
        <f>I11</f>
        <v>TJ</v>
      </c>
      <c r="M11" s="769"/>
      <c r="N11" s="207"/>
      <c r="O11" s="1160" t="str">
        <f>TEXT(AC27*100,"0") &amp; "-" &amp; TEXT(AC28,"0%")</f>
        <v>30-50%</v>
      </c>
      <c r="P11" s="1161" t="str">
        <f>TEXT(AD27*100,"0") &amp; "-" &amp; TEXT(AD28,"0%")</f>
        <v>60-90%</v>
      </c>
      <c r="Q11" s="1162" t="str">
        <f>TEXT(AE27*100,"0") &amp; "-" &amp; TEXT(AE28,"0%")</f>
        <v>80-95%</v>
      </c>
      <c r="R11" s="592"/>
      <c r="AA11" s="576">
        <v>9</v>
      </c>
      <c r="AB11" s="20"/>
      <c r="AC11" s="20"/>
      <c r="AD11" s="576" t="s">
        <v>148</v>
      </c>
    </row>
    <row r="12" spans="1:52" ht="12.75" hidden="1" customHeight="1" x14ac:dyDescent="0.2">
      <c r="A12" s="1003" t="s">
        <v>184</v>
      </c>
      <c r="B12" s="767"/>
      <c r="C12" s="745"/>
      <c r="D12" s="753" t="str">
        <f>AC32</f>
        <v>MAINELEC</v>
      </c>
      <c r="E12" s="754" t="str">
        <f>AI32</f>
        <v>ELMAINE</v>
      </c>
      <c r="F12" s="755"/>
      <c r="G12" s="756" t="str">
        <f>AE32</f>
        <v>MAINCHP</v>
      </c>
      <c r="H12" s="754" t="str">
        <f>AK32</f>
        <v>ELMAINC</v>
      </c>
      <c r="I12" s="757" t="str">
        <f>AM32</f>
        <v>HEMAINC</v>
      </c>
      <c r="J12" s="755"/>
      <c r="K12" s="756" t="str">
        <f>AG32</f>
        <v>MAINHEAT</v>
      </c>
      <c r="L12" s="754" t="str">
        <f>AO32</f>
        <v>HEMAINH</v>
      </c>
      <c r="M12" s="758"/>
      <c r="N12" s="592"/>
      <c r="O12" s="775"/>
      <c r="P12" s="772"/>
      <c r="Q12" s="776"/>
      <c r="R12" s="592"/>
      <c r="AA12" s="576">
        <v>10</v>
      </c>
      <c r="AB12" s="20"/>
      <c r="AC12" s="20"/>
      <c r="AD12" s="576" t="s">
        <v>148</v>
      </c>
    </row>
    <row r="13" spans="1:52" ht="12.75" customHeight="1" x14ac:dyDescent="0.2">
      <c r="A13" s="1004">
        <f t="shared" ref="A13:A32" ca="1" si="0">IF(AA32&lt;$AT$32+1,AA32,"")</f>
        <v>1</v>
      </c>
      <c r="B13" s="1310" t="str">
        <f ca="1">IFERROR(INDIRECT(C13),"")</f>
        <v>Other bituminous coal</v>
      </c>
      <c r="C13" s="241" t="str">
        <f t="shared" ref="C13:C32" ca="1" si="1">IFERROR(INDEX($AB$33:$AB$84,MATCH(A13,$AT$33:$AT$84,0),1),"")</f>
        <v>BITCOAL</v>
      </c>
      <c r="D13" s="759">
        <f t="shared" ref="D13:E32" ca="1" si="2">IF($C13="","",VLOOKUP($C13,$AB$33:$AP$84,MATCH(D$12,$AB$32:$AP$32,0),FALSE))</f>
        <v>-2352560.7486149999</v>
      </c>
      <c r="E13" s="760">
        <f t="shared" ca="1" si="2"/>
        <v>194357</v>
      </c>
      <c r="F13" s="739">
        <f t="shared" ref="F13:F32" ca="1" si="3">IFERROR(IF(D13=0,"..",E13*GWh_to_ktoe/-D13),"")</f>
        <v>7.1036184315059212E-3</v>
      </c>
      <c r="G13" s="761">
        <f t="shared" ref="G13:I32" ca="1" si="4">IF($C13="","",VLOOKUP($C13,$AB$33:$AP$84,MATCH(G$12,$AB$32:$AP$32,0),FALSE))</f>
        <v>0</v>
      </c>
      <c r="H13" s="760">
        <f t="shared" ca="1" si="4"/>
        <v>0</v>
      </c>
      <c r="I13" s="762">
        <f t="shared" ca="1" si="4"/>
        <v>0</v>
      </c>
      <c r="J13" s="739" t="str">
        <f t="shared" ref="J13:J32" ca="1" si="5">IFERROR(IF(G13=0,"..",(H13*GWh_to_ktoe+I13*TJ_to_ktoe)/-G13),"")</f>
        <v>..</v>
      </c>
      <c r="K13" s="761">
        <f t="shared" ref="K13:L32" ca="1" si="6">IF($C13="","",VLOOKUP($C13,$AB$33:$AP$84,MATCH(K$12,$AB$32:$AP$32,0),FALSE))</f>
        <v>0</v>
      </c>
      <c r="L13" s="760">
        <f t="shared" ca="1" si="6"/>
        <v>0</v>
      </c>
      <c r="M13" s="741" t="str">
        <f t="shared" ref="M13:M32" ca="1" si="7">IFERROR(IF(K13=0,"..",(L13*TJ_to_ktoe)/-K13),"")</f>
        <v>..</v>
      </c>
      <c r="N13" s="592"/>
      <c r="O13" s="1298" t="str">
        <f t="shared" ref="O13:O32" ca="1" si="8">IF(ISTEXT($F13)=FALSE,IF($F13&lt;AC$27,$AB$27,IF($F13&gt;AC$28,$AB$28,"")),"")</f>
        <v>Low</v>
      </c>
      <c r="P13" s="1299" t="str">
        <f t="shared" ref="P13:P32" ca="1" si="9">IF(ISTEXT($J13)=FALSE,IF($J13&lt;AD$27,$AB$27,IF($J13&gt;AD$28,$AB$28,"")),"")</f>
        <v/>
      </c>
      <c r="Q13" s="1300" t="str">
        <f t="shared" ref="Q13:Q32" ca="1" si="10">IF(ISTEXT($M13)=FALSE,IF($M13&lt;AE$27,$AB$27,IF($M13&gt;AE$28,$AB$28,"")),"")</f>
        <v/>
      </c>
      <c r="R13" s="592"/>
      <c r="AA13" s="576">
        <v>11</v>
      </c>
      <c r="AB13" s="576" t="s">
        <v>8223</v>
      </c>
      <c r="AC13" s="576" t="s">
        <v>8224</v>
      </c>
      <c r="AD13" s="576" t="s">
        <v>148</v>
      </c>
      <c r="AY13" s="20"/>
      <c r="AZ13" s="20"/>
    </row>
    <row r="14" spans="1:52" ht="12.75" customHeight="1" x14ac:dyDescent="0.2">
      <c r="A14" s="1004">
        <f t="shared" ca="1" si="0"/>
        <v>2</v>
      </c>
      <c r="B14" s="1310" t="str">
        <f t="shared" ref="B14:B26" ca="1" si="11">IFERROR(INDIRECT(C14),"")</f>
        <v>Primary solid biofuels</v>
      </c>
      <c r="C14" s="241" t="str">
        <f t="shared" ca="1" si="1"/>
        <v>PRIMSBIO</v>
      </c>
      <c r="D14" s="759">
        <f t="shared" ca="1" si="2"/>
        <v>0</v>
      </c>
      <c r="E14" s="760">
        <f t="shared" ca="1" si="2"/>
        <v>0</v>
      </c>
      <c r="F14" s="739" t="str">
        <f t="shared" ca="1" si="3"/>
        <v>..</v>
      </c>
      <c r="G14" s="761">
        <f t="shared" ca="1" si="4"/>
        <v>0</v>
      </c>
      <c r="H14" s="760">
        <f t="shared" ca="1" si="4"/>
        <v>0</v>
      </c>
      <c r="I14" s="762">
        <f t="shared" ca="1" si="4"/>
        <v>0</v>
      </c>
      <c r="J14" s="739" t="str">
        <f t="shared" ca="1" si="5"/>
        <v>..</v>
      </c>
      <c r="K14" s="761">
        <f t="shared" ca="1" si="6"/>
        <v>0</v>
      </c>
      <c r="L14" s="760">
        <f t="shared" ca="1" si="6"/>
        <v>0</v>
      </c>
      <c r="M14" s="741" t="str">
        <f t="shared" ca="1" si="7"/>
        <v>..</v>
      </c>
      <c r="N14" s="592"/>
      <c r="O14" s="1298" t="str">
        <f t="shared" ca="1" si="8"/>
        <v/>
      </c>
      <c r="P14" s="1299" t="str">
        <f t="shared" ca="1" si="9"/>
        <v/>
      </c>
      <c r="Q14" s="1300" t="str">
        <f t="shared" ca="1" si="10"/>
        <v/>
      </c>
      <c r="R14" s="592"/>
      <c r="AA14" s="576">
        <v>12</v>
      </c>
      <c r="AB14" s="576" t="s">
        <v>8225</v>
      </c>
      <c r="AC14" s="576" t="s">
        <v>854</v>
      </c>
      <c r="AD14" s="576" t="s">
        <v>148</v>
      </c>
    </row>
    <row r="15" spans="1:52" ht="12.75" customHeight="1" x14ac:dyDescent="0.2">
      <c r="A15" s="1004" t="str">
        <f t="shared" ca="1" si="0"/>
        <v/>
      </c>
      <c r="B15" s="1310" t="str">
        <f t="shared" ca="1" si="11"/>
        <v/>
      </c>
      <c r="C15" s="241" t="str">
        <f t="shared" ca="1" si="1"/>
        <v/>
      </c>
      <c r="D15" s="759" t="str">
        <f t="shared" ca="1" si="2"/>
        <v/>
      </c>
      <c r="E15" s="760" t="str">
        <f t="shared" ca="1" si="2"/>
        <v/>
      </c>
      <c r="F15" s="739" t="str">
        <f t="shared" ca="1" si="3"/>
        <v/>
      </c>
      <c r="G15" s="761" t="str">
        <f t="shared" ca="1" si="4"/>
        <v/>
      </c>
      <c r="H15" s="760" t="str">
        <f t="shared" ca="1" si="4"/>
        <v/>
      </c>
      <c r="I15" s="762" t="str">
        <f t="shared" ca="1" si="4"/>
        <v/>
      </c>
      <c r="J15" s="739" t="str">
        <f t="shared" ca="1" si="5"/>
        <v/>
      </c>
      <c r="K15" s="761" t="str">
        <f t="shared" ca="1" si="6"/>
        <v/>
      </c>
      <c r="L15" s="760" t="str">
        <f t="shared" ca="1" si="6"/>
        <v/>
      </c>
      <c r="M15" s="741" t="str">
        <f t="shared" ca="1" si="7"/>
        <v/>
      </c>
      <c r="N15" s="592"/>
      <c r="O15" s="1298" t="str">
        <f t="shared" ca="1" si="8"/>
        <v/>
      </c>
      <c r="P15" s="1299" t="str">
        <f t="shared" ca="1" si="9"/>
        <v/>
      </c>
      <c r="Q15" s="1300" t="str">
        <f t="shared" ca="1" si="10"/>
        <v/>
      </c>
      <c r="R15" s="592"/>
      <c r="AA15" s="576">
        <v>13</v>
      </c>
      <c r="AB15" s="576" t="s">
        <v>8226</v>
      </c>
      <c r="AC15" s="576" t="s">
        <v>8227</v>
      </c>
      <c r="AD15" s="576" t="s">
        <v>148</v>
      </c>
    </row>
    <row r="16" spans="1:52" ht="12.75" customHeight="1" x14ac:dyDescent="0.2">
      <c r="A16" s="1004" t="str">
        <f t="shared" ca="1" si="0"/>
        <v/>
      </c>
      <c r="B16" s="1310" t="str">
        <f t="shared" ca="1" si="11"/>
        <v/>
      </c>
      <c r="C16" s="241" t="str">
        <f t="shared" ca="1" si="1"/>
        <v/>
      </c>
      <c r="D16" s="759" t="str">
        <f t="shared" ca="1" si="2"/>
        <v/>
      </c>
      <c r="E16" s="760" t="str">
        <f t="shared" ca="1" si="2"/>
        <v/>
      </c>
      <c r="F16" s="739" t="str">
        <f t="shared" ca="1" si="3"/>
        <v/>
      </c>
      <c r="G16" s="761" t="str">
        <f t="shared" ca="1" si="4"/>
        <v/>
      </c>
      <c r="H16" s="760" t="str">
        <f t="shared" ca="1" si="4"/>
        <v/>
      </c>
      <c r="I16" s="762" t="str">
        <f t="shared" ca="1" si="4"/>
        <v/>
      </c>
      <c r="J16" s="739" t="str">
        <f t="shared" ca="1" si="5"/>
        <v/>
      </c>
      <c r="K16" s="761" t="str">
        <f t="shared" ca="1" si="6"/>
        <v/>
      </c>
      <c r="L16" s="760" t="str">
        <f t="shared" ca="1" si="6"/>
        <v/>
      </c>
      <c r="M16" s="741" t="str">
        <f t="shared" ca="1" si="7"/>
        <v/>
      </c>
      <c r="N16" s="592"/>
      <c r="O16" s="1298" t="str">
        <f t="shared" ca="1" si="8"/>
        <v/>
      </c>
      <c r="P16" s="1299" t="str">
        <f t="shared" ca="1" si="9"/>
        <v/>
      </c>
      <c r="Q16" s="1300" t="str">
        <f t="shared" ca="1" si="10"/>
        <v/>
      </c>
      <c r="R16" s="592"/>
      <c r="AA16" s="576">
        <v>14</v>
      </c>
      <c r="AB16" s="576" t="s">
        <v>7186</v>
      </c>
      <c r="AC16" s="576" t="s">
        <v>8228</v>
      </c>
      <c r="AD16" s="576" t="s">
        <v>148</v>
      </c>
    </row>
    <row r="17" spans="1:50" ht="12.75" customHeight="1" x14ac:dyDescent="0.2">
      <c r="A17" s="1004" t="str">
        <f t="shared" ca="1" si="0"/>
        <v/>
      </c>
      <c r="B17" s="1310" t="str">
        <f t="shared" ca="1" si="11"/>
        <v/>
      </c>
      <c r="C17" s="241" t="str">
        <f t="shared" ca="1" si="1"/>
        <v/>
      </c>
      <c r="D17" s="759" t="str">
        <f t="shared" ca="1" si="2"/>
        <v/>
      </c>
      <c r="E17" s="760" t="str">
        <f t="shared" ca="1" si="2"/>
        <v/>
      </c>
      <c r="F17" s="739" t="str">
        <f t="shared" ca="1" si="3"/>
        <v/>
      </c>
      <c r="G17" s="761" t="str">
        <f t="shared" ca="1" si="4"/>
        <v/>
      </c>
      <c r="H17" s="760" t="str">
        <f t="shared" ca="1" si="4"/>
        <v/>
      </c>
      <c r="I17" s="762" t="str">
        <f t="shared" ca="1" si="4"/>
        <v/>
      </c>
      <c r="J17" s="739" t="str">
        <f t="shared" ca="1" si="5"/>
        <v/>
      </c>
      <c r="K17" s="761" t="str">
        <f t="shared" ca="1" si="6"/>
        <v/>
      </c>
      <c r="L17" s="760" t="str">
        <f t="shared" ca="1" si="6"/>
        <v/>
      </c>
      <c r="M17" s="741" t="str">
        <f t="shared" ca="1" si="7"/>
        <v/>
      </c>
      <c r="N17" s="592"/>
      <c r="O17" s="1298" t="str">
        <f t="shared" ca="1" si="8"/>
        <v/>
      </c>
      <c r="P17" s="1299" t="str">
        <f t="shared" ca="1" si="9"/>
        <v/>
      </c>
      <c r="Q17" s="1300" t="str">
        <f t="shared" ca="1" si="10"/>
        <v/>
      </c>
      <c r="R17" s="592"/>
      <c r="AA17" s="576">
        <v>15</v>
      </c>
      <c r="AB17" s="576" t="s">
        <v>8229</v>
      </c>
      <c r="AC17" s="576" t="s">
        <v>8230</v>
      </c>
      <c r="AD17" s="576" t="s">
        <v>148</v>
      </c>
    </row>
    <row r="18" spans="1:50" ht="12.75" customHeight="1" x14ac:dyDescent="0.2">
      <c r="A18" s="1004" t="str">
        <f t="shared" ca="1" si="0"/>
        <v/>
      </c>
      <c r="B18" s="1310" t="str">
        <f t="shared" ca="1" si="11"/>
        <v/>
      </c>
      <c r="C18" s="241" t="str">
        <f t="shared" ca="1" si="1"/>
        <v/>
      </c>
      <c r="D18" s="759" t="str">
        <f t="shared" ca="1" si="2"/>
        <v/>
      </c>
      <c r="E18" s="760" t="str">
        <f t="shared" ca="1" si="2"/>
        <v/>
      </c>
      <c r="F18" s="739" t="str">
        <f t="shared" ca="1" si="3"/>
        <v/>
      </c>
      <c r="G18" s="761" t="str">
        <f t="shared" ca="1" si="4"/>
        <v/>
      </c>
      <c r="H18" s="760" t="str">
        <f t="shared" ca="1" si="4"/>
        <v/>
      </c>
      <c r="I18" s="762" t="str">
        <f t="shared" ca="1" si="4"/>
        <v/>
      </c>
      <c r="J18" s="739" t="str">
        <f t="shared" ca="1" si="5"/>
        <v/>
      </c>
      <c r="K18" s="761" t="str">
        <f t="shared" ca="1" si="6"/>
        <v/>
      </c>
      <c r="L18" s="760" t="str">
        <f t="shared" ca="1" si="6"/>
        <v/>
      </c>
      <c r="M18" s="741" t="str">
        <f t="shared" ca="1" si="7"/>
        <v/>
      </c>
      <c r="N18" s="592"/>
      <c r="O18" s="1298" t="str">
        <f t="shared" ca="1" si="8"/>
        <v/>
      </c>
      <c r="P18" s="1299" t="str">
        <f t="shared" ca="1" si="9"/>
        <v/>
      </c>
      <c r="Q18" s="1300" t="str">
        <f t="shared" ca="1" si="10"/>
        <v/>
      </c>
      <c r="R18" s="592"/>
      <c r="AA18" s="576">
        <v>16</v>
      </c>
      <c r="AB18" s="576"/>
      <c r="AC18" s="576"/>
      <c r="AD18" s="576" t="s">
        <v>148</v>
      </c>
    </row>
    <row r="19" spans="1:50" ht="12.75" customHeight="1" x14ac:dyDescent="0.2">
      <c r="A19" s="1004" t="str">
        <f t="shared" ca="1" si="0"/>
        <v/>
      </c>
      <c r="B19" s="1310" t="str">
        <f t="shared" ca="1" si="11"/>
        <v/>
      </c>
      <c r="C19" s="241" t="str">
        <f t="shared" ca="1" si="1"/>
        <v/>
      </c>
      <c r="D19" s="759" t="str">
        <f t="shared" ca="1" si="2"/>
        <v/>
      </c>
      <c r="E19" s="760" t="str">
        <f t="shared" ca="1" si="2"/>
        <v/>
      </c>
      <c r="F19" s="739" t="str">
        <f t="shared" ca="1" si="3"/>
        <v/>
      </c>
      <c r="G19" s="761" t="str">
        <f t="shared" ca="1" si="4"/>
        <v/>
      </c>
      <c r="H19" s="760" t="str">
        <f t="shared" ca="1" si="4"/>
        <v/>
      </c>
      <c r="I19" s="762" t="str">
        <f t="shared" ca="1" si="4"/>
        <v/>
      </c>
      <c r="J19" s="739" t="str">
        <f t="shared" ca="1" si="5"/>
        <v/>
      </c>
      <c r="K19" s="761" t="str">
        <f t="shared" ca="1" si="6"/>
        <v/>
      </c>
      <c r="L19" s="760" t="str">
        <f t="shared" ca="1" si="6"/>
        <v/>
      </c>
      <c r="M19" s="741" t="str">
        <f t="shared" ca="1" si="7"/>
        <v/>
      </c>
      <c r="N19" s="592"/>
      <c r="O19" s="1298" t="str">
        <f t="shared" ca="1" si="8"/>
        <v/>
      </c>
      <c r="P19" s="1299" t="str">
        <f t="shared" ca="1" si="9"/>
        <v/>
      </c>
      <c r="Q19" s="1300" t="str">
        <f t="shared" ca="1" si="10"/>
        <v/>
      </c>
      <c r="R19" s="592"/>
      <c r="AD19" s="1220"/>
    </row>
    <row r="20" spans="1:50" ht="12.75" customHeight="1" x14ac:dyDescent="0.2">
      <c r="A20" s="1004" t="str">
        <f t="shared" ca="1" si="0"/>
        <v/>
      </c>
      <c r="B20" s="1310" t="str">
        <f t="shared" ca="1" si="11"/>
        <v/>
      </c>
      <c r="C20" s="241" t="str">
        <f t="shared" ca="1" si="1"/>
        <v/>
      </c>
      <c r="D20" s="759" t="str">
        <f t="shared" ca="1" si="2"/>
        <v/>
      </c>
      <c r="E20" s="760" t="str">
        <f t="shared" ca="1" si="2"/>
        <v/>
      </c>
      <c r="F20" s="739" t="str">
        <f t="shared" ca="1" si="3"/>
        <v/>
      </c>
      <c r="G20" s="761" t="str">
        <f t="shared" ca="1" si="4"/>
        <v/>
      </c>
      <c r="H20" s="760" t="str">
        <f t="shared" ca="1" si="4"/>
        <v/>
      </c>
      <c r="I20" s="762" t="str">
        <f t="shared" ca="1" si="4"/>
        <v/>
      </c>
      <c r="J20" s="739" t="str">
        <f t="shared" ca="1" si="5"/>
        <v/>
      </c>
      <c r="K20" s="761" t="str">
        <f t="shared" ca="1" si="6"/>
        <v/>
      </c>
      <c r="L20" s="760" t="str">
        <f t="shared" ca="1" si="6"/>
        <v/>
      </c>
      <c r="M20" s="741" t="str">
        <f t="shared" ca="1" si="7"/>
        <v/>
      </c>
      <c r="N20" s="592"/>
      <c r="O20" s="1298" t="str">
        <f t="shared" ca="1" si="8"/>
        <v/>
      </c>
      <c r="P20" s="1299" t="str">
        <f t="shared" ca="1" si="9"/>
        <v/>
      </c>
      <c r="Q20" s="1300" t="str">
        <f t="shared" ca="1" si="10"/>
        <v/>
      </c>
      <c r="R20" s="592"/>
    </row>
    <row r="21" spans="1:50" ht="12.75" customHeight="1" x14ac:dyDescent="0.2">
      <c r="A21" s="1004" t="str">
        <f t="shared" ca="1" si="0"/>
        <v/>
      </c>
      <c r="B21" s="1310" t="str">
        <f t="shared" ca="1" si="11"/>
        <v/>
      </c>
      <c r="C21" s="241" t="str">
        <f t="shared" ca="1" si="1"/>
        <v/>
      </c>
      <c r="D21" s="759" t="str">
        <f t="shared" ca="1" si="2"/>
        <v/>
      </c>
      <c r="E21" s="760" t="str">
        <f t="shared" ca="1" si="2"/>
        <v/>
      </c>
      <c r="F21" s="739" t="str">
        <f t="shared" ca="1" si="3"/>
        <v/>
      </c>
      <c r="G21" s="761" t="str">
        <f t="shared" ca="1" si="4"/>
        <v/>
      </c>
      <c r="H21" s="760" t="str">
        <f t="shared" ca="1" si="4"/>
        <v/>
      </c>
      <c r="I21" s="762" t="str">
        <f t="shared" ca="1" si="4"/>
        <v/>
      </c>
      <c r="J21" s="739" t="str">
        <f t="shared" ca="1" si="5"/>
        <v/>
      </c>
      <c r="K21" s="761" t="str">
        <f t="shared" ca="1" si="6"/>
        <v/>
      </c>
      <c r="L21" s="760" t="str">
        <f t="shared" ca="1" si="6"/>
        <v/>
      </c>
      <c r="M21" s="741" t="str">
        <f t="shared" ca="1" si="7"/>
        <v/>
      </c>
      <c r="N21" s="592"/>
      <c r="O21" s="1298" t="str">
        <f t="shared" ca="1" si="8"/>
        <v/>
      </c>
      <c r="P21" s="1299" t="str">
        <f t="shared" ca="1" si="9"/>
        <v/>
      </c>
      <c r="Q21" s="1300" t="str">
        <f t="shared" ca="1" si="10"/>
        <v/>
      </c>
      <c r="R21" s="592"/>
    </row>
    <row r="22" spans="1:50" ht="12.75" customHeight="1" x14ac:dyDescent="0.2">
      <c r="A22" s="1004" t="str">
        <f t="shared" ca="1" si="0"/>
        <v/>
      </c>
      <c r="B22" s="1310" t="str">
        <f t="shared" ca="1" si="11"/>
        <v/>
      </c>
      <c r="C22" s="241" t="str">
        <f t="shared" ca="1" si="1"/>
        <v/>
      </c>
      <c r="D22" s="759" t="str">
        <f t="shared" ca="1" si="2"/>
        <v/>
      </c>
      <c r="E22" s="760" t="str">
        <f t="shared" ca="1" si="2"/>
        <v/>
      </c>
      <c r="F22" s="739" t="str">
        <f t="shared" ca="1" si="3"/>
        <v/>
      </c>
      <c r="G22" s="761" t="str">
        <f t="shared" ca="1" si="4"/>
        <v/>
      </c>
      <c r="H22" s="760" t="str">
        <f t="shared" ca="1" si="4"/>
        <v/>
      </c>
      <c r="I22" s="762" t="str">
        <f t="shared" ca="1" si="4"/>
        <v/>
      </c>
      <c r="J22" s="739" t="str">
        <f t="shared" ca="1" si="5"/>
        <v/>
      </c>
      <c r="K22" s="761" t="str">
        <f t="shared" ca="1" si="6"/>
        <v/>
      </c>
      <c r="L22" s="760" t="str">
        <f t="shared" ca="1" si="6"/>
        <v/>
      </c>
      <c r="M22" s="741" t="str">
        <f t="shared" ca="1" si="7"/>
        <v/>
      </c>
      <c r="N22" s="592"/>
      <c r="O22" s="1298" t="str">
        <f t="shared" ca="1" si="8"/>
        <v/>
      </c>
      <c r="P22" s="1299" t="str">
        <f t="shared" ca="1" si="9"/>
        <v/>
      </c>
      <c r="Q22" s="1300" t="str">
        <f t="shared" ca="1" si="10"/>
        <v/>
      </c>
      <c r="R22" s="592"/>
    </row>
    <row r="23" spans="1:50" ht="12.75" customHeight="1" x14ac:dyDescent="0.2">
      <c r="A23" s="1004" t="str">
        <f t="shared" ca="1" si="0"/>
        <v/>
      </c>
      <c r="B23" s="1310" t="str">
        <f t="shared" ca="1" si="11"/>
        <v/>
      </c>
      <c r="C23" s="241" t="str">
        <f t="shared" ca="1" si="1"/>
        <v/>
      </c>
      <c r="D23" s="759" t="str">
        <f t="shared" ca="1" si="2"/>
        <v/>
      </c>
      <c r="E23" s="760" t="str">
        <f t="shared" ca="1" si="2"/>
        <v/>
      </c>
      <c r="F23" s="739" t="str">
        <f t="shared" ca="1" si="3"/>
        <v/>
      </c>
      <c r="G23" s="761" t="str">
        <f t="shared" ca="1" si="4"/>
        <v/>
      </c>
      <c r="H23" s="760" t="str">
        <f t="shared" ca="1" si="4"/>
        <v/>
      </c>
      <c r="I23" s="762" t="str">
        <f t="shared" ca="1" si="4"/>
        <v/>
      </c>
      <c r="J23" s="739" t="str">
        <f t="shared" ca="1" si="5"/>
        <v/>
      </c>
      <c r="K23" s="761" t="str">
        <f t="shared" ca="1" si="6"/>
        <v/>
      </c>
      <c r="L23" s="760" t="str">
        <f t="shared" ca="1" si="6"/>
        <v/>
      </c>
      <c r="M23" s="741" t="str">
        <f t="shared" ca="1" si="7"/>
        <v/>
      </c>
      <c r="N23" s="592"/>
      <c r="O23" s="1298" t="str">
        <f t="shared" ca="1" si="8"/>
        <v/>
      </c>
      <c r="P23" s="1299" t="str">
        <f t="shared" ca="1" si="9"/>
        <v/>
      </c>
      <c r="Q23" s="1300" t="str">
        <f t="shared" ca="1" si="10"/>
        <v/>
      </c>
      <c r="R23" s="592"/>
    </row>
    <row r="24" spans="1:50" s="20" customFormat="1" x14ac:dyDescent="0.2">
      <c r="A24" s="1004" t="str">
        <f t="shared" ca="1" si="0"/>
        <v/>
      </c>
      <c r="B24" s="1310" t="str">
        <f t="shared" ca="1" si="11"/>
        <v/>
      </c>
      <c r="C24" s="241" t="str">
        <f t="shared" ca="1" si="1"/>
        <v/>
      </c>
      <c r="D24" s="759" t="str">
        <f t="shared" ca="1" si="2"/>
        <v/>
      </c>
      <c r="E24" s="760" t="str">
        <f t="shared" ca="1" si="2"/>
        <v/>
      </c>
      <c r="F24" s="739" t="str">
        <f t="shared" ca="1" si="3"/>
        <v/>
      </c>
      <c r="G24" s="761" t="str">
        <f t="shared" ca="1" si="4"/>
        <v/>
      </c>
      <c r="H24" s="760" t="str">
        <f t="shared" ca="1" si="4"/>
        <v/>
      </c>
      <c r="I24" s="762" t="str">
        <f t="shared" ca="1" si="4"/>
        <v/>
      </c>
      <c r="J24" s="739" t="str">
        <f t="shared" ca="1" si="5"/>
        <v/>
      </c>
      <c r="K24" s="761" t="str">
        <f t="shared" ca="1" si="6"/>
        <v/>
      </c>
      <c r="L24" s="760" t="str">
        <f t="shared" ca="1" si="6"/>
        <v/>
      </c>
      <c r="M24" s="741" t="str">
        <f t="shared" ca="1" si="7"/>
        <v/>
      </c>
      <c r="N24"/>
      <c r="O24" s="1298" t="str">
        <f t="shared" ca="1" si="8"/>
        <v/>
      </c>
      <c r="P24" s="1299" t="str">
        <f t="shared" ca="1" si="9"/>
        <v/>
      </c>
      <c r="Q24" s="1300" t="str">
        <f t="shared" ca="1" si="10"/>
        <v/>
      </c>
      <c r="R24"/>
      <c r="S24"/>
      <c r="T24"/>
      <c r="U24"/>
      <c r="V24"/>
      <c r="W24"/>
      <c r="X24"/>
      <c r="Y24"/>
      <c r="Z24"/>
    </row>
    <row r="25" spans="1:50" s="20" customFormat="1" x14ac:dyDescent="0.2">
      <c r="A25" s="1004" t="str">
        <f t="shared" ca="1" si="0"/>
        <v/>
      </c>
      <c r="B25" s="1310" t="str">
        <f t="shared" ca="1" si="11"/>
        <v/>
      </c>
      <c r="C25" s="241" t="str">
        <f t="shared" ca="1" si="1"/>
        <v/>
      </c>
      <c r="D25" s="759" t="str">
        <f t="shared" ca="1" si="2"/>
        <v/>
      </c>
      <c r="E25" s="760" t="str">
        <f t="shared" ca="1" si="2"/>
        <v/>
      </c>
      <c r="F25" s="739" t="str">
        <f t="shared" ca="1" si="3"/>
        <v/>
      </c>
      <c r="G25" s="761" t="str">
        <f t="shared" ca="1" si="4"/>
        <v/>
      </c>
      <c r="H25" s="760" t="str">
        <f t="shared" ca="1" si="4"/>
        <v/>
      </c>
      <c r="I25" s="762" t="str">
        <f t="shared" ca="1" si="4"/>
        <v/>
      </c>
      <c r="J25" s="739" t="str">
        <f t="shared" ca="1" si="5"/>
        <v/>
      </c>
      <c r="K25" s="761" t="str">
        <f t="shared" ca="1" si="6"/>
        <v/>
      </c>
      <c r="L25" s="760" t="str">
        <f t="shared" ca="1" si="6"/>
        <v/>
      </c>
      <c r="M25" s="741" t="str">
        <f t="shared" ca="1" si="7"/>
        <v/>
      </c>
      <c r="N25"/>
      <c r="O25" s="1298" t="str">
        <f t="shared" ca="1" si="8"/>
        <v/>
      </c>
      <c r="P25" s="1299" t="str">
        <f t="shared" ca="1" si="9"/>
        <v/>
      </c>
      <c r="Q25" s="1300" t="str">
        <f t="shared" ca="1" si="10"/>
        <v/>
      </c>
      <c r="R25"/>
      <c r="S25"/>
      <c r="T25"/>
      <c r="U25"/>
      <c r="V25"/>
      <c r="W25"/>
      <c r="X25"/>
      <c r="Y25"/>
      <c r="Z25"/>
    </row>
    <row r="26" spans="1:50" s="20" customFormat="1" x14ac:dyDescent="0.2">
      <c r="A26" s="1004" t="str">
        <f t="shared" ca="1" si="0"/>
        <v/>
      </c>
      <c r="B26" s="1310" t="str">
        <f t="shared" ca="1" si="11"/>
        <v/>
      </c>
      <c r="C26" s="241" t="str">
        <f t="shared" ca="1" si="1"/>
        <v/>
      </c>
      <c r="D26" s="759" t="str">
        <f t="shared" ca="1" si="2"/>
        <v/>
      </c>
      <c r="E26" s="760" t="str">
        <f t="shared" ca="1" si="2"/>
        <v/>
      </c>
      <c r="F26" s="739" t="str">
        <f t="shared" ca="1" si="3"/>
        <v/>
      </c>
      <c r="G26" s="761" t="str">
        <f t="shared" ca="1" si="4"/>
        <v/>
      </c>
      <c r="H26" s="760" t="str">
        <f t="shared" ca="1" si="4"/>
        <v/>
      </c>
      <c r="I26" s="762" t="str">
        <f t="shared" ca="1" si="4"/>
        <v/>
      </c>
      <c r="J26" s="739" t="str">
        <f t="shared" ca="1" si="5"/>
        <v/>
      </c>
      <c r="K26" s="761" t="str">
        <f t="shared" ca="1" si="6"/>
        <v/>
      </c>
      <c r="L26" s="760" t="str">
        <f t="shared" ca="1" si="6"/>
        <v/>
      </c>
      <c r="M26" s="741" t="str">
        <f t="shared" ca="1" si="7"/>
        <v/>
      </c>
      <c r="N26"/>
      <c r="O26" s="1298" t="str">
        <f t="shared" ca="1" si="8"/>
        <v/>
      </c>
      <c r="P26" s="1299" t="str">
        <f t="shared" ca="1" si="9"/>
        <v/>
      </c>
      <c r="Q26" s="1300" t="str">
        <f t="shared" ca="1" si="10"/>
        <v/>
      </c>
      <c r="R26"/>
      <c r="S26"/>
      <c r="T26"/>
      <c r="U26"/>
      <c r="V26"/>
      <c r="W26"/>
      <c r="X26"/>
      <c r="Y26"/>
      <c r="Z26"/>
      <c r="AB26" s="20" t="s">
        <v>8231</v>
      </c>
      <c r="AC26" s="20" t="s">
        <v>7247</v>
      </c>
      <c r="AD26" s="20" t="s">
        <v>8221</v>
      </c>
      <c r="AE26" s="20" t="s">
        <v>8222</v>
      </c>
    </row>
    <row r="27" spans="1:50" s="20" customFormat="1" x14ac:dyDescent="0.2">
      <c r="A27" s="1004" t="str">
        <f t="shared" ca="1" si="0"/>
        <v/>
      </c>
      <c r="B27" s="1310" t="str">
        <f t="shared" ref="B27:B32" ca="1" si="12">IFERROR(INDIRECT(INDEX($AB$33:$AB$84,MATCH(A27,$AT$33:$AT$84,0),1)),"")</f>
        <v/>
      </c>
      <c r="C27" s="241" t="str">
        <f t="shared" ca="1" si="1"/>
        <v/>
      </c>
      <c r="D27" s="759" t="str">
        <f t="shared" ca="1" si="2"/>
        <v/>
      </c>
      <c r="E27" s="760" t="str">
        <f t="shared" ca="1" si="2"/>
        <v/>
      </c>
      <c r="F27" s="739" t="str">
        <f t="shared" ca="1" si="3"/>
        <v/>
      </c>
      <c r="G27" s="761" t="str">
        <f t="shared" ca="1" si="4"/>
        <v/>
      </c>
      <c r="H27" s="760" t="str">
        <f t="shared" ca="1" si="4"/>
        <v/>
      </c>
      <c r="I27" s="762" t="str">
        <f t="shared" ca="1" si="4"/>
        <v/>
      </c>
      <c r="J27" s="739" t="str">
        <f t="shared" ca="1" si="5"/>
        <v/>
      </c>
      <c r="K27" s="761" t="str">
        <f t="shared" ca="1" si="6"/>
        <v/>
      </c>
      <c r="L27" s="760" t="str">
        <f t="shared" ca="1" si="6"/>
        <v/>
      </c>
      <c r="M27" s="741" t="str">
        <f t="shared" ca="1" si="7"/>
        <v/>
      </c>
      <c r="N27"/>
      <c r="O27" s="1298" t="str">
        <f t="shared" ca="1" si="8"/>
        <v/>
      </c>
      <c r="P27" s="1299" t="str">
        <f t="shared" ca="1" si="9"/>
        <v/>
      </c>
      <c r="Q27" s="1300" t="str">
        <f t="shared" ca="1" si="10"/>
        <v/>
      </c>
      <c r="R27"/>
      <c r="S27"/>
      <c r="T27"/>
      <c r="U27"/>
      <c r="V27"/>
      <c r="W27"/>
      <c r="X27"/>
      <c r="Y27"/>
      <c r="Z27"/>
      <c r="AB27" s="625" t="str">
        <f>HLOOKUP(LangChoice,$AB$2:$AD$20,AA8+1,FALSE)</f>
        <v>Low</v>
      </c>
      <c r="AC27" s="1244">
        <v>0.3</v>
      </c>
      <c r="AD27" s="1244">
        <v>0.6</v>
      </c>
      <c r="AE27" s="1245">
        <v>0.8</v>
      </c>
      <c r="AF27"/>
      <c r="AG27"/>
      <c r="AH27"/>
      <c r="AI27"/>
      <c r="AJ27"/>
      <c r="AK27"/>
      <c r="AL27"/>
      <c r="AM27"/>
      <c r="AN27"/>
      <c r="AO27"/>
      <c r="AP27"/>
      <c r="AQ27"/>
      <c r="AR27"/>
      <c r="AS27"/>
      <c r="AT27"/>
      <c r="AU27"/>
      <c r="AW27"/>
      <c r="AX27"/>
    </row>
    <row r="28" spans="1:50" x14ac:dyDescent="0.2">
      <c r="A28" s="1004" t="str">
        <f t="shared" ca="1" si="0"/>
        <v/>
      </c>
      <c r="B28" s="1310" t="str">
        <f t="shared" ca="1" si="12"/>
        <v/>
      </c>
      <c r="C28" s="241" t="str">
        <f t="shared" ca="1" si="1"/>
        <v/>
      </c>
      <c r="D28" s="759" t="str">
        <f t="shared" ca="1" si="2"/>
        <v/>
      </c>
      <c r="E28" s="760" t="str">
        <f t="shared" ca="1" si="2"/>
        <v/>
      </c>
      <c r="F28" s="739" t="str">
        <f t="shared" ca="1" si="3"/>
        <v/>
      </c>
      <c r="G28" s="761" t="str">
        <f t="shared" ca="1" si="4"/>
        <v/>
      </c>
      <c r="H28" s="760" t="str">
        <f t="shared" ca="1" si="4"/>
        <v/>
      </c>
      <c r="I28" s="762" t="str">
        <f t="shared" ca="1" si="4"/>
        <v/>
      </c>
      <c r="J28" s="739" t="str">
        <f t="shared" ca="1" si="5"/>
        <v/>
      </c>
      <c r="K28" s="761" t="str">
        <f t="shared" ca="1" si="6"/>
        <v/>
      </c>
      <c r="L28" s="760" t="str">
        <f t="shared" ca="1" si="6"/>
        <v/>
      </c>
      <c r="M28" s="741" t="str">
        <f t="shared" ca="1" si="7"/>
        <v/>
      </c>
      <c r="O28" s="1298" t="str">
        <f t="shared" ca="1" si="8"/>
        <v/>
      </c>
      <c r="P28" s="1299" t="str">
        <f t="shared" ca="1" si="9"/>
        <v/>
      </c>
      <c r="Q28" s="1300" t="str">
        <f t="shared" ca="1" si="10"/>
        <v/>
      </c>
      <c r="AB28" s="627" t="str">
        <f>HLOOKUP(LangChoice,$AB$2:$AD$20,AA9+1,FALSE)</f>
        <v>High</v>
      </c>
      <c r="AC28" s="1242">
        <v>0.5</v>
      </c>
      <c r="AD28" s="1242">
        <v>0.9</v>
      </c>
      <c r="AE28" s="1246">
        <v>0.95</v>
      </c>
      <c r="AV28" s="20"/>
    </row>
    <row r="29" spans="1:50" x14ac:dyDescent="0.2">
      <c r="A29" s="1004" t="str">
        <f t="shared" ca="1" si="0"/>
        <v/>
      </c>
      <c r="B29" s="1310" t="str">
        <f t="shared" ca="1" si="12"/>
        <v/>
      </c>
      <c r="C29" s="241" t="str">
        <f t="shared" ca="1" si="1"/>
        <v/>
      </c>
      <c r="D29" s="759" t="str">
        <f t="shared" ca="1" si="2"/>
        <v/>
      </c>
      <c r="E29" s="760" t="str">
        <f t="shared" ca="1" si="2"/>
        <v/>
      </c>
      <c r="F29" s="739" t="str">
        <f t="shared" ca="1" si="3"/>
        <v/>
      </c>
      <c r="G29" s="761" t="str">
        <f t="shared" ca="1" si="4"/>
        <v/>
      </c>
      <c r="H29" s="760" t="str">
        <f t="shared" ca="1" si="4"/>
        <v/>
      </c>
      <c r="I29" s="762" t="str">
        <f t="shared" ca="1" si="4"/>
        <v/>
      </c>
      <c r="J29" s="739" t="str">
        <f t="shared" ca="1" si="5"/>
        <v/>
      </c>
      <c r="K29" s="761" t="str">
        <f t="shared" ca="1" si="6"/>
        <v/>
      </c>
      <c r="L29" s="760" t="str">
        <f t="shared" ca="1" si="6"/>
        <v/>
      </c>
      <c r="M29" s="741" t="str">
        <f t="shared" ca="1" si="7"/>
        <v/>
      </c>
      <c r="O29" s="1298" t="str">
        <f t="shared" ca="1" si="8"/>
        <v/>
      </c>
      <c r="P29" s="1299" t="str">
        <f t="shared" ca="1" si="9"/>
        <v/>
      </c>
      <c r="Q29" s="1300" t="str">
        <f t="shared" ca="1" si="10"/>
        <v/>
      </c>
      <c r="AV29" s="20"/>
    </row>
    <row r="30" spans="1:50" x14ac:dyDescent="0.2">
      <c r="A30" s="1004" t="str">
        <f t="shared" ca="1" si="0"/>
        <v/>
      </c>
      <c r="B30" s="1310" t="str">
        <f t="shared" ca="1" si="12"/>
        <v/>
      </c>
      <c r="C30" s="241" t="str">
        <f t="shared" ca="1" si="1"/>
        <v/>
      </c>
      <c r="D30" s="759" t="str">
        <f t="shared" ca="1" si="2"/>
        <v/>
      </c>
      <c r="E30" s="760" t="str">
        <f t="shared" ca="1" si="2"/>
        <v/>
      </c>
      <c r="F30" s="739" t="str">
        <f t="shared" ca="1" si="3"/>
        <v/>
      </c>
      <c r="G30" s="761" t="str">
        <f t="shared" ca="1" si="4"/>
        <v/>
      </c>
      <c r="H30" s="760" t="str">
        <f t="shared" ca="1" si="4"/>
        <v/>
      </c>
      <c r="I30" s="762" t="str">
        <f t="shared" ca="1" si="4"/>
        <v/>
      </c>
      <c r="J30" s="739" t="str">
        <f t="shared" ca="1" si="5"/>
        <v/>
      </c>
      <c r="K30" s="761" t="str">
        <f t="shared" ca="1" si="6"/>
        <v/>
      </c>
      <c r="L30" s="760" t="str">
        <f t="shared" ca="1" si="6"/>
        <v/>
      </c>
      <c r="M30" s="741" t="str">
        <f t="shared" ca="1" si="7"/>
        <v/>
      </c>
      <c r="O30" s="1298" t="str">
        <f t="shared" ca="1" si="8"/>
        <v/>
      </c>
      <c r="P30" s="1299" t="str">
        <f t="shared" ca="1" si="9"/>
        <v/>
      </c>
      <c r="Q30" s="1300" t="str">
        <f t="shared" ca="1" si="10"/>
        <v/>
      </c>
      <c r="AA30" s="20"/>
      <c r="AB30" s="719" t="s">
        <v>8232</v>
      </c>
      <c r="AC30" s="554"/>
      <c r="AD30" s="554"/>
      <c r="AE30" s="554"/>
      <c r="AF30" s="554"/>
      <c r="AG30" s="554"/>
      <c r="AH30" s="554"/>
      <c r="AI30" s="554"/>
      <c r="AJ30" s="554"/>
      <c r="AK30" s="554"/>
      <c r="AL30" s="554"/>
      <c r="AM30" s="554"/>
      <c r="AN30" s="554"/>
      <c r="AO30" s="554"/>
      <c r="AP30" s="554"/>
      <c r="AQ30" s="719" t="s">
        <v>8233</v>
      </c>
      <c r="AR30" s="554"/>
      <c r="AS30" s="554"/>
      <c r="AT30" s="554"/>
      <c r="AU30" s="719" t="s">
        <v>8234</v>
      </c>
      <c r="AV30" s="554"/>
      <c r="AW30" s="720"/>
      <c r="AX30" s="721"/>
    </row>
    <row r="31" spans="1:50" x14ac:dyDescent="0.2">
      <c r="A31" s="1004" t="str">
        <f t="shared" ca="1" si="0"/>
        <v/>
      </c>
      <c r="B31" s="1310" t="str">
        <f t="shared" ca="1" si="12"/>
        <v/>
      </c>
      <c r="C31" s="241" t="str">
        <f t="shared" ca="1" si="1"/>
        <v/>
      </c>
      <c r="D31" s="759" t="str">
        <f t="shared" ca="1" si="2"/>
        <v/>
      </c>
      <c r="E31" s="760" t="str">
        <f t="shared" ca="1" si="2"/>
        <v/>
      </c>
      <c r="F31" s="739" t="str">
        <f t="shared" ca="1" si="3"/>
        <v/>
      </c>
      <c r="G31" s="761" t="str">
        <f t="shared" ca="1" si="4"/>
        <v/>
      </c>
      <c r="H31" s="760" t="str">
        <f t="shared" ca="1" si="4"/>
        <v/>
      </c>
      <c r="I31" s="762" t="str">
        <f t="shared" ca="1" si="4"/>
        <v/>
      </c>
      <c r="J31" s="739" t="str">
        <f t="shared" ca="1" si="5"/>
        <v/>
      </c>
      <c r="K31" s="761" t="str">
        <f t="shared" ca="1" si="6"/>
        <v/>
      </c>
      <c r="L31" s="760" t="str">
        <f t="shared" ca="1" si="6"/>
        <v/>
      </c>
      <c r="M31" s="741" t="str">
        <f t="shared" ca="1" si="7"/>
        <v/>
      </c>
      <c r="O31" s="1298" t="str">
        <f t="shared" ca="1" si="8"/>
        <v/>
      </c>
      <c r="P31" s="1299" t="str">
        <f t="shared" ca="1" si="9"/>
        <v/>
      </c>
      <c r="Q31" s="1300" t="str">
        <f t="shared" ca="1" si="10"/>
        <v/>
      </c>
      <c r="AA31" s="20"/>
      <c r="AB31" s="20"/>
      <c r="AC31" s="1222" t="s">
        <v>8235</v>
      </c>
      <c r="AD31" s="32"/>
      <c r="AE31" s="32"/>
      <c r="AF31" s="32"/>
      <c r="AG31" s="32"/>
      <c r="AH31" s="32"/>
      <c r="AI31" s="1222" t="s">
        <v>8236</v>
      </c>
      <c r="AJ31" s="32"/>
      <c r="AK31" s="32"/>
      <c r="AL31" s="32"/>
      <c r="AM31" s="32"/>
      <c r="AN31" s="32"/>
      <c r="AO31" s="32"/>
      <c r="AP31" s="628"/>
      <c r="AQ31" s="1223" t="s">
        <v>8237</v>
      </c>
      <c r="AR31" s="701" t="s">
        <v>8238</v>
      </c>
      <c r="AS31" s="701" t="s">
        <v>8239</v>
      </c>
      <c r="AT31" s="1059" t="s">
        <v>8240</v>
      </c>
      <c r="AU31" s="1222" t="s">
        <v>8241</v>
      </c>
      <c r="AV31" s="382" t="s">
        <v>8242</v>
      </c>
      <c r="AW31" s="701" t="s">
        <v>8239</v>
      </c>
      <c r="AX31" s="1059" t="s">
        <v>8240</v>
      </c>
    </row>
    <row r="32" spans="1:50" x14ac:dyDescent="0.2">
      <c r="A32" s="1005" t="str">
        <f t="shared" ca="1" si="0"/>
        <v/>
      </c>
      <c r="B32" s="1311" t="str">
        <f t="shared" ca="1" si="12"/>
        <v/>
      </c>
      <c r="C32" s="785" t="str">
        <f t="shared" ca="1" si="1"/>
        <v/>
      </c>
      <c r="D32" s="763" t="str">
        <f t="shared" ca="1" si="2"/>
        <v/>
      </c>
      <c r="E32" s="764" t="str">
        <f t="shared" ca="1" si="2"/>
        <v/>
      </c>
      <c r="F32" s="740" t="str">
        <f t="shared" ca="1" si="3"/>
        <v/>
      </c>
      <c r="G32" s="765" t="str">
        <f t="shared" ca="1" si="4"/>
        <v/>
      </c>
      <c r="H32" s="764" t="str">
        <f t="shared" ca="1" si="4"/>
        <v/>
      </c>
      <c r="I32" s="766" t="str">
        <f t="shared" ca="1" si="4"/>
        <v/>
      </c>
      <c r="J32" s="740" t="str">
        <f t="shared" ca="1" si="5"/>
        <v/>
      </c>
      <c r="K32" s="765" t="str">
        <f t="shared" ca="1" si="6"/>
        <v/>
      </c>
      <c r="L32" s="764" t="str">
        <f t="shared" ca="1" si="6"/>
        <v/>
      </c>
      <c r="M32" s="742" t="str">
        <f t="shared" ca="1" si="7"/>
        <v/>
      </c>
      <c r="O32" s="1301" t="str">
        <f t="shared" ca="1" si="8"/>
        <v/>
      </c>
      <c r="P32" s="1302" t="str">
        <f t="shared" ca="1" si="9"/>
        <v/>
      </c>
      <c r="Q32" s="1303" t="str">
        <f t="shared" ca="1" si="10"/>
        <v/>
      </c>
      <c r="AA32" s="20">
        <v>1</v>
      </c>
      <c r="AB32" s="709"/>
      <c r="AC32" s="709" t="str">
        <f t="array" ref="AC32:AH32">TRANSPOSE('Disaggregated Balance'!B15:B20)</f>
        <v>MAINELEC</v>
      </c>
      <c r="AD32" s="386" t="str">
        <v>AUTOELEC</v>
      </c>
      <c r="AE32" s="386" t="str">
        <v>MAINCHP</v>
      </c>
      <c r="AF32" s="386" t="str">
        <v>AUTOCHP</v>
      </c>
      <c r="AG32" s="386" t="str">
        <v>MAINHEAT</v>
      </c>
      <c r="AH32" s="588" t="str">
        <v>AUTOHEAT</v>
      </c>
      <c r="AI32" s="709" t="str">
        <f t="array" ref="AI32:AP32">TRANSPOSE('Disaggregated Balance'!B89:B96)</f>
        <v>ELMAINE</v>
      </c>
      <c r="AJ32" s="386" t="str">
        <v>ELAUTOE</v>
      </c>
      <c r="AK32" s="386" t="str">
        <v>ELMAINC</v>
      </c>
      <c r="AL32" s="386" t="str">
        <v>ELAUTOC</v>
      </c>
      <c r="AM32" s="386" t="str">
        <v>HEMAINC</v>
      </c>
      <c r="AN32" s="386" t="str">
        <v>HEAUTOC</v>
      </c>
      <c r="AO32" s="386" t="str">
        <v>HEMAINH</v>
      </c>
      <c r="AP32" s="588" t="str">
        <v>HEAUTOH</v>
      </c>
      <c r="AQ32" s="20"/>
      <c r="AR32" s="20"/>
      <c r="AS32" s="20"/>
      <c r="AT32" s="715">
        <f ca="1">MAX(AT33:AT84)</f>
        <v>2</v>
      </c>
      <c r="AU32" s="20" t="str">
        <f>IF(AQ32=AR32,"",TRUE)</f>
        <v/>
      </c>
      <c r="AV32" s="20" t="str">
        <f>IF(AR32=AS32,"",TRUE)</f>
        <v/>
      </c>
      <c r="AW32" s="20"/>
      <c r="AX32" s="715">
        <f ca="1">MAX(AX33:AX84)</f>
        <v>0</v>
      </c>
    </row>
    <row r="33" spans="1:52" ht="24" customHeight="1" x14ac:dyDescent="0.2">
      <c r="A33" s="259"/>
      <c r="B33" s="241"/>
      <c r="C33" s="241"/>
      <c r="D33" s="592"/>
      <c r="E33" s="592"/>
      <c r="F33" s="592"/>
      <c r="G33" s="592"/>
      <c r="H33" s="592"/>
      <c r="I33" s="592"/>
      <c r="J33" s="592"/>
      <c r="K33" s="592"/>
      <c r="L33" s="592"/>
      <c r="AA33" s="706">
        <v>2</v>
      </c>
      <c r="AB33" s="589" t="str">
        <f t="array" ref="AB33:AB84">TRANSPOSE('Disaggregated Balance'!E3:BD3)</f>
        <v>ANTCOAL</v>
      </c>
      <c r="AC33" s="717">
        <f t="array" ref="AC33:AH84" ca="1">TRANSPOSE('Disaggregated Balance'!E15:BD20)</f>
        <v>0</v>
      </c>
      <c r="AD33" s="262">
        <f ca="1"/>
        <v>0</v>
      </c>
      <c r="AE33" s="262">
        <f ca="1"/>
        <v>0</v>
      </c>
      <c r="AF33" s="262">
        <f ca="1"/>
        <v>0</v>
      </c>
      <c r="AG33" s="262">
        <f ca="1"/>
        <v>0</v>
      </c>
      <c r="AH33" s="710">
        <f ca="1"/>
        <v>0</v>
      </c>
      <c r="AI33" s="589">
        <f t="array" ref="AI33:AP84">TRANSPOSE('Disaggregated Balance'!E89:BD96)</f>
        <v>0</v>
      </c>
      <c r="AJ33" s="20">
        <v>0</v>
      </c>
      <c r="AK33" s="20">
        <v>0</v>
      </c>
      <c r="AL33" s="20">
        <v>0</v>
      </c>
      <c r="AM33" s="20">
        <v>0</v>
      </c>
      <c r="AN33" s="20">
        <v>0</v>
      </c>
      <c r="AO33" s="20">
        <v>0</v>
      </c>
      <c r="AP33" s="590">
        <v>0</v>
      </c>
      <c r="AQ33" s="20" t="b">
        <f t="shared" ref="AQ33:AQ84" ca="1" si="13">IF(SUM(AC33:AH33)&lt;0,TRUE,FALSE)</f>
        <v>0</v>
      </c>
      <c r="AR33" s="20" t="b">
        <f t="shared" ref="AR33:AR84" si="14">IF(SUM(AI33:AP33)&gt;0,TRUE,FALSE)</f>
        <v>0</v>
      </c>
      <c r="AS33" s="20">
        <f ca="1">IF(AND(AQ33=TRUE,AR33=TRUE),1,0)</f>
        <v>0</v>
      </c>
      <c r="AT33" s="590">
        <f ca="1">AS33</f>
        <v>0</v>
      </c>
      <c r="AU33" s="20" t="b">
        <f t="shared" ref="AU33:AU84" ca="1" si="15">IF(AQ33=AR33,FALSE,TRUE)</f>
        <v>0</v>
      </c>
      <c r="AV33" s="714" t="str">
        <f t="shared" ref="AV33:AV65" ca="1" si="16">IF(AU33=TRUE,IF((SUM(AI33:AL33)*GWh_to_ktoe+SUM(AM33:AP33)*TJ_to_ktoe)/50%&lt;1,TRUE,FALSE),"")</f>
        <v/>
      </c>
      <c r="AW33" s="20">
        <f ca="1">IF(AV33=FALSE,1,0)</f>
        <v>0</v>
      </c>
      <c r="AX33" s="590">
        <f ca="1">AW33</f>
        <v>0</v>
      </c>
    </row>
    <row r="34" spans="1:52" s="20" customFormat="1" ht="7.5" customHeight="1" x14ac:dyDescent="0.2">
      <c r="A34" s="259"/>
      <c r="B34" s="241"/>
      <c r="C34" s="241"/>
      <c r="O34"/>
      <c r="P34"/>
      <c r="Q34"/>
      <c r="R34"/>
      <c r="S34"/>
      <c r="T34"/>
      <c r="U34"/>
      <c r="V34"/>
      <c r="W34"/>
      <c r="X34"/>
      <c r="Y34"/>
      <c r="Z34"/>
      <c r="AA34" s="20">
        <v>3</v>
      </c>
      <c r="AB34" s="589" t="str">
        <v>COKCOAL</v>
      </c>
      <c r="AC34" s="717">
        <f ca="1"/>
        <v>0</v>
      </c>
      <c r="AD34" s="262">
        <f ca="1"/>
        <v>0</v>
      </c>
      <c r="AE34" s="262">
        <f ca="1"/>
        <v>0</v>
      </c>
      <c r="AF34" s="262">
        <f ca="1"/>
        <v>0</v>
      </c>
      <c r="AG34" s="262">
        <f ca="1"/>
        <v>0</v>
      </c>
      <c r="AH34" s="710">
        <f ca="1"/>
        <v>0</v>
      </c>
      <c r="AI34" s="589">
        <v>0</v>
      </c>
      <c r="AJ34" s="20">
        <v>0</v>
      </c>
      <c r="AK34" s="20">
        <v>0</v>
      </c>
      <c r="AL34" s="20">
        <v>0</v>
      </c>
      <c r="AM34" s="20">
        <v>0</v>
      </c>
      <c r="AN34" s="20">
        <v>0</v>
      </c>
      <c r="AO34" s="20">
        <v>0</v>
      </c>
      <c r="AP34" s="590">
        <v>0</v>
      </c>
      <c r="AQ34" s="20" t="b">
        <f t="shared" ca="1" si="13"/>
        <v>0</v>
      </c>
      <c r="AR34" s="20" t="b">
        <f t="shared" si="14"/>
        <v>0</v>
      </c>
      <c r="AS34" s="20">
        <f t="shared" ref="AS34:AS84" ca="1" si="17">IF(AND(AQ34=TRUE,AR34=TRUE),1,0)</f>
        <v>0</v>
      </c>
      <c r="AT34" s="590">
        <f ca="1">AS34+AT33</f>
        <v>0</v>
      </c>
      <c r="AU34" s="20" t="b">
        <f t="shared" ca="1" si="15"/>
        <v>0</v>
      </c>
      <c r="AV34" s="714" t="str">
        <f t="shared" ca="1" si="16"/>
        <v/>
      </c>
      <c r="AW34" s="20">
        <f t="shared" ref="AW34:AW84" ca="1" si="18">IF(AV34=FALSE,1,0)</f>
        <v>0</v>
      </c>
      <c r="AX34" s="590">
        <f ca="1">AW34+AX33</f>
        <v>0</v>
      </c>
    </row>
    <row r="35" spans="1:52" s="20" customFormat="1" ht="72" customHeight="1" x14ac:dyDescent="0.2">
      <c r="A35" s="2416" t="str">
        <f>HLOOKUP(LangChoice,$AB$2:$AD$20,AA6+1,FALSE)</f>
        <v>Autoproducers (electricity): These are units that produce electricity but for whom the production is not their principal activity.
Autoproducers (Heat): These are units that produce heat for sale but for whom the production is not their principal activity. Deliveries of fuels for heat generated by a unit for its own purposes are classified as final consumption, and not as transformation inputs.</v>
      </c>
      <c r="B35" s="2416"/>
      <c r="C35" s="2416"/>
      <c r="D35" s="2416"/>
      <c r="E35" s="2416"/>
      <c r="F35" s="2416"/>
      <c r="G35" s="2416"/>
      <c r="H35" s="2416"/>
      <c r="I35" s="2416"/>
      <c r="J35" s="2416"/>
      <c r="K35" s="2416"/>
      <c r="L35" s="2416"/>
      <c r="M35" s="2416"/>
      <c r="O35"/>
      <c r="P35"/>
      <c r="Q35"/>
      <c r="R35"/>
      <c r="S35"/>
      <c r="T35"/>
      <c r="U35"/>
      <c r="V35"/>
      <c r="W35"/>
      <c r="X35"/>
      <c r="Y35"/>
      <c r="Z35"/>
      <c r="AA35" s="706">
        <v>4</v>
      </c>
      <c r="AB35" s="589" t="str">
        <v>BITCOAL</v>
      </c>
      <c r="AC35" s="717">
        <f ca="1"/>
        <v>-2352560.7486149999</v>
      </c>
      <c r="AD35" s="262">
        <f ca="1"/>
        <v>-6191.2896359999995</v>
      </c>
      <c r="AE35" s="262">
        <f ca="1"/>
        <v>0</v>
      </c>
      <c r="AF35" s="262">
        <f ca="1"/>
        <v>0</v>
      </c>
      <c r="AG35" s="262">
        <f ca="1"/>
        <v>0</v>
      </c>
      <c r="AH35" s="710">
        <f ca="1"/>
        <v>0</v>
      </c>
      <c r="AI35" s="589">
        <v>194357</v>
      </c>
      <c r="AJ35" s="20">
        <v>5984.94</v>
      </c>
      <c r="AK35" s="20">
        <v>0</v>
      </c>
      <c r="AL35" s="20">
        <v>0</v>
      </c>
      <c r="AM35" s="20">
        <v>0</v>
      </c>
      <c r="AN35" s="20">
        <v>0</v>
      </c>
      <c r="AO35" s="20">
        <v>0</v>
      </c>
      <c r="AP35" s="590">
        <v>0</v>
      </c>
      <c r="AQ35" s="20" t="b">
        <f t="shared" ca="1" si="13"/>
        <v>1</v>
      </c>
      <c r="AR35" s="20" t="b">
        <f t="shared" si="14"/>
        <v>1</v>
      </c>
      <c r="AS35" s="20">
        <f t="shared" ca="1" si="17"/>
        <v>1</v>
      </c>
      <c r="AT35" s="590">
        <f t="shared" ref="AT35:AT84" ca="1" si="19">AS35+AT34</f>
        <v>1</v>
      </c>
      <c r="AU35" s="20" t="b">
        <f t="shared" ca="1" si="15"/>
        <v>0</v>
      </c>
      <c r="AV35" s="714" t="str">
        <f t="shared" ca="1" si="16"/>
        <v/>
      </c>
      <c r="AW35" s="20">
        <f t="shared" ca="1" si="18"/>
        <v>0</v>
      </c>
      <c r="AX35" s="590">
        <f t="shared" ref="AX35:AX84" ca="1" si="20">AW35+AX34</f>
        <v>0</v>
      </c>
    </row>
    <row r="36" spans="1:52" s="20" customFormat="1" ht="9.9499999999999993" customHeight="1" x14ac:dyDescent="0.2">
      <c r="A36" s="259"/>
      <c r="O36"/>
      <c r="P36"/>
      <c r="Q36"/>
      <c r="R36"/>
      <c r="S36"/>
      <c r="T36"/>
      <c r="U36"/>
      <c r="V36"/>
      <c r="W36"/>
      <c r="X36"/>
      <c r="Y36"/>
      <c r="Z36"/>
      <c r="AA36" s="20">
        <v>5</v>
      </c>
      <c r="AB36" s="589" t="str">
        <v>SUBCOAL</v>
      </c>
      <c r="AC36" s="717">
        <f ca="1"/>
        <v>0</v>
      </c>
      <c r="AD36" s="262">
        <f ca="1"/>
        <v>0</v>
      </c>
      <c r="AE36" s="262">
        <f ca="1"/>
        <v>0</v>
      </c>
      <c r="AF36" s="262">
        <f ca="1"/>
        <v>0</v>
      </c>
      <c r="AG36" s="262">
        <f ca="1"/>
        <v>0</v>
      </c>
      <c r="AH36" s="710">
        <f ca="1"/>
        <v>0</v>
      </c>
      <c r="AI36" s="589">
        <v>0</v>
      </c>
      <c r="AJ36" s="20">
        <v>0</v>
      </c>
      <c r="AK36" s="20">
        <v>0</v>
      </c>
      <c r="AL36" s="20">
        <v>0</v>
      </c>
      <c r="AM36" s="20">
        <v>0</v>
      </c>
      <c r="AN36" s="20">
        <v>0</v>
      </c>
      <c r="AO36" s="20">
        <v>0</v>
      </c>
      <c r="AP36" s="590">
        <v>0</v>
      </c>
      <c r="AQ36" s="20" t="b">
        <f t="shared" ca="1" si="13"/>
        <v>0</v>
      </c>
      <c r="AR36" s="20" t="b">
        <f t="shared" si="14"/>
        <v>0</v>
      </c>
      <c r="AS36" s="20">
        <f t="shared" ca="1" si="17"/>
        <v>0</v>
      </c>
      <c r="AT36" s="590">
        <f t="shared" ca="1" si="19"/>
        <v>1</v>
      </c>
      <c r="AU36" s="20" t="b">
        <f t="shared" ca="1" si="15"/>
        <v>0</v>
      </c>
      <c r="AV36" s="714" t="str">
        <f t="shared" ca="1" si="16"/>
        <v/>
      </c>
      <c r="AW36" s="20">
        <f t="shared" ca="1" si="18"/>
        <v>0</v>
      </c>
      <c r="AX36" s="590">
        <f t="shared" ca="1" si="20"/>
        <v>0</v>
      </c>
      <c r="AY36" s="259"/>
      <c r="AZ36" s="259"/>
    </row>
    <row r="37" spans="1:52" s="20" customFormat="1" ht="12.75" customHeight="1" x14ac:dyDescent="0.2">
      <c r="A37" s="2443" t="str">
        <f>$A$4&amp;" "&amp;$B$4</f>
        <v>8) Autoproducers</v>
      </c>
      <c r="B37" s="2444"/>
      <c r="C37" s="743"/>
      <c r="D37" s="2449" t="str">
        <f>D9</f>
        <v>I: Electricity-only plants</v>
      </c>
      <c r="E37" s="2450"/>
      <c r="F37" s="2451"/>
      <c r="G37" s="2452" t="str">
        <f>G9</f>
        <v>II: CHP plants</v>
      </c>
      <c r="H37" s="2452"/>
      <c r="I37" s="2452"/>
      <c r="J37" s="2453"/>
      <c r="K37" s="2452" t="str">
        <f>K9</f>
        <v>III: Heat plants</v>
      </c>
      <c r="L37" s="2452"/>
      <c r="M37" s="2454"/>
      <c r="O37" s="2449" t="str">
        <f>O9</f>
        <v>Check:</v>
      </c>
      <c r="P37" s="2450"/>
      <c r="Q37" s="2455"/>
      <c r="R37"/>
      <c r="S37"/>
      <c r="T37"/>
      <c r="U37"/>
      <c r="V37"/>
      <c r="W37"/>
      <c r="X37"/>
      <c r="Y37"/>
      <c r="Z37"/>
      <c r="AA37" s="706">
        <v>6</v>
      </c>
      <c r="AB37" s="589" t="str">
        <v>LIGNITE</v>
      </c>
      <c r="AC37" s="717">
        <f ca="1"/>
        <v>0</v>
      </c>
      <c r="AD37" s="262">
        <f ca="1"/>
        <v>0</v>
      </c>
      <c r="AE37" s="262">
        <f ca="1"/>
        <v>0</v>
      </c>
      <c r="AF37" s="262">
        <f ca="1"/>
        <v>0</v>
      </c>
      <c r="AG37" s="262">
        <f ca="1"/>
        <v>0</v>
      </c>
      <c r="AH37" s="710">
        <f ca="1"/>
        <v>0</v>
      </c>
      <c r="AI37" s="589">
        <v>0</v>
      </c>
      <c r="AJ37" s="20">
        <v>0</v>
      </c>
      <c r="AK37" s="20">
        <v>0</v>
      </c>
      <c r="AL37" s="20">
        <v>0</v>
      </c>
      <c r="AM37" s="20">
        <v>0</v>
      </c>
      <c r="AN37" s="20">
        <v>0</v>
      </c>
      <c r="AO37" s="20">
        <v>0</v>
      </c>
      <c r="AP37" s="590">
        <v>0</v>
      </c>
      <c r="AQ37" s="20" t="b">
        <f t="shared" ca="1" si="13"/>
        <v>0</v>
      </c>
      <c r="AR37" s="20" t="b">
        <f t="shared" si="14"/>
        <v>0</v>
      </c>
      <c r="AS37" s="20">
        <f t="shared" ca="1" si="17"/>
        <v>0</v>
      </c>
      <c r="AT37" s="590">
        <f t="shared" ca="1" si="19"/>
        <v>1</v>
      </c>
      <c r="AU37" s="20" t="b">
        <f t="shared" ca="1" si="15"/>
        <v>0</v>
      </c>
      <c r="AV37" s="714" t="str">
        <f t="shared" ca="1" si="16"/>
        <v/>
      </c>
      <c r="AW37" s="20">
        <f t="shared" ca="1" si="18"/>
        <v>0</v>
      </c>
      <c r="AX37" s="590">
        <f t="shared" ca="1" si="20"/>
        <v>0</v>
      </c>
    </row>
    <row r="38" spans="1:52" s="20" customFormat="1" ht="12.75" customHeight="1" x14ac:dyDescent="0.2">
      <c r="A38" s="2445"/>
      <c r="B38" s="2446"/>
      <c r="C38"/>
      <c r="D38" s="1307" t="str">
        <f>D10</f>
        <v>Input(s)</v>
      </c>
      <c r="E38" s="1308" t="str">
        <f>E10</f>
        <v>Output(s)</v>
      </c>
      <c r="F38" s="1306" t="str">
        <f>F10</f>
        <v>Eff.</v>
      </c>
      <c r="G38" s="1309" t="str">
        <f>D38</f>
        <v>Input(s)</v>
      </c>
      <c r="H38" s="2441" t="str">
        <f>E38</f>
        <v>Output(s)</v>
      </c>
      <c r="I38" s="2442"/>
      <c r="J38" s="1304" t="str">
        <f>F38</f>
        <v>Eff.</v>
      </c>
      <c r="K38" s="1309" t="str">
        <f>D38</f>
        <v>Input(s)</v>
      </c>
      <c r="L38" s="1308" t="str">
        <f>E38</f>
        <v>Output(s)</v>
      </c>
      <c r="M38" s="1305" t="str">
        <f>F38</f>
        <v>Eff.</v>
      </c>
      <c r="O38" s="773" t="s">
        <v>7247</v>
      </c>
      <c r="P38" s="771" t="s">
        <v>8221</v>
      </c>
      <c r="Q38" s="774" t="s">
        <v>8222</v>
      </c>
      <c r="R38"/>
      <c r="S38"/>
      <c r="T38"/>
      <c r="U38"/>
      <c r="V38"/>
      <c r="W38"/>
      <c r="X38"/>
      <c r="Y38"/>
      <c r="Z38"/>
      <c r="AA38" s="20">
        <v>7</v>
      </c>
      <c r="AB38" s="589" t="str">
        <v>PATFUEL</v>
      </c>
      <c r="AC38" s="717">
        <f ca="1"/>
        <v>0</v>
      </c>
      <c r="AD38" s="262">
        <f ca="1"/>
        <v>0</v>
      </c>
      <c r="AE38" s="262">
        <f ca="1"/>
        <v>0</v>
      </c>
      <c r="AF38" s="262">
        <f ca="1"/>
        <v>0</v>
      </c>
      <c r="AG38" s="262">
        <f ca="1"/>
        <v>0</v>
      </c>
      <c r="AH38" s="710">
        <f ca="1"/>
        <v>0</v>
      </c>
      <c r="AI38" s="589">
        <v>0</v>
      </c>
      <c r="AJ38" s="20">
        <v>0</v>
      </c>
      <c r="AK38" s="20">
        <v>0</v>
      </c>
      <c r="AL38" s="20">
        <v>0</v>
      </c>
      <c r="AM38" s="20">
        <v>0</v>
      </c>
      <c r="AN38" s="20">
        <v>0</v>
      </c>
      <c r="AO38" s="20">
        <v>0</v>
      </c>
      <c r="AP38" s="590">
        <v>0</v>
      </c>
      <c r="AQ38" s="20" t="b">
        <f t="shared" ca="1" si="13"/>
        <v>0</v>
      </c>
      <c r="AR38" s="20" t="b">
        <f t="shared" si="14"/>
        <v>0</v>
      </c>
      <c r="AS38" s="20">
        <f t="shared" ca="1" si="17"/>
        <v>0</v>
      </c>
      <c r="AT38" s="590">
        <f t="shared" ca="1" si="19"/>
        <v>1</v>
      </c>
      <c r="AU38" s="20" t="b">
        <f ca="1">IF(AQ38=AR38,FALSE,TRUE)</f>
        <v>0</v>
      </c>
      <c r="AV38" s="714" t="str">
        <f t="shared" ca="1" si="16"/>
        <v/>
      </c>
      <c r="AW38" s="20">
        <f t="shared" ca="1" si="18"/>
        <v>0</v>
      </c>
      <c r="AX38" s="590">
        <f t="shared" ca="1" si="20"/>
        <v>0</v>
      </c>
    </row>
    <row r="39" spans="1:52" s="20" customFormat="1" ht="12.75" customHeight="1" x14ac:dyDescent="0.2">
      <c r="A39" s="2447"/>
      <c r="B39" s="2448"/>
      <c r="C39"/>
      <c r="D39" s="751" t="str">
        <f>D11</f>
        <v>ktoe</v>
      </c>
      <c r="E39" s="752" t="str">
        <f>E11</f>
        <v>GWh</v>
      </c>
      <c r="F39" s="746"/>
      <c r="G39" s="747" t="str">
        <f>D39</f>
        <v>ktoe</v>
      </c>
      <c r="H39" s="770" t="str">
        <f>E39</f>
        <v>GWh</v>
      </c>
      <c r="I39" s="750" t="str">
        <f>I11</f>
        <v>TJ</v>
      </c>
      <c r="J39" s="746"/>
      <c r="K39" s="747" t="str">
        <f>D39</f>
        <v>ktoe</v>
      </c>
      <c r="L39" s="748" t="str">
        <f>I39</f>
        <v>TJ</v>
      </c>
      <c r="M39" s="749"/>
      <c r="O39" s="1160" t="str">
        <f>O11</f>
        <v>30-50%</v>
      </c>
      <c r="P39" s="1161" t="str">
        <f t="shared" ref="P39:Q39" si="21">P11</f>
        <v>60-90%</v>
      </c>
      <c r="Q39" s="1162" t="str">
        <f t="shared" si="21"/>
        <v>80-95%</v>
      </c>
      <c r="R39"/>
      <c r="S39"/>
      <c r="T39"/>
      <c r="U39"/>
      <c r="V39"/>
      <c r="W39"/>
      <c r="X39"/>
      <c r="Y39"/>
      <c r="Z39"/>
      <c r="AA39" s="706">
        <v>8</v>
      </c>
      <c r="AB39" s="589" t="str">
        <v>OVENCOKE</v>
      </c>
      <c r="AC39" s="717">
        <f ca="1"/>
        <v>0</v>
      </c>
      <c r="AD39" s="262">
        <f ca="1"/>
        <v>0</v>
      </c>
      <c r="AE39" s="262">
        <f ca="1"/>
        <v>0</v>
      </c>
      <c r="AF39" s="262">
        <f ca="1"/>
        <v>0</v>
      </c>
      <c r="AG39" s="262">
        <f ca="1"/>
        <v>0</v>
      </c>
      <c r="AH39" s="710">
        <f ca="1"/>
        <v>0</v>
      </c>
      <c r="AI39" s="589">
        <v>0</v>
      </c>
      <c r="AJ39" s="20">
        <v>0</v>
      </c>
      <c r="AK39" s="20">
        <v>0</v>
      </c>
      <c r="AL39" s="20">
        <v>0</v>
      </c>
      <c r="AM39" s="20">
        <v>0</v>
      </c>
      <c r="AN39" s="20">
        <v>0</v>
      </c>
      <c r="AO39" s="20">
        <v>0</v>
      </c>
      <c r="AP39" s="590">
        <v>0</v>
      </c>
      <c r="AQ39" s="20" t="b">
        <f t="shared" ca="1" si="13"/>
        <v>0</v>
      </c>
      <c r="AR39" s="20" t="b">
        <f t="shared" si="14"/>
        <v>0</v>
      </c>
      <c r="AS39" s="20">
        <f t="shared" ca="1" si="17"/>
        <v>0</v>
      </c>
      <c r="AT39" s="590">
        <f t="shared" ca="1" si="19"/>
        <v>1</v>
      </c>
      <c r="AU39" s="20" t="b">
        <f t="shared" ca="1" si="15"/>
        <v>0</v>
      </c>
      <c r="AV39" s="714" t="str">
        <f t="shared" ca="1" si="16"/>
        <v/>
      </c>
      <c r="AW39" s="20">
        <f t="shared" ca="1" si="18"/>
        <v>0</v>
      </c>
      <c r="AX39" s="590">
        <f t="shared" ca="1" si="20"/>
        <v>0</v>
      </c>
    </row>
    <row r="40" spans="1:52" s="20" customFormat="1" hidden="1" x14ac:dyDescent="0.2">
      <c r="A40" s="1003" t="s">
        <v>184</v>
      </c>
      <c r="B40" s="767"/>
      <c r="C40" s="745"/>
      <c r="D40" s="753" t="str">
        <f>AD32</f>
        <v>AUTOELEC</v>
      </c>
      <c r="E40" s="754" t="str">
        <f>AJ32</f>
        <v>ELAUTOE</v>
      </c>
      <c r="F40" s="755"/>
      <c r="G40" s="756" t="str">
        <f>AF32</f>
        <v>AUTOCHP</v>
      </c>
      <c r="H40" s="754" t="str">
        <f>AL32</f>
        <v>ELAUTOC</v>
      </c>
      <c r="I40" s="757" t="str">
        <f>AN32</f>
        <v>HEAUTOC</v>
      </c>
      <c r="J40" s="755"/>
      <c r="K40" s="756" t="str">
        <f>AH32</f>
        <v>AUTOHEAT</v>
      </c>
      <c r="L40" s="754" t="str">
        <f>AP32</f>
        <v>HEAUTOH</v>
      </c>
      <c r="M40" s="758"/>
      <c r="O40" s="775"/>
      <c r="P40" s="772"/>
      <c r="Q40" s="776"/>
      <c r="R40"/>
      <c r="S40"/>
      <c r="T40"/>
      <c r="U40"/>
      <c r="V40"/>
      <c r="W40"/>
      <c r="X40"/>
      <c r="Y40"/>
      <c r="Z40"/>
      <c r="AA40" s="20">
        <v>9</v>
      </c>
      <c r="AB40" s="589" t="str">
        <v>GASCOKE</v>
      </c>
      <c r="AC40" s="717">
        <f ca="1"/>
        <v>0</v>
      </c>
      <c r="AD40" s="262">
        <f ca="1"/>
        <v>0</v>
      </c>
      <c r="AE40" s="262">
        <f ca="1"/>
        <v>0</v>
      </c>
      <c r="AF40" s="262">
        <f ca="1"/>
        <v>0</v>
      </c>
      <c r="AG40" s="262">
        <f ca="1"/>
        <v>0</v>
      </c>
      <c r="AH40" s="710">
        <f ca="1"/>
        <v>0</v>
      </c>
      <c r="AI40" s="589">
        <v>0</v>
      </c>
      <c r="AJ40" s="20">
        <v>0</v>
      </c>
      <c r="AK40" s="20">
        <v>0</v>
      </c>
      <c r="AL40" s="20">
        <v>0</v>
      </c>
      <c r="AM40" s="20">
        <v>0</v>
      </c>
      <c r="AN40" s="20">
        <v>0</v>
      </c>
      <c r="AO40" s="20">
        <v>0</v>
      </c>
      <c r="AP40" s="590">
        <v>0</v>
      </c>
      <c r="AQ40" s="20" t="b">
        <f t="shared" ca="1" si="13"/>
        <v>0</v>
      </c>
      <c r="AR40" s="20" t="b">
        <f t="shared" si="14"/>
        <v>0</v>
      </c>
      <c r="AS40" s="20">
        <f t="shared" ca="1" si="17"/>
        <v>0</v>
      </c>
      <c r="AT40" s="590">
        <f t="shared" ca="1" si="19"/>
        <v>1</v>
      </c>
      <c r="AU40" s="20" t="b">
        <f t="shared" ca="1" si="15"/>
        <v>0</v>
      </c>
      <c r="AV40" s="714" t="str">
        <f t="shared" ca="1" si="16"/>
        <v/>
      </c>
      <c r="AW40" s="20">
        <f t="shared" ca="1" si="18"/>
        <v>0</v>
      </c>
      <c r="AX40" s="590">
        <f t="shared" ca="1" si="20"/>
        <v>0</v>
      </c>
    </row>
    <row r="41" spans="1:52" s="20" customFormat="1" x14ac:dyDescent="0.2">
      <c r="A41" s="1004">
        <f t="shared" ref="A41:B60" ca="1" si="22">A13</f>
        <v>1</v>
      </c>
      <c r="B41" s="1310" t="str">
        <f t="shared" ca="1" si="22"/>
        <v>Other bituminous coal</v>
      </c>
      <c r="C41" s="241" t="str">
        <f t="shared" ref="C41:C60" ca="1" si="23">IF(A41="","",C13)</f>
        <v>BITCOAL</v>
      </c>
      <c r="D41" s="759">
        <f t="shared" ref="D41:E60" ca="1" si="24">IF($C41="","",VLOOKUP($C41,$AB$33:$AP$84,MATCH(D$40,$AB$32:$AP$32,0),FALSE))</f>
        <v>-6191.2896359999995</v>
      </c>
      <c r="E41" s="760">
        <f t="shared" ca="1" si="24"/>
        <v>5984.94</v>
      </c>
      <c r="F41" s="739">
        <f t="shared" ref="F41:F60" ca="1" si="25">IFERROR(IF(D41=0,"..",E41*GWh_to_ktoe/-D41),"")</f>
        <v>8.3118742629962064E-2</v>
      </c>
      <c r="G41" s="761">
        <f t="shared" ref="G41:I60" ca="1" si="26">IF($C41="","",VLOOKUP($C41,$AB$33:$AP$84,MATCH(G$40,$AB$32:$AP$32,0),FALSE))</f>
        <v>0</v>
      </c>
      <c r="H41" s="760">
        <f t="shared" ca="1" si="26"/>
        <v>0</v>
      </c>
      <c r="I41" s="762">
        <f t="shared" ca="1" si="26"/>
        <v>0</v>
      </c>
      <c r="J41" s="739" t="str">
        <f t="shared" ref="J41:J60" ca="1" si="27">IFERROR(IF(G41=0,"..",(H41*GWh_to_ktoe+I41*TJ_to_ktoe)/-G41),"")</f>
        <v>..</v>
      </c>
      <c r="K41" s="761">
        <f t="shared" ref="K41:L60" ca="1" si="28">IF($C41="","",VLOOKUP($C41,$AB$33:$AP$84,MATCH(K$40,$AB$32:$AP$32,0),FALSE))</f>
        <v>0</v>
      </c>
      <c r="L41" s="760">
        <f t="shared" ca="1" si="28"/>
        <v>0</v>
      </c>
      <c r="M41" s="741" t="str">
        <f t="shared" ref="M41:M60" ca="1" si="29">IFERROR(IF(K41=0,"..",(L41*TJ_to_ktoe)/-K41),"")</f>
        <v>..</v>
      </c>
      <c r="O41" s="1298" t="str">
        <f t="shared" ref="O41:O60" ca="1" si="30">IF(ISTEXT($F41)=FALSE,IF($F41&lt;AC$27,$AB$27,IF($F41&gt;AC$28,$AB$28,"")),"")</f>
        <v>Low</v>
      </c>
      <c r="P41" s="1299" t="str">
        <f t="shared" ref="P41:P60" ca="1" si="31">IF(ISTEXT($J41)=FALSE,IF($J41&lt;AD$27,$AB$27,IF($J41&gt;AD$28,$AB$28,"")),"")</f>
        <v/>
      </c>
      <c r="Q41" s="1300" t="str">
        <f t="shared" ref="Q41:Q60" ca="1" si="32">IF(ISTEXT($M41)=FALSE,IF($M41&lt;AE$27,$AB$27,IF($M41&gt;AE$28,$AB$28,"")),"")</f>
        <v/>
      </c>
      <c r="R41"/>
      <c r="S41"/>
      <c r="T41"/>
      <c r="U41"/>
      <c r="V41"/>
      <c r="W41"/>
      <c r="X41"/>
      <c r="Y41"/>
      <c r="Z41"/>
      <c r="AA41" s="706">
        <v>10</v>
      </c>
      <c r="AB41" s="589" t="str">
        <v>COALTAR</v>
      </c>
      <c r="AC41" s="717">
        <f ca="1"/>
        <v>0</v>
      </c>
      <c r="AD41" s="262">
        <f ca="1"/>
        <v>0</v>
      </c>
      <c r="AE41" s="262">
        <f ca="1"/>
        <v>0</v>
      </c>
      <c r="AF41" s="262">
        <f ca="1"/>
        <v>0</v>
      </c>
      <c r="AG41" s="262">
        <f ca="1"/>
        <v>0</v>
      </c>
      <c r="AH41" s="710">
        <f ca="1"/>
        <v>0</v>
      </c>
      <c r="AI41" s="589">
        <v>0</v>
      </c>
      <c r="AJ41" s="20">
        <v>0</v>
      </c>
      <c r="AK41" s="20">
        <v>0</v>
      </c>
      <c r="AL41" s="20">
        <v>0</v>
      </c>
      <c r="AM41" s="20">
        <v>0</v>
      </c>
      <c r="AN41" s="20">
        <v>0</v>
      </c>
      <c r="AO41" s="20">
        <v>0</v>
      </c>
      <c r="AP41" s="590">
        <v>0</v>
      </c>
      <c r="AQ41" s="20" t="b">
        <f t="shared" ca="1" si="13"/>
        <v>0</v>
      </c>
      <c r="AR41" s="20" t="b">
        <f t="shared" si="14"/>
        <v>0</v>
      </c>
      <c r="AS41" s="20">
        <f t="shared" ca="1" si="17"/>
        <v>0</v>
      </c>
      <c r="AT41" s="590">
        <f t="shared" ca="1" si="19"/>
        <v>1</v>
      </c>
      <c r="AU41" s="20" t="b">
        <f t="shared" ca="1" si="15"/>
        <v>0</v>
      </c>
      <c r="AV41" s="714" t="str">
        <f t="shared" ca="1" si="16"/>
        <v/>
      </c>
      <c r="AW41" s="20">
        <f t="shared" ca="1" si="18"/>
        <v>0</v>
      </c>
      <c r="AX41" s="590">
        <f t="shared" ca="1" si="20"/>
        <v>0</v>
      </c>
    </row>
    <row r="42" spans="1:52" s="20" customFormat="1" x14ac:dyDescent="0.2">
      <c r="A42" s="1004">
        <f t="shared" ca="1" si="22"/>
        <v>2</v>
      </c>
      <c r="B42" s="1310" t="str">
        <f t="shared" ca="1" si="22"/>
        <v>Primary solid biofuels</v>
      </c>
      <c r="C42" s="241" t="str">
        <f t="shared" ca="1" si="23"/>
        <v>PRIMSBIO</v>
      </c>
      <c r="D42" s="759">
        <f t="shared" ca="1" si="24"/>
        <v>-4295.21</v>
      </c>
      <c r="E42" s="760">
        <f t="shared" ca="1" si="24"/>
        <v>309.06</v>
      </c>
      <c r="F42" s="739">
        <f t="shared" ca="1" si="25"/>
        <v>6.1869795917335359E-3</v>
      </c>
      <c r="G42" s="761">
        <f t="shared" ca="1" si="26"/>
        <v>0</v>
      </c>
      <c r="H42" s="760">
        <f t="shared" ca="1" si="26"/>
        <v>0</v>
      </c>
      <c r="I42" s="762">
        <f t="shared" ca="1" si="26"/>
        <v>0</v>
      </c>
      <c r="J42" s="739" t="str">
        <f t="shared" ca="1" si="27"/>
        <v>..</v>
      </c>
      <c r="K42" s="761">
        <f t="shared" ca="1" si="28"/>
        <v>0</v>
      </c>
      <c r="L42" s="760">
        <f t="shared" ca="1" si="28"/>
        <v>0</v>
      </c>
      <c r="M42" s="741" t="str">
        <f t="shared" ca="1" si="29"/>
        <v>..</v>
      </c>
      <c r="O42" s="1298" t="str">
        <f t="shared" ca="1" si="30"/>
        <v>Low</v>
      </c>
      <c r="P42" s="1299" t="str">
        <f t="shared" ca="1" si="31"/>
        <v/>
      </c>
      <c r="Q42" s="1300" t="str">
        <f t="shared" ca="1" si="32"/>
        <v/>
      </c>
      <c r="R42"/>
      <c r="S42"/>
      <c r="T42"/>
      <c r="U42"/>
      <c r="V42"/>
      <c r="W42"/>
      <c r="X42"/>
      <c r="Y42"/>
      <c r="Z42"/>
      <c r="AA42" s="20">
        <v>11</v>
      </c>
      <c r="AB42" s="589" t="str">
        <v>BKB</v>
      </c>
      <c r="AC42" s="717">
        <f ca="1"/>
        <v>0</v>
      </c>
      <c r="AD42" s="262">
        <f ca="1"/>
        <v>0</v>
      </c>
      <c r="AE42" s="262">
        <f ca="1"/>
        <v>0</v>
      </c>
      <c r="AF42" s="262">
        <f ca="1"/>
        <v>0</v>
      </c>
      <c r="AG42" s="262">
        <f ca="1"/>
        <v>0</v>
      </c>
      <c r="AH42" s="710">
        <f ca="1"/>
        <v>0</v>
      </c>
      <c r="AI42" s="589">
        <v>0</v>
      </c>
      <c r="AJ42" s="20">
        <v>0</v>
      </c>
      <c r="AK42" s="20">
        <v>0</v>
      </c>
      <c r="AL42" s="20">
        <v>0</v>
      </c>
      <c r="AM42" s="20">
        <v>0</v>
      </c>
      <c r="AN42" s="20">
        <v>0</v>
      </c>
      <c r="AO42" s="20">
        <v>0</v>
      </c>
      <c r="AP42" s="590">
        <v>0</v>
      </c>
      <c r="AQ42" s="20" t="b">
        <f t="shared" ca="1" si="13"/>
        <v>0</v>
      </c>
      <c r="AR42" s="20" t="b">
        <f t="shared" si="14"/>
        <v>0</v>
      </c>
      <c r="AS42" s="20">
        <f t="shared" ca="1" si="17"/>
        <v>0</v>
      </c>
      <c r="AT42" s="590">
        <f t="shared" ca="1" si="19"/>
        <v>1</v>
      </c>
      <c r="AU42" s="20" t="b">
        <f t="shared" ca="1" si="15"/>
        <v>0</v>
      </c>
      <c r="AV42" s="714" t="str">
        <f t="shared" ca="1" si="16"/>
        <v/>
      </c>
      <c r="AW42" s="20">
        <f t="shared" ca="1" si="18"/>
        <v>0</v>
      </c>
      <c r="AX42" s="590">
        <f t="shared" ca="1" si="20"/>
        <v>0</v>
      </c>
    </row>
    <row r="43" spans="1:52" s="20" customFormat="1" x14ac:dyDescent="0.2">
      <c r="A43" s="1004" t="str">
        <f t="shared" ca="1" si="22"/>
        <v/>
      </c>
      <c r="B43" s="1310" t="str">
        <f t="shared" ca="1" si="22"/>
        <v/>
      </c>
      <c r="C43" s="241" t="str">
        <f t="shared" ca="1" si="23"/>
        <v/>
      </c>
      <c r="D43" s="759" t="str">
        <f t="shared" ca="1" si="24"/>
        <v/>
      </c>
      <c r="E43" s="760" t="str">
        <f t="shared" ca="1" si="24"/>
        <v/>
      </c>
      <c r="F43" s="739" t="str">
        <f t="shared" ca="1" si="25"/>
        <v/>
      </c>
      <c r="G43" s="761" t="str">
        <f t="shared" ca="1" si="26"/>
        <v/>
      </c>
      <c r="H43" s="760" t="str">
        <f t="shared" ca="1" si="26"/>
        <v/>
      </c>
      <c r="I43" s="762" t="str">
        <f t="shared" ca="1" si="26"/>
        <v/>
      </c>
      <c r="J43" s="739" t="str">
        <f t="shared" ca="1" si="27"/>
        <v/>
      </c>
      <c r="K43" s="761" t="str">
        <f t="shared" ca="1" si="28"/>
        <v/>
      </c>
      <c r="L43" s="760" t="str">
        <f t="shared" ca="1" si="28"/>
        <v/>
      </c>
      <c r="M43" s="741" t="str">
        <f t="shared" ca="1" si="29"/>
        <v/>
      </c>
      <c r="O43" s="1298" t="str">
        <f t="shared" ca="1" si="30"/>
        <v/>
      </c>
      <c r="P43" s="1299" t="str">
        <f t="shared" ca="1" si="31"/>
        <v/>
      </c>
      <c r="Q43" s="1300" t="str">
        <f t="shared" ca="1" si="32"/>
        <v/>
      </c>
      <c r="R43"/>
      <c r="S43"/>
      <c r="T43"/>
      <c r="U43"/>
      <c r="V43"/>
      <c r="W43"/>
      <c r="X43"/>
      <c r="Y43"/>
      <c r="Z43"/>
      <c r="AA43" s="706">
        <v>12</v>
      </c>
      <c r="AB43" s="589" t="str">
        <v>GASWKSGS</v>
      </c>
      <c r="AC43" s="717">
        <f ca="1"/>
        <v>0</v>
      </c>
      <c r="AD43" s="262">
        <f ca="1"/>
        <v>0</v>
      </c>
      <c r="AE43" s="262">
        <f ca="1"/>
        <v>0</v>
      </c>
      <c r="AF43" s="262">
        <f ca="1"/>
        <v>0</v>
      </c>
      <c r="AG43" s="262">
        <f ca="1"/>
        <v>0</v>
      </c>
      <c r="AH43" s="710">
        <f ca="1"/>
        <v>0</v>
      </c>
      <c r="AI43" s="589">
        <v>0</v>
      </c>
      <c r="AJ43" s="20">
        <v>0</v>
      </c>
      <c r="AK43" s="20">
        <v>0</v>
      </c>
      <c r="AL43" s="20">
        <v>0</v>
      </c>
      <c r="AM43" s="20">
        <v>0</v>
      </c>
      <c r="AN43" s="20">
        <v>0</v>
      </c>
      <c r="AO43" s="20">
        <v>0</v>
      </c>
      <c r="AP43" s="590">
        <v>0</v>
      </c>
      <c r="AQ43" s="20" t="b">
        <f t="shared" ca="1" si="13"/>
        <v>0</v>
      </c>
      <c r="AR43" s="20" t="b">
        <f t="shared" si="14"/>
        <v>0</v>
      </c>
      <c r="AS43" s="20">
        <f t="shared" ca="1" si="17"/>
        <v>0</v>
      </c>
      <c r="AT43" s="590">
        <f t="shared" ca="1" si="19"/>
        <v>1</v>
      </c>
      <c r="AU43" s="20" t="b">
        <f t="shared" ca="1" si="15"/>
        <v>0</v>
      </c>
      <c r="AV43" s="714" t="str">
        <f t="shared" ca="1" si="16"/>
        <v/>
      </c>
      <c r="AW43" s="20">
        <f t="shared" ca="1" si="18"/>
        <v>0</v>
      </c>
      <c r="AX43" s="590">
        <f t="shared" ca="1" si="20"/>
        <v>0</v>
      </c>
    </row>
    <row r="44" spans="1:52" s="20" customFormat="1" x14ac:dyDescent="0.2">
      <c r="A44" s="1004" t="str">
        <f t="shared" ca="1" si="22"/>
        <v/>
      </c>
      <c r="B44" s="1310" t="str">
        <f t="shared" ca="1" si="22"/>
        <v/>
      </c>
      <c r="C44" s="241" t="str">
        <f t="shared" ca="1" si="23"/>
        <v/>
      </c>
      <c r="D44" s="759" t="str">
        <f t="shared" ca="1" si="24"/>
        <v/>
      </c>
      <c r="E44" s="760" t="str">
        <f t="shared" ca="1" si="24"/>
        <v/>
      </c>
      <c r="F44" s="739" t="str">
        <f t="shared" ca="1" si="25"/>
        <v/>
      </c>
      <c r="G44" s="761" t="str">
        <f t="shared" ca="1" si="26"/>
        <v/>
      </c>
      <c r="H44" s="760" t="str">
        <f t="shared" ca="1" si="26"/>
        <v/>
      </c>
      <c r="I44" s="762" t="str">
        <f t="shared" ca="1" si="26"/>
        <v/>
      </c>
      <c r="J44" s="739" t="str">
        <f t="shared" ca="1" si="27"/>
        <v/>
      </c>
      <c r="K44" s="761" t="str">
        <f t="shared" ca="1" si="28"/>
        <v/>
      </c>
      <c r="L44" s="760" t="str">
        <f t="shared" ca="1" si="28"/>
        <v/>
      </c>
      <c r="M44" s="741" t="str">
        <f t="shared" ca="1" si="29"/>
        <v/>
      </c>
      <c r="O44" s="1298" t="str">
        <f t="shared" ca="1" si="30"/>
        <v/>
      </c>
      <c r="P44" s="1299" t="str">
        <f t="shared" ca="1" si="31"/>
        <v/>
      </c>
      <c r="Q44" s="1300" t="str">
        <f t="shared" ca="1" si="32"/>
        <v/>
      </c>
      <c r="R44"/>
      <c r="S44"/>
      <c r="T44"/>
      <c r="U44"/>
      <c r="V44"/>
      <c r="W44"/>
      <c r="X44"/>
      <c r="Y44"/>
      <c r="Z44"/>
      <c r="AA44" s="20">
        <v>13</v>
      </c>
      <c r="AB44" s="589" t="str">
        <v>COKEOVGS</v>
      </c>
      <c r="AC44" s="717">
        <f ca="1"/>
        <v>0</v>
      </c>
      <c r="AD44" s="262">
        <f ca="1"/>
        <v>0</v>
      </c>
      <c r="AE44" s="262">
        <f ca="1"/>
        <v>0</v>
      </c>
      <c r="AF44" s="262">
        <f ca="1"/>
        <v>0</v>
      </c>
      <c r="AG44" s="262">
        <f ca="1"/>
        <v>0</v>
      </c>
      <c r="AH44" s="710">
        <f ca="1"/>
        <v>0</v>
      </c>
      <c r="AI44" s="589">
        <v>0</v>
      </c>
      <c r="AJ44" s="20">
        <v>0</v>
      </c>
      <c r="AK44" s="20">
        <v>0</v>
      </c>
      <c r="AL44" s="20">
        <v>0</v>
      </c>
      <c r="AM44" s="20">
        <v>0</v>
      </c>
      <c r="AN44" s="20">
        <v>0</v>
      </c>
      <c r="AO44" s="20">
        <v>0</v>
      </c>
      <c r="AP44" s="590">
        <v>0</v>
      </c>
      <c r="AQ44" s="20" t="b">
        <f t="shared" ca="1" si="13"/>
        <v>0</v>
      </c>
      <c r="AR44" s="20" t="b">
        <f t="shared" si="14"/>
        <v>0</v>
      </c>
      <c r="AS44" s="20">
        <f t="shared" ca="1" si="17"/>
        <v>0</v>
      </c>
      <c r="AT44" s="590">
        <f t="shared" ca="1" si="19"/>
        <v>1</v>
      </c>
      <c r="AU44" s="20" t="b">
        <f t="shared" ca="1" si="15"/>
        <v>0</v>
      </c>
      <c r="AV44" s="714" t="str">
        <f t="shared" ca="1" si="16"/>
        <v/>
      </c>
      <c r="AW44" s="20">
        <f t="shared" ca="1" si="18"/>
        <v>0</v>
      </c>
      <c r="AX44" s="590">
        <f t="shared" ca="1" si="20"/>
        <v>0</v>
      </c>
    </row>
    <row r="45" spans="1:52" s="20" customFormat="1" x14ac:dyDescent="0.2">
      <c r="A45" s="1004" t="str">
        <f t="shared" ca="1" si="22"/>
        <v/>
      </c>
      <c r="B45" s="1310" t="str">
        <f t="shared" ca="1" si="22"/>
        <v/>
      </c>
      <c r="C45" s="241" t="str">
        <f t="shared" ca="1" si="23"/>
        <v/>
      </c>
      <c r="D45" s="759" t="str">
        <f t="shared" ca="1" si="24"/>
        <v/>
      </c>
      <c r="E45" s="760" t="str">
        <f t="shared" ca="1" si="24"/>
        <v/>
      </c>
      <c r="F45" s="739" t="str">
        <f t="shared" ca="1" si="25"/>
        <v/>
      </c>
      <c r="G45" s="761" t="str">
        <f t="shared" ca="1" si="26"/>
        <v/>
      </c>
      <c r="H45" s="760" t="str">
        <f t="shared" ca="1" si="26"/>
        <v/>
      </c>
      <c r="I45" s="762" t="str">
        <f t="shared" ca="1" si="26"/>
        <v/>
      </c>
      <c r="J45" s="739" t="str">
        <f t="shared" ca="1" si="27"/>
        <v/>
      </c>
      <c r="K45" s="761" t="str">
        <f t="shared" ca="1" si="28"/>
        <v/>
      </c>
      <c r="L45" s="760" t="str">
        <f t="shared" ca="1" si="28"/>
        <v/>
      </c>
      <c r="M45" s="741" t="str">
        <f t="shared" ca="1" si="29"/>
        <v/>
      </c>
      <c r="O45" s="1298" t="str">
        <f t="shared" ca="1" si="30"/>
        <v/>
      </c>
      <c r="P45" s="1299" t="str">
        <f t="shared" ca="1" si="31"/>
        <v/>
      </c>
      <c r="Q45" s="1300" t="str">
        <f t="shared" ca="1" si="32"/>
        <v/>
      </c>
      <c r="R45"/>
      <c r="S45"/>
      <c r="T45"/>
      <c r="U45"/>
      <c r="V45"/>
      <c r="W45"/>
      <c r="X45"/>
      <c r="Y45"/>
      <c r="Z45"/>
      <c r="AA45" s="706">
        <v>14</v>
      </c>
      <c r="AB45" s="589" t="str">
        <v>BLFURGS</v>
      </c>
      <c r="AC45" s="717">
        <f ca="1"/>
        <v>0</v>
      </c>
      <c r="AD45" s="262">
        <f ca="1"/>
        <v>0</v>
      </c>
      <c r="AE45" s="262">
        <f ca="1"/>
        <v>0</v>
      </c>
      <c r="AF45" s="262">
        <f ca="1"/>
        <v>0</v>
      </c>
      <c r="AG45" s="262">
        <f ca="1"/>
        <v>0</v>
      </c>
      <c r="AH45" s="710">
        <f ca="1"/>
        <v>0</v>
      </c>
      <c r="AI45" s="589">
        <v>0</v>
      </c>
      <c r="AJ45" s="20">
        <v>0</v>
      </c>
      <c r="AK45" s="20">
        <v>0</v>
      </c>
      <c r="AL45" s="20">
        <v>0</v>
      </c>
      <c r="AM45" s="20">
        <v>0</v>
      </c>
      <c r="AN45" s="20">
        <v>0</v>
      </c>
      <c r="AO45" s="20">
        <v>0</v>
      </c>
      <c r="AP45" s="590">
        <v>0</v>
      </c>
      <c r="AQ45" s="20" t="b">
        <f t="shared" ca="1" si="13"/>
        <v>0</v>
      </c>
      <c r="AR45" s="20" t="b">
        <f t="shared" si="14"/>
        <v>0</v>
      </c>
      <c r="AS45" s="20">
        <f t="shared" ca="1" si="17"/>
        <v>0</v>
      </c>
      <c r="AT45" s="590">
        <f t="shared" ca="1" si="19"/>
        <v>1</v>
      </c>
      <c r="AU45" s="20" t="b">
        <f t="shared" ca="1" si="15"/>
        <v>0</v>
      </c>
      <c r="AV45" s="714" t="str">
        <f t="shared" ca="1" si="16"/>
        <v/>
      </c>
      <c r="AW45" s="20">
        <f t="shared" ca="1" si="18"/>
        <v>0</v>
      </c>
      <c r="AX45" s="590">
        <f t="shared" ca="1" si="20"/>
        <v>0</v>
      </c>
    </row>
    <row r="46" spans="1:52" s="20" customFormat="1" x14ac:dyDescent="0.2">
      <c r="A46" s="1004" t="str">
        <f t="shared" ca="1" si="22"/>
        <v/>
      </c>
      <c r="B46" s="1310" t="str">
        <f t="shared" ca="1" si="22"/>
        <v/>
      </c>
      <c r="C46" s="241" t="str">
        <f t="shared" ca="1" si="23"/>
        <v/>
      </c>
      <c r="D46" s="759" t="str">
        <f t="shared" ca="1" si="24"/>
        <v/>
      </c>
      <c r="E46" s="760" t="str">
        <f t="shared" ca="1" si="24"/>
        <v/>
      </c>
      <c r="F46" s="739" t="str">
        <f t="shared" ca="1" si="25"/>
        <v/>
      </c>
      <c r="G46" s="761" t="str">
        <f t="shared" ca="1" si="26"/>
        <v/>
      </c>
      <c r="H46" s="760" t="str">
        <f t="shared" ca="1" si="26"/>
        <v/>
      </c>
      <c r="I46" s="762" t="str">
        <f t="shared" ca="1" si="26"/>
        <v/>
      </c>
      <c r="J46" s="739" t="str">
        <f t="shared" ca="1" si="27"/>
        <v/>
      </c>
      <c r="K46" s="761" t="str">
        <f t="shared" ca="1" si="28"/>
        <v/>
      </c>
      <c r="L46" s="760" t="str">
        <f t="shared" ca="1" si="28"/>
        <v/>
      </c>
      <c r="M46" s="741" t="str">
        <f t="shared" ca="1" si="29"/>
        <v/>
      </c>
      <c r="O46" s="1298" t="str">
        <f t="shared" ca="1" si="30"/>
        <v/>
      </c>
      <c r="P46" s="1299" t="str">
        <f t="shared" ca="1" si="31"/>
        <v/>
      </c>
      <c r="Q46" s="1300" t="str">
        <f t="shared" ca="1" si="32"/>
        <v/>
      </c>
      <c r="R46"/>
      <c r="S46"/>
      <c r="T46"/>
      <c r="U46"/>
      <c r="V46"/>
      <c r="W46"/>
      <c r="X46"/>
      <c r="Y46"/>
      <c r="Z46"/>
      <c r="AA46" s="20">
        <v>15</v>
      </c>
      <c r="AB46" s="589" t="str">
        <v>OGASES</v>
      </c>
      <c r="AC46" s="717">
        <f ca="1"/>
        <v>0</v>
      </c>
      <c r="AD46" s="262">
        <f ca="1"/>
        <v>0</v>
      </c>
      <c r="AE46" s="262">
        <f ca="1"/>
        <v>0</v>
      </c>
      <c r="AF46" s="262">
        <f ca="1"/>
        <v>0</v>
      </c>
      <c r="AG46" s="262">
        <f ca="1"/>
        <v>0</v>
      </c>
      <c r="AH46" s="710">
        <f ca="1"/>
        <v>0</v>
      </c>
      <c r="AI46" s="589">
        <v>0</v>
      </c>
      <c r="AJ46" s="20">
        <v>0</v>
      </c>
      <c r="AK46" s="20">
        <v>0</v>
      </c>
      <c r="AL46" s="20">
        <v>0</v>
      </c>
      <c r="AM46" s="20">
        <v>0</v>
      </c>
      <c r="AN46" s="20">
        <v>0</v>
      </c>
      <c r="AO46" s="20">
        <v>0</v>
      </c>
      <c r="AP46" s="590">
        <v>0</v>
      </c>
      <c r="AQ46" s="20" t="b">
        <f t="shared" ca="1" si="13"/>
        <v>0</v>
      </c>
      <c r="AR46" s="20" t="b">
        <f t="shared" si="14"/>
        <v>0</v>
      </c>
      <c r="AS46" s="20">
        <f t="shared" ca="1" si="17"/>
        <v>0</v>
      </c>
      <c r="AT46" s="590">
        <f t="shared" ca="1" si="19"/>
        <v>1</v>
      </c>
      <c r="AU46" s="20" t="b">
        <f t="shared" ca="1" si="15"/>
        <v>0</v>
      </c>
      <c r="AV46" s="714" t="str">
        <f t="shared" ca="1" si="16"/>
        <v/>
      </c>
      <c r="AW46" s="20">
        <f t="shared" ca="1" si="18"/>
        <v>0</v>
      </c>
      <c r="AX46" s="590">
        <f t="shared" ca="1" si="20"/>
        <v>0</v>
      </c>
    </row>
    <row r="47" spans="1:52" s="20" customFormat="1" x14ac:dyDescent="0.2">
      <c r="A47" s="1004" t="str">
        <f t="shared" ca="1" si="22"/>
        <v/>
      </c>
      <c r="B47" s="1310" t="str">
        <f t="shared" ca="1" si="22"/>
        <v/>
      </c>
      <c r="C47" s="241" t="str">
        <f t="shared" ca="1" si="23"/>
        <v/>
      </c>
      <c r="D47" s="759" t="str">
        <f t="shared" ca="1" si="24"/>
        <v/>
      </c>
      <c r="E47" s="760" t="str">
        <f t="shared" ca="1" si="24"/>
        <v/>
      </c>
      <c r="F47" s="739" t="str">
        <f t="shared" ca="1" si="25"/>
        <v/>
      </c>
      <c r="G47" s="761" t="str">
        <f t="shared" ca="1" si="26"/>
        <v/>
      </c>
      <c r="H47" s="760" t="str">
        <f t="shared" ca="1" si="26"/>
        <v/>
      </c>
      <c r="I47" s="762" t="str">
        <f t="shared" ca="1" si="26"/>
        <v/>
      </c>
      <c r="J47" s="739" t="str">
        <f t="shared" ca="1" si="27"/>
        <v/>
      </c>
      <c r="K47" s="761" t="str">
        <f t="shared" ca="1" si="28"/>
        <v/>
      </c>
      <c r="L47" s="760" t="str">
        <f t="shared" ca="1" si="28"/>
        <v/>
      </c>
      <c r="M47" s="741" t="str">
        <f t="shared" ca="1" si="29"/>
        <v/>
      </c>
      <c r="O47" s="1298" t="str">
        <f t="shared" ca="1" si="30"/>
        <v/>
      </c>
      <c r="P47" s="1299" t="str">
        <f t="shared" ca="1" si="31"/>
        <v/>
      </c>
      <c r="Q47" s="1300" t="str">
        <f t="shared" ca="1" si="32"/>
        <v/>
      </c>
      <c r="Z47"/>
      <c r="AA47" s="706">
        <v>16</v>
      </c>
      <c r="AB47" s="589" t="str">
        <v>MANGAS</v>
      </c>
      <c r="AC47" s="717">
        <v>0</v>
      </c>
      <c r="AD47" s="262">
        <v>0</v>
      </c>
      <c r="AE47" s="262">
        <v>0</v>
      </c>
      <c r="AF47" s="262">
        <v>0</v>
      </c>
      <c r="AG47" s="262">
        <v>0</v>
      </c>
      <c r="AH47" s="710">
        <v>0</v>
      </c>
      <c r="AI47" s="589">
        <v>0</v>
      </c>
      <c r="AJ47" s="20">
        <v>0</v>
      </c>
      <c r="AK47" s="20">
        <v>0</v>
      </c>
      <c r="AL47" s="20">
        <v>0</v>
      </c>
      <c r="AM47" s="20">
        <v>0</v>
      </c>
      <c r="AN47" s="20">
        <v>0</v>
      </c>
      <c r="AO47" s="20">
        <v>0</v>
      </c>
      <c r="AP47" s="590">
        <v>0</v>
      </c>
      <c r="AQ47" s="20" t="b">
        <f t="shared" si="13"/>
        <v>0</v>
      </c>
      <c r="AR47" s="20" t="b">
        <f t="shared" si="14"/>
        <v>0</v>
      </c>
      <c r="AS47" s="20">
        <f t="shared" si="17"/>
        <v>0</v>
      </c>
      <c r="AT47" s="590">
        <f t="shared" ca="1" si="19"/>
        <v>1</v>
      </c>
      <c r="AU47" s="20" t="b">
        <f t="shared" si="15"/>
        <v>0</v>
      </c>
      <c r="AV47" s="714" t="str">
        <f t="shared" si="16"/>
        <v/>
      </c>
      <c r="AW47" s="20">
        <f t="shared" si="18"/>
        <v>0</v>
      </c>
      <c r="AX47" s="590">
        <f t="shared" ca="1" si="20"/>
        <v>0</v>
      </c>
    </row>
    <row r="48" spans="1:52" s="20" customFormat="1" x14ac:dyDescent="0.2">
      <c r="A48" s="1004" t="str">
        <f t="shared" ca="1" si="22"/>
        <v/>
      </c>
      <c r="B48" s="1310" t="str">
        <f t="shared" ca="1" si="22"/>
        <v/>
      </c>
      <c r="C48" s="241" t="str">
        <f t="shared" ca="1" si="23"/>
        <v/>
      </c>
      <c r="D48" s="759" t="str">
        <f t="shared" ca="1" si="24"/>
        <v/>
      </c>
      <c r="E48" s="760" t="str">
        <f t="shared" ca="1" si="24"/>
        <v/>
      </c>
      <c r="F48" s="739" t="str">
        <f t="shared" ca="1" si="25"/>
        <v/>
      </c>
      <c r="G48" s="761" t="str">
        <f t="shared" ca="1" si="26"/>
        <v/>
      </c>
      <c r="H48" s="760" t="str">
        <f t="shared" ca="1" si="26"/>
        <v/>
      </c>
      <c r="I48" s="762" t="str">
        <f t="shared" ca="1" si="26"/>
        <v/>
      </c>
      <c r="J48" s="739" t="str">
        <f t="shared" ca="1" si="27"/>
        <v/>
      </c>
      <c r="K48" s="761" t="str">
        <f t="shared" ca="1" si="28"/>
        <v/>
      </c>
      <c r="L48" s="760" t="str">
        <f t="shared" ca="1" si="28"/>
        <v/>
      </c>
      <c r="M48" s="741" t="str">
        <f t="shared" ca="1" si="29"/>
        <v/>
      </c>
      <c r="O48" s="1298" t="str">
        <f t="shared" ca="1" si="30"/>
        <v/>
      </c>
      <c r="P48" s="1299" t="str">
        <f t="shared" ca="1" si="31"/>
        <v/>
      </c>
      <c r="Q48" s="1300" t="str">
        <f t="shared" ca="1" si="32"/>
        <v/>
      </c>
      <c r="Z48"/>
      <c r="AA48" s="20">
        <v>17</v>
      </c>
      <c r="AB48" s="589" t="str">
        <v>PEAT</v>
      </c>
      <c r="AC48" s="717">
        <f ca="1"/>
        <v>0</v>
      </c>
      <c r="AD48" s="262">
        <f ca="1"/>
        <v>0</v>
      </c>
      <c r="AE48" s="262">
        <f ca="1"/>
        <v>0</v>
      </c>
      <c r="AF48" s="262">
        <f ca="1"/>
        <v>0</v>
      </c>
      <c r="AG48" s="262">
        <f ca="1"/>
        <v>0</v>
      </c>
      <c r="AH48" s="710">
        <f ca="1"/>
        <v>0</v>
      </c>
      <c r="AI48" s="589">
        <v>0</v>
      </c>
      <c r="AJ48" s="20">
        <v>0</v>
      </c>
      <c r="AK48" s="20">
        <v>0</v>
      </c>
      <c r="AL48" s="20">
        <v>0</v>
      </c>
      <c r="AM48" s="20">
        <v>0</v>
      </c>
      <c r="AN48" s="20">
        <v>0</v>
      </c>
      <c r="AO48" s="20">
        <v>0</v>
      </c>
      <c r="AP48" s="590">
        <v>0</v>
      </c>
      <c r="AQ48" s="20" t="b">
        <f t="shared" ca="1" si="13"/>
        <v>0</v>
      </c>
      <c r="AR48" s="20" t="b">
        <f t="shared" si="14"/>
        <v>0</v>
      </c>
      <c r="AS48" s="20">
        <f t="shared" ca="1" si="17"/>
        <v>0</v>
      </c>
      <c r="AT48" s="590">
        <f t="shared" ca="1" si="19"/>
        <v>1</v>
      </c>
      <c r="AU48" s="20" t="b">
        <f t="shared" ca="1" si="15"/>
        <v>0</v>
      </c>
      <c r="AV48" s="714" t="str">
        <f t="shared" ca="1" si="16"/>
        <v/>
      </c>
      <c r="AW48" s="20">
        <f t="shared" ca="1" si="18"/>
        <v>0</v>
      </c>
      <c r="AX48" s="590">
        <f t="shared" ca="1" si="20"/>
        <v>0</v>
      </c>
    </row>
    <row r="49" spans="1:50" s="20" customFormat="1" x14ac:dyDescent="0.2">
      <c r="A49" s="1004" t="str">
        <f t="shared" ca="1" si="22"/>
        <v/>
      </c>
      <c r="B49" s="1310" t="str">
        <f t="shared" ca="1" si="22"/>
        <v/>
      </c>
      <c r="C49" s="241" t="str">
        <f t="shared" ca="1" si="23"/>
        <v/>
      </c>
      <c r="D49" s="759" t="str">
        <f t="shared" ca="1" si="24"/>
        <v/>
      </c>
      <c r="E49" s="760" t="str">
        <f t="shared" ca="1" si="24"/>
        <v/>
      </c>
      <c r="F49" s="739" t="str">
        <f t="shared" ca="1" si="25"/>
        <v/>
      </c>
      <c r="G49" s="761" t="str">
        <f t="shared" ca="1" si="26"/>
        <v/>
      </c>
      <c r="H49" s="760" t="str">
        <f t="shared" ca="1" si="26"/>
        <v/>
      </c>
      <c r="I49" s="762" t="str">
        <f t="shared" ca="1" si="26"/>
        <v/>
      </c>
      <c r="J49" s="739" t="str">
        <f t="shared" ca="1" si="27"/>
        <v/>
      </c>
      <c r="K49" s="761" t="str">
        <f t="shared" ca="1" si="28"/>
        <v/>
      </c>
      <c r="L49" s="760" t="str">
        <f t="shared" ca="1" si="28"/>
        <v/>
      </c>
      <c r="M49" s="741" t="str">
        <f t="shared" ca="1" si="29"/>
        <v/>
      </c>
      <c r="O49" s="1298" t="str">
        <f t="shared" ca="1" si="30"/>
        <v/>
      </c>
      <c r="P49" s="1299" t="str">
        <f t="shared" ca="1" si="31"/>
        <v/>
      </c>
      <c r="Q49" s="1300" t="str">
        <f t="shared" ca="1" si="32"/>
        <v/>
      </c>
      <c r="Z49"/>
      <c r="AA49" s="706">
        <v>18</v>
      </c>
      <c r="AB49" s="589" t="str">
        <v>PEATPROD</v>
      </c>
      <c r="AC49" s="717">
        <f ca="1"/>
        <v>0</v>
      </c>
      <c r="AD49" s="262">
        <f ca="1"/>
        <v>0</v>
      </c>
      <c r="AE49" s="262">
        <f ca="1"/>
        <v>0</v>
      </c>
      <c r="AF49" s="262">
        <f ca="1"/>
        <v>0</v>
      </c>
      <c r="AG49" s="262">
        <f ca="1"/>
        <v>0</v>
      </c>
      <c r="AH49" s="710">
        <f ca="1"/>
        <v>0</v>
      </c>
      <c r="AI49" s="589">
        <v>0</v>
      </c>
      <c r="AJ49" s="20">
        <v>0</v>
      </c>
      <c r="AK49" s="20">
        <v>0</v>
      </c>
      <c r="AL49" s="20">
        <v>0</v>
      </c>
      <c r="AM49" s="20">
        <v>0</v>
      </c>
      <c r="AN49" s="20">
        <v>0</v>
      </c>
      <c r="AO49" s="20">
        <v>0</v>
      </c>
      <c r="AP49" s="590">
        <v>0</v>
      </c>
      <c r="AQ49" s="20" t="b">
        <f t="shared" ca="1" si="13"/>
        <v>0</v>
      </c>
      <c r="AR49" s="20" t="b">
        <f t="shared" si="14"/>
        <v>0</v>
      </c>
      <c r="AS49" s="20">
        <f t="shared" ca="1" si="17"/>
        <v>0</v>
      </c>
      <c r="AT49" s="590">
        <f t="shared" ca="1" si="19"/>
        <v>1</v>
      </c>
      <c r="AU49" s="20" t="b">
        <f t="shared" ca="1" si="15"/>
        <v>0</v>
      </c>
      <c r="AV49" s="714" t="str">
        <f t="shared" ca="1" si="16"/>
        <v/>
      </c>
      <c r="AW49" s="20">
        <f t="shared" ca="1" si="18"/>
        <v>0</v>
      </c>
      <c r="AX49" s="590">
        <f t="shared" ca="1" si="20"/>
        <v>0</v>
      </c>
    </row>
    <row r="50" spans="1:50" s="20" customFormat="1" x14ac:dyDescent="0.2">
      <c r="A50" s="1004" t="str">
        <f t="shared" ca="1" si="22"/>
        <v/>
      </c>
      <c r="B50" s="1310" t="str">
        <f t="shared" ca="1" si="22"/>
        <v/>
      </c>
      <c r="C50" s="241" t="str">
        <f t="shared" ca="1" si="23"/>
        <v/>
      </c>
      <c r="D50" s="759" t="str">
        <f t="shared" ca="1" si="24"/>
        <v/>
      </c>
      <c r="E50" s="760" t="str">
        <f t="shared" ca="1" si="24"/>
        <v/>
      </c>
      <c r="F50" s="739" t="str">
        <f t="shared" ca="1" si="25"/>
        <v/>
      </c>
      <c r="G50" s="761" t="str">
        <f t="shared" ca="1" si="26"/>
        <v/>
      </c>
      <c r="H50" s="760" t="str">
        <f t="shared" ca="1" si="26"/>
        <v/>
      </c>
      <c r="I50" s="762" t="str">
        <f t="shared" ca="1" si="26"/>
        <v/>
      </c>
      <c r="J50" s="739" t="str">
        <f t="shared" ca="1" si="27"/>
        <v/>
      </c>
      <c r="K50" s="761" t="str">
        <f t="shared" ca="1" si="28"/>
        <v/>
      </c>
      <c r="L50" s="760" t="str">
        <f t="shared" ca="1" si="28"/>
        <v/>
      </c>
      <c r="M50" s="741" t="str">
        <f t="shared" ca="1" si="29"/>
        <v/>
      </c>
      <c r="O50" s="1298" t="str">
        <f t="shared" ca="1" si="30"/>
        <v/>
      </c>
      <c r="P50" s="1299" t="str">
        <f t="shared" ca="1" si="31"/>
        <v/>
      </c>
      <c r="Q50" s="1300" t="str">
        <f t="shared" ca="1" si="32"/>
        <v/>
      </c>
      <c r="Z50"/>
      <c r="AA50" s="20">
        <v>19</v>
      </c>
      <c r="AB50" s="589" t="str">
        <v>OILSHALE</v>
      </c>
      <c r="AC50" s="717">
        <f ca="1"/>
        <v>0</v>
      </c>
      <c r="AD50" s="262">
        <f ca="1"/>
        <v>0</v>
      </c>
      <c r="AE50" s="262">
        <f ca="1"/>
        <v>0</v>
      </c>
      <c r="AF50" s="262">
        <f ca="1"/>
        <v>0</v>
      </c>
      <c r="AG50" s="262">
        <f ca="1"/>
        <v>0</v>
      </c>
      <c r="AH50" s="710">
        <f ca="1"/>
        <v>0</v>
      </c>
      <c r="AI50" s="589">
        <v>0</v>
      </c>
      <c r="AJ50" s="20">
        <v>0</v>
      </c>
      <c r="AK50" s="20">
        <v>0</v>
      </c>
      <c r="AL50" s="20">
        <v>0</v>
      </c>
      <c r="AM50" s="20">
        <v>0</v>
      </c>
      <c r="AN50" s="20">
        <v>0</v>
      </c>
      <c r="AO50" s="20">
        <v>0</v>
      </c>
      <c r="AP50" s="590">
        <v>0</v>
      </c>
      <c r="AQ50" s="20" t="b">
        <f t="shared" ca="1" si="13"/>
        <v>0</v>
      </c>
      <c r="AR50" s="20" t="b">
        <f t="shared" si="14"/>
        <v>0</v>
      </c>
      <c r="AS50" s="20">
        <f t="shared" ca="1" si="17"/>
        <v>0</v>
      </c>
      <c r="AT50" s="590">
        <f t="shared" ca="1" si="19"/>
        <v>1</v>
      </c>
      <c r="AU50" s="20" t="b">
        <f t="shared" ca="1" si="15"/>
        <v>0</v>
      </c>
      <c r="AV50" s="714" t="str">
        <f t="shared" ca="1" si="16"/>
        <v/>
      </c>
      <c r="AW50" s="20">
        <f t="shared" ca="1" si="18"/>
        <v>0</v>
      </c>
      <c r="AX50" s="590">
        <f t="shared" ca="1" si="20"/>
        <v>0</v>
      </c>
    </row>
    <row r="51" spans="1:50" s="20" customFormat="1" x14ac:dyDescent="0.2">
      <c r="A51" s="1004" t="str">
        <f t="shared" ca="1" si="22"/>
        <v/>
      </c>
      <c r="B51" s="1310" t="str">
        <f t="shared" ca="1" si="22"/>
        <v/>
      </c>
      <c r="C51" s="241" t="str">
        <f t="shared" ca="1" si="23"/>
        <v/>
      </c>
      <c r="D51" s="759" t="str">
        <f t="shared" ca="1" si="24"/>
        <v/>
      </c>
      <c r="E51" s="760" t="str">
        <f t="shared" ca="1" si="24"/>
        <v/>
      </c>
      <c r="F51" s="739" t="str">
        <f t="shared" ca="1" si="25"/>
        <v/>
      </c>
      <c r="G51" s="761" t="str">
        <f t="shared" ca="1" si="26"/>
        <v/>
      </c>
      <c r="H51" s="760" t="str">
        <f t="shared" ca="1" si="26"/>
        <v/>
      </c>
      <c r="I51" s="762" t="str">
        <f t="shared" ca="1" si="26"/>
        <v/>
      </c>
      <c r="J51" s="739" t="str">
        <f t="shared" ca="1" si="27"/>
        <v/>
      </c>
      <c r="K51" s="761" t="str">
        <f t="shared" ca="1" si="28"/>
        <v/>
      </c>
      <c r="L51" s="760" t="str">
        <f t="shared" ca="1" si="28"/>
        <v/>
      </c>
      <c r="M51" s="741" t="str">
        <f t="shared" ca="1" si="29"/>
        <v/>
      </c>
      <c r="O51" s="1298" t="str">
        <f t="shared" ca="1" si="30"/>
        <v/>
      </c>
      <c r="P51" s="1299" t="str">
        <f t="shared" ca="1" si="31"/>
        <v/>
      </c>
      <c r="Q51" s="1300" t="str">
        <f t="shared" ca="1" si="32"/>
        <v/>
      </c>
      <c r="Z51"/>
      <c r="AA51" s="706">
        <v>20</v>
      </c>
      <c r="AB51" s="589" t="str">
        <v>CRUDEOIL</v>
      </c>
      <c r="AC51" s="717">
        <f ca="1"/>
        <v>0</v>
      </c>
      <c r="AD51" s="262">
        <f ca="1"/>
        <v>0</v>
      </c>
      <c r="AE51" s="262">
        <f ca="1"/>
        <v>0</v>
      </c>
      <c r="AF51" s="262">
        <f ca="1"/>
        <v>0</v>
      </c>
      <c r="AG51" s="262">
        <f ca="1"/>
        <v>0</v>
      </c>
      <c r="AH51" s="710">
        <f ca="1"/>
        <v>0</v>
      </c>
      <c r="AI51" s="589">
        <v>0</v>
      </c>
      <c r="AJ51" s="20">
        <v>0</v>
      </c>
      <c r="AK51" s="20">
        <v>0</v>
      </c>
      <c r="AL51" s="20">
        <v>0</v>
      </c>
      <c r="AM51" s="20">
        <v>0</v>
      </c>
      <c r="AN51" s="20">
        <v>0</v>
      </c>
      <c r="AO51" s="20">
        <v>0</v>
      </c>
      <c r="AP51" s="590">
        <v>0</v>
      </c>
      <c r="AQ51" s="20" t="b">
        <f t="shared" ca="1" si="13"/>
        <v>0</v>
      </c>
      <c r="AR51" s="20" t="b">
        <f t="shared" si="14"/>
        <v>0</v>
      </c>
      <c r="AS51" s="20">
        <f t="shared" ca="1" si="17"/>
        <v>0</v>
      </c>
      <c r="AT51" s="590">
        <f t="shared" ca="1" si="19"/>
        <v>1</v>
      </c>
      <c r="AU51" s="20" t="b">
        <f t="shared" ca="1" si="15"/>
        <v>0</v>
      </c>
      <c r="AV51" s="714" t="str">
        <f t="shared" ca="1" si="16"/>
        <v/>
      </c>
      <c r="AW51" s="20">
        <f t="shared" ca="1" si="18"/>
        <v>0</v>
      </c>
      <c r="AX51" s="590">
        <f t="shared" ca="1" si="20"/>
        <v>0</v>
      </c>
    </row>
    <row r="52" spans="1:50" s="20" customFormat="1" x14ac:dyDescent="0.2">
      <c r="A52" s="1004" t="str">
        <f t="shared" ca="1" si="22"/>
        <v/>
      </c>
      <c r="B52" s="1310" t="str">
        <f t="shared" ca="1" si="22"/>
        <v/>
      </c>
      <c r="C52" s="241" t="str">
        <f t="shared" ca="1" si="23"/>
        <v/>
      </c>
      <c r="D52" s="759" t="str">
        <f t="shared" ca="1" si="24"/>
        <v/>
      </c>
      <c r="E52" s="760" t="str">
        <f t="shared" ca="1" si="24"/>
        <v/>
      </c>
      <c r="F52" s="739" t="str">
        <f t="shared" ca="1" si="25"/>
        <v/>
      </c>
      <c r="G52" s="761" t="str">
        <f t="shared" ca="1" si="26"/>
        <v/>
      </c>
      <c r="H52" s="760" t="str">
        <f t="shared" ca="1" si="26"/>
        <v/>
      </c>
      <c r="I52" s="762" t="str">
        <f t="shared" ca="1" si="26"/>
        <v/>
      </c>
      <c r="J52" s="739" t="str">
        <f t="shared" ca="1" si="27"/>
        <v/>
      </c>
      <c r="K52" s="761" t="str">
        <f t="shared" ca="1" si="28"/>
        <v/>
      </c>
      <c r="L52" s="760" t="str">
        <f t="shared" ca="1" si="28"/>
        <v/>
      </c>
      <c r="M52" s="741" t="str">
        <f t="shared" ca="1" si="29"/>
        <v/>
      </c>
      <c r="O52" s="1298" t="str">
        <f t="shared" ca="1" si="30"/>
        <v/>
      </c>
      <c r="P52" s="1299" t="str">
        <f t="shared" ca="1" si="31"/>
        <v/>
      </c>
      <c r="Q52" s="1300" t="str">
        <f t="shared" ca="1" si="32"/>
        <v/>
      </c>
      <c r="Z52"/>
      <c r="AA52" s="20">
        <v>21</v>
      </c>
      <c r="AB52" s="589" t="str">
        <v>NGL</v>
      </c>
      <c r="AC52" s="717">
        <f ca="1"/>
        <v>0</v>
      </c>
      <c r="AD52" s="262">
        <f ca="1"/>
        <v>0</v>
      </c>
      <c r="AE52" s="262">
        <f ca="1"/>
        <v>0</v>
      </c>
      <c r="AF52" s="262">
        <f ca="1"/>
        <v>0</v>
      </c>
      <c r="AG52" s="262">
        <f ca="1"/>
        <v>0</v>
      </c>
      <c r="AH52" s="710">
        <f ca="1"/>
        <v>0</v>
      </c>
      <c r="AI52" s="589">
        <v>0</v>
      </c>
      <c r="AJ52" s="20">
        <v>0</v>
      </c>
      <c r="AK52" s="20">
        <v>0</v>
      </c>
      <c r="AL52" s="20">
        <v>0</v>
      </c>
      <c r="AM52" s="20">
        <v>0</v>
      </c>
      <c r="AN52" s="20">
        <v>0</v>
      </c>
      <c r="AO52" s="20">
        <v>0</v>
      </c>
      <c r="AP52" s="590">
        <v>0</v>
      </c>
      <c r="AQ52" s="20" t="b">
        <f t="shared" ca="1" si="13"/>
        <v>0</v>
      </c>
      <c r="AR52" s="20" t="b">
        <f t="shared" si="14"/>
        <v>0</v>
      </c>
      <c r="AS52" s="20">
        <f t="shared" ca="1" si="17"/>
        <v>0</v>
      </c>
      <c r="AT52" s="590">
        <f t="shared" ca="1" si="19"/>
        <v>1</v>
      </c>
      <c r="AU52" s="20" t="b">
        <f t="shared" ca="1" si="15"/>
        <v>0</v>
      </c>
      <c r="AV52" s="714" t="str">
        <f t="shared" ca="1" si="16"/>
        <v/>
      </c>
      <c r="AW52" s="20">
        <f t="shared" ca="1" si="18"/>
        <v>0</v>
      </c>
      <c r="AX52" s="590">
        <f t="shared" ca="1" si="20"/>
        <v>0</v>
      </c>
    </row>
    <row r="53" spans="1:50" s="20" customFormat="1" x14ac:dyDescent="0.2">
      <c r="A53" s="1004" t="str">
        <f t="shared" ca="1" si="22"/>
        <v/>
      </c>
      <c r="B53" s="1310" t="str">
        <f t="shared" ca="1" si="22"/>
        <v/>
      </c>
      <c r="C53" s="241" t="str">
        <f t="shared" ca="1" si="23"/>
        <v/>
      </c>
      <c r="D53" s="759" t="str">
        <f t="shared" ca="1" si="24"/>
        <v/>
      </c>
      <c r="E53" s="760" t="str">
        <f t="shared" ca="1" si="24"/>
        <v/>
      </c>
      <c r="F53" s="739" t="str">
        <f t="shared" ca="1" si="25"/>
        <v/>
      </c>
      <c r="G53" s="761" t="str">
        <f t="shared" ca="1" si="26"/>
        <v/>
      </c>
      <c r="H53" s="760" t="str">
        <f t="shared" ca="1" si="26"/>
        <v/>
      </c>
      <c r="I53" s="762" t="str">
        <f t="shared" ca="1" si="26"/>
        <v/>
      </c>
      <c r="J53" s="739" t="str">
        <f t="shared" ca="1" si="27"/>
        <v/>
      </c>
      <c r="K53" s="761" t="str">
        <f t="shared" ca="1" si="28"/>
        <v/>
      </c>
      <c r="L53" s="760" t="str">
        <f t="shared" ca="1" si="28"/>
        <v/>
      </c>
      <c r="M53" s="741" t="str">
        <f t="shared" ca="1" si="29"/>
        <v/>
      </c>
      <c r="O53" s="1298" t="str">
        <f t="shared" ca="1" si="30"/>
        <v/>
      </c>
      <c r="P53" s="1299" t="str">
        <f t="shared" ca="1" si="31"/>
        <v/>
      </c>
      <c r="Q53" s="1300" t="str">
        <f t="shared" ca="1" si="32"/>
        <v/>
      </c>
      <c r="Z53"/>
      <c r="AA53" s="706">
        <v>22</v>
      </c>
      <c r="AB53" s="589" t="str">
        <v>REFFEEDS</v>
      </c>
      <c r="AC53" s="717">
        <f ca="1"/>
        <v>0</v>
      </c>
      <c r="AD53" s="262">
        <f ca="1"/>
        <v>0</v>
      </c>
      <c r="AE53" s="262">
        <f ca="1"/>
        <v>0</v>
      </c>
      <c r="AF53" s="262">
        <f ca="1"/>
        <v>0</v>
      </c>
      <c r="AG53" s="262">
        <f ca="1"/>
        <v>0</v>
      </c>
      <c r="AH53" s="710">
        <f ca="1"/>
        <v>0</v>
      </c>
      <c r="AI53" s="589">
        <v>0</v>
      </c>
      <c r="AJ53" s="20">
        <v>0</v>
      </c>
      <c r="AK53" s="20">
        <v>0</v>
      </c>
      <c r="AL53" s="20">
        <v>0</v>
      </c>
      <c r="AM53" s="20">
        <v>0</v>
      </c>
      <c r="AN53" s="20">
        <v>0</v>
      </c>
      <c r="AO53" s="20">
        <v>0</v>
      </c>
      <c r="AP53" s="590">
        <v>0</v>
      </c>
      <c r="AQ53" s="20" t="b">
        <f t="shared" ca="1" si="13"/>
        <v>0</v>
      </c>
      <c r="AR53" s="20" t="b">
        <f t="shared" si="14"/>
        <v>0</v>
      </c>
      <c r="AS53" s="20">
        <f t="shared" ca="1" si="17"/>
        <v>0</v>
      </c>
      <c r="AT53" s="590">
        <f t="shared" ca="1" si="19"/>
        <v>1</v>
      </c>
      <c r="AU53" s="20" t="b">
        <f t="shared" ca="1" si="15"/>
        <v>0</v>
      </c>
      <c r="AV53" s="714" t="str">
        <f t="shared" ca="1" si="16"/>
        <v/>
      </c>
      <c r="AW53" s="20">
        <f t="shared" ca="1" si="18"/>
        <v>0</v>
      </c>
      <c r="AX53" s="590">
        <f t="shared" ca="1" si="20"/>
        <v>0</v>
      </c>
    </row>
    <row r="54" spans="1:50" s="20" customFormat="1" x14ac:dyDescent="0.2">
      <c r="A54" s="1004" t="str">
        <f t="shared" ca="1" si="22"/>
        <v/>
      </c>
      <c r="B54" s="1310" t="str">
        <f t="shared" ca="1" si="22"/>
        <v/>
      </c>
      <c r="C54" s="241" t="str">
        <f t="shared" ca="1" si="23"/>
        <v/>
      </c>
      <c r="D54" s="759" t="str">
        <f t="shared" ca="1" si="24"/>
        <v/>
      </c>
      <c r="E54" s="760" t="str">
        <f t="shared" ca="1" si="24"/>
        <v/>
      </c>
      <c r="F54" s="739" t="str">
        <f t="shared" ca="1" si="25"/>
        <v/>
      </c>
      <c r="G54" s="761" t="str">
        <f t="shared" ca="1" si="26"/>
        <v/>
      </c>
      <c r="H54" s="760" t="str">
        <f t="shared" ca="1" si="26"/>
        <v/>
      </c>
      <c r="I54" s="762" t="str">
        <f t="shared" ca="1" si="26"/>
        <v/>
      </c>
      <c r="J54" s="739" t="str">
        <f t="shared" ca="1" si="27"/>
        <v/>
      </c>
      <c r="K54" s="761" t="str">
        <f t="shared" ca="1" si="28"/>
        <v/>
      </c>
      <c r="L54" s="760" t="str">
        <f t="shared" ca="1" si="28"/>
        <v/>
      </c>
      <c r="M54" s="741" t="str">
        <f t="shared" ca="1" si="29"/>
        <v/>
      </c>
      <c r="O54" s="1298" t="str">
        <f t="shared" ca="1" si="30"/>
        <v/>
      </c>
      <c r="P54" s="1299" t="str">
        <f t="shared" ca="1" si="31"/>
        <v/>
      </c>
      <c r="Q54" s="1300" t="str">
        <f t="shared" ca="1" si="32"/>
        <v/>
      </c>
      <c r="Z54"/>
      <c r="AA54" s="20">
        <v>23</v>
      </c>
      <c r="AB54" s="589" t="str">
        <v>ADDITIVE</v>
      </c>
      <c r="AC54" s="717">
        <f ca="1"/>
        <v>0</v>
      </c>
      <c r="AD54" s="262">
        <f ca="1"/>
        <v>0</v>
      </c>
      <c r="AE54" s="262">
        <f ca="1"/>
        <v>0</v>
      </c>
      <c r="AF54" s="262">
        <f ca="1"/>
        <v>0</v>
      </c>
      <c r="AG54" s="262">
        <f ca="1"/>
        <v>0</v>
      </c>
      <c r="AH54" s="710">
        <f ca="1"/>
        <v>0</v>
      </c>
      <c r="AI54" s="589">
        <v>0</v>
      </c>
      <c r="AJ54" s="20">
        <v>0</v>
      </c>
      <c r="AK54" s="20">
        <v>0</v>
      </c>
      <c r="AL54" s="20">
        <v>0</v>
      </c>
      <c r="AM54" s="20">
        <v>0</v>
      </c>
      <c r="AN54" s="20">
        <v>0</v>
      </c>
      <c r="AO54" s="20">
        <v>0</v>
      </c>
      <c r="AP54" s="590">
        <v>0</v>
      </c>
      <c r="AQ54" s="20" t="b">
        <f t="shared" ca="1" si="13"/>
        <v>0</v>
      </c>
      <c r="AR54" s="20" t="b">
        <f t="shared" si="14"/>
        <v>0</v>
      </c>
      <c r="AS54" s="20">
        <f t="shared" ca="1" si="17"/>
        <v>0</v>
      </c>
      <c r="AT54" s="590">
        <f t="shared" ca="1" si="19"/>
        <v>1</v>
      </c>
      <c r="AU54" s="20" t="b">
        <f t="shared" ca="1" si="15"/>
        <v>0</v>
      </c>
      <c r="AV54" s="714" t="str">
        <f t="shared" ca="1" si="16"/>
        <v/>
      </c>
      <c r="AW54" s="20">
        <f t="shared" ca="1" si="18"/>
        <v>0</v>
      </c>
      <c r="AX54" s="590">
        <f t="shared" ca="1" si="20"/>
        <v>0</v>
      </c>
    </row>
    <row r="55" spans="1:50" s="20" customFormat="1" x14ac:dyDescent="0.2">
      <c r="A55" s="1004" t="str">
        <f t="shared" ca="1" si="22"/>
        <v/>
      </c>
      <c r="B55" s="1310" t="str">
        <f t="shared" ca="1" si="22"/>
        <v/>
      </c>
      <c r="C55" s="241" t="str">
        <f t="shared" ca="1" si="23"/>
        <v/>
      </c>
      <c r="D55" s="759" t="str">
        <f t="shared" ca="1" si="24"/>
        <v/>
      </c>
      <c r="E55" s="760" t="str">
        <f t="shared" ca="1" si="24"/>
        <v/>
      </c>
      <c r="F55" s="739" t="str">
        <f t="shared" ca="1" si="25"/>
        <v/>
      </c>
      <c r="G55" s="761" t="str">
        <f t="shared" ca="1" si="26"/>
        <v/>
      </c>
      <c r="H55" s="760" t="str">
        <f t="shared" ca="1" si="26"/>
        <v/>
      </c>
      <c r="I55" s="762" t="str">
        <f t="shared" ca="1" si="26"/>
        <v/>
      </c>
      <c r="J55" s="739" t="str">
        <f t="shared" ca="1" si="27"/>
        <v/>
      </c>
      <c r="K55" s="761" t="str">
        <f t="shared" ca="1" si="28"/>
        <v/>
      </c>
      <c r="L55" s="760" t="str">
        <f t="shared" ca="1" si="28"/>
        <v/>
      </c>
      <c r="M55" s="741" t="str">
        <f t="shared" ca="1" si="29"/>
        <v/>
      </c>
      <c r="O55" s="1298" t="str">
        <f t="shared" ca="1" si="30"/>
        <v/>
      </c>
      <c r="P55" s="1299" t="str">
        <f t="shared" ca="1" si="31"/>
        <v/>
      </c>
      <c r="Q55" s="1300" t="str">
        <f t="shared" ca="1" si="32"/>
        <v/>
      </c>
      <c r="Z55"/>
      <c r="AA55" s="706">
        <v>24</v>
      </c>
      <c r="AB55" s="589" t="str">
        <v>NONCRUDE</v>
      </c>
      <c r="AC55" s="717">
        <f ca="1"/>
        <v>0</v>
      </c>
      <c r="AD55" s="262">
        <f ca="1"/>
        <v>0</v>
      </c>
      <c r="AE55" s="262">
        <f ca="1"/>
        <v>0</v>
      </c>
      <c r="AF55" s="262">
        <f ca="1"/>
        <v>0</v>
      </c>
      <c r="AG55" s="262">
        <f ca="1"/>
        <v>0</v>
      </c>
      <c r="AH55" s="710">
        <f ca="1"/>
        <v>0</v>
      </c>
      <c r="AI55" s="589">
        <v>0</v>
      </c>
      <c r="AJ55" s="20">
        <v>0</v>
      </c>
      <c r="AK55" s="20">
        <v>0</v>
      </c>
      <c r="AL55" s="20">
        <v>0</v>
      </c>
      <c r="AM55" s="20">
        <v>0</v>
      </c>
      <c r="AN55" s="20">
        <v>0</v>
      </c>
      <c r="AO55" s="20">
        <v>0</v>
      </c>
      <c r="AP55" s="590">
        <v>0</v>
      </c>
      <c r="AQ55" s="20" t="b">
        <f t="shared" ca="1" si="13"/>
        <v>0</v>
      </c>
      <c r="AR55" s="20" t="b">
        <f t="shared" si="14"/>
        <v>0</v>
      </c>
      <c r="AS55" s="20">
        <f t="shared" ca="1" si="17"/>
        <v>0</v>
      </c>
      <c r="AT55" s="590">
        <f t="shared" ca="1" si="19"/>
        <v>1</v>
      </c>
      <c r="AU55" s="20" t="b">
        <f t="shared" ca="1" si="15"/>
        <v>0</v>
      </c>
      <c r="AV55" s="714" t="str">
        <f t="shared" ca="1" si="16"/>
        <v/>
      </c>
      <c r="AW55" s="20">
        <f t="shared" ca="1" si="18"/>
        <v>0</v>
      </c>
      <c r="AX55" s="590">
        <f t="shared" ca="1" si="20"/>
        <v>0</v>
      </c>
    </row>
    <row r="56" spans="1:50" s="20" customFormat="1" x14ac:dyDescent="0.2">
      <c r="A56" s="1004" t="str">
        <f t="shared" ca="1" si="22"/>
        <v/>
      </c>
      <c r="B56" s="1310" t="str">
        <f t="shared" ca="1" si="22"/>
        <v/>
      </c>
      <c r="C56" s="241" t="str">
        <f t="shared" ca="1" si="23"/>
        <v/>
      </c>
      <c r="D56" s="759" t="str">
        <f t="shared" ca="1" si="24"/>
        <v/>
      </c>
      <c r="E56" s="760" t="str">
        <f t="shared" ca="1" si="24"/>
        <v/>
      </c>
      <c r="F56" s="739" t="str">
        <f t="shared" ca="1" si="25"/>
        <v/>
      </c>
      <c r="G56" s="761" t="str">
        <f t="shared" ca="1" si="26"/>
        <v/>
      </c>
      <c r="H56" s="760" t="str">
        <f t="shared" ca="1" si="26"/>
        <v/>
      </c>
      <c r="I56" s="762" t="str">
        <f t="shared" ca="1" si="26"/>
        <v/>
      </c>
      <c r="J56" s="739" t="str">
        <f t="shared" ca="1" si="27"/>
        <v/>
      </c>
      <c r="K56" s="761" t="str">
        <f t="shared" ca="1" si="28"/>
        <v/>
      </c>
      <c r="L56" s="760" t="str">
        <f t="shared" ca="1" si="28"/>
        <v/>
      </c>
      <c r="M56" s="741" t="str">
        <f t="shared" ca="1" si="29"/>
        <v/>
      </c>
      <c r="O56" s="1298" t="str">
        <f t="shared" ca="1" si="30"/>
        <v/>
      </c>
      <c r="P56" s="1299" t="str">
        <f t="shared" ca="1" si="31"/>
        <v/>
      </c>
      <c r="Q56" s="1300" t="str">
        <f t="shared" ca="1" si="32"/>
        <v/>
      </c>
      <c r="Z56"/>
      <c r="AA56" s="20">
        <v>25</v>
      </c>
      <c r="AB56" s="589" t="str">
        <v>REFINGAS</v>
      </c>
      <c r="AC56" s="717">
        <f ca="1"/>
        <v>0</v>
      </c>
      <c r="AD56" s="262">
        <f ca="1"/>
        <v>0</v>
      </c>
      <c r="AE56" s="262">
        <f ca="1"/>
        <v>0</v>
      </c>
      <c r="AF56" s="262">
        <f ca="1"/>
        <v>0</v>
      </c>
      <c r="AG56" s="262">
        <f ca="1"/>
        <v>0</v>
      </c>
      <c r="AH56" s="710">
        <f ca="1"/>
        <v>0</v>
      </c>
      <c r="AI56" s="589">
        <v>0</v>
      </c>
      <c r="AJ56" s="20">
        <v>0</v>
      </c>
      <c r="AK56" s="20">
        <v>0</v>
      </c>
      <c r="AL56" s="20">
        <v>0</v>
      </c>
      <c r="AM56" s="20">
        <v>0</v>
      </c>
      <c r="AN56" s="20">
        <v>0</v>
      </c>
      <c r="AO56" s="20">
        <v>0</v>
      </c>
      <c r="AP56" s="590">
        <v>0</v>
      </c>
      <c r="AQ56" s="20" t="b">
        <f t="shared" ca="1" si="13"/>
        <v>0</v>
      </c>
      <c r="AR56" s="20" t="b">
        <f t="shared" si="14"/>
        <v>0</v>
      </c>
      <c r="AS56" s="20">
        <f t="shared" ca="1" si="17"/>
        <v>0</v>
      </c>
      <c r="AT56" s="590">
        <f t="shared" ca="1" si="19"/>
        <v>1</v>
      </c>
      <c r="AU56" s="20" t="b">
        <f t="shared" ca="1" si="15"/>
        <v>0</v>
      </c>
      <c r="AV56" s="714" t="str">
        <f t="shared" ca="1" si="16"/>
        <v/>
      </c>
      <c r="AW56" s="20">
        <f t="shared" ca="1" si="18"/>
        <v>0</v>
      </c>
      <c r="AX56" s="590">
        <f t="shared" ca="1" si="20"/>
        <v>0</v>
      </c>
    </row>
    <row r="57" spans="1:50" s="20" customFormat="1" x14ac:dyDescent="0.2">
      <c r="A57" s="1004" t="str">
        <f t="shared" ca="1" si="22"/>
        <v/>
      </c>
      <c r="B57" s="1310" t="str">
        <f t="shared" ca="1" si="22"/>
        <v/>
      </c>
      <c r="C57" s="241" t="str">
        <f t="shared" ca="1" si="23"/>
        <v/>
      </c>
      <c r="D57" s="759" t="str">
        <f t="shared" ca="1" si="24"/>
        <v/>
      </c>
      <c r="E57" s="760" t="str">
        <f t="shared" ca="1" si="24"/>
        <v/>
      </c>
      <c r="F57" s="739" t="str">
        <f t="shared" ca="1" si="25"/>
        <v/>
      </c>
      <c r="G57" s="761" t="str">
        <f t="shared" ca="1" si="26"/>
        <v/>
      </c>
      <c r="H57" s="760" t="str">
        <f t="shared" ca="1" si="26"/>
        <v/>
      </c>
      <c r="I57" s="762" t="str">
        <f t="shared" ca="1" si="26"/>
        <v/>
      </c>
      <c r="J57" s="739" t="str">
        <f t="shared" ca="1" si="27"/>
        <v/>
      </c>
      <c r="K57" s="761" t="str">
        <f t="shared" ca="1" si="28"/>
        <v/>
      </c>
      <c r="L57" s="760" t="str">
        <f t="shared" ca="1" si="28"/>
        <v/>
      </c>
      <c r="M57" s="741" t="str">
        <f t="shared" ca="1" si="29"/>
        <v/>
      </c>
      <c r="O57" s="1298" t="str">
        <f t="shared" ca="1" si="30"/>
        <v/>
      </c>
      <c r="P57" s="1299" t="str">
        <f t="shared" ca="1" si="31"/>
        <v/>
      </c>
      <c r="Q57" s="1300" t="str">
        <f t="shared" ca="1" si="32"/>
        <v/>
      </c>
      <c r="Z57"/>
      <c r="AA57" s="706">
        <v>26</v>
      </c>
      <c r="AB57" s="589" t="str">
        <v>ETHANE</v>
      </c>
      <c r="AC57" s="717">
        <f ca="1"/>
        <v>0</v>
      </c>
      <c r="AD57" s="262">
        <f ca="1"/>
        <v>0</v>
      </c>
      <c r="AE57" s="262">
        <f ca="1"/>
        <v>0</v>
      </c>
      <c r="AF57" s="262">
        <f ca="1"/>
        <v>0</v>
      </c>
      <c r="AG57" s="262">
        <f ca="1"/>
        <v>0</v>
      </c>
      <c r="AH57" s="710">
        <f ca="1"/>
        <v>0</v>
      </c>
      <c r="AI57" s="589">
        <v>0</v>
      </c>
      <c r="AJ57" s="20">
        <v>0</v>
      </c>
      <c r="AK57" s="20">
        <v>0</v>
      </c>
      <c r="AL57" s="20">
        <v>0</v>
      </c>
      <c r="AM57" s="20">
        <v>0</v>
      </c>
      <c r="AN57" s="20">
        <v>0</v>
      </c>
      <c r="AO57" s="20">
        <v>0</v>
      </c>
      <c r="AP57" s="590">
        <v>0</v>
      </c>
      <c r="AQ57" s="20" t="b">
        <f t="shared" ca="1" si="13"/>
        <v>0</v>
      </c>
      <c r="AR57" s="20" t="b">
        <f t="shared" si="14"/>
        <v>0</v>
      </c>
      <c r="AS57" s="20">
        <f t="shared" ca="1" si="17"/>
        <v>0</v>
      </c>
      <c r="AT57" s="590">
        <f t="shared" ca="1" si="19"/>
        <v>1</v>
      </c>
      <c r="AU57" s="20" t="b">
        <f t="shared" ca="1" si="15"/>
        <v>0</v>
      </c>
      <c r="AV57" s="714" t="str">
        <f t="shared" ca="1" si="16"/>
        <v/>
      </c>
      <c r="AW57" s="20">
        <f t="shared" ca="1" si="18"/>
        <v>0</v>
      </c>
      <c r="AX57" s="590">
        <f t="shared" ca="1" si="20"/>
        <v>0</v>
      </c>
    </row>
    <row r="58" spans="1:50" s="20" customFormat="1" x14ac:dyDescent="0.2">
      <c r="A58" s="1004" t="str">
        <f t="shared" ca="1" si="22"/>
        <v/>
      </c>
      <c r="B58" s="1310" t="str">
        <f t="shared" ca="1" si="22"/>
        <v/>
      </c>
      <c r="C58" s="241" t="str">
        <f t="shared" ca="1" si="23"/>
        <v/>
      </c>
      <c r="D58" s="759" t="str">
        <f t="shared" ca="1" si="24"/>
        <v/>
      </c>
      <c r="E58" s="760" t="str">
        <f t="shared" ca="1" si="24"/>
        <v/>
      </c>
      <c r="F58" s="739" t="str">
        <f t="shared" ca="1" si="25"/>
        <v/>
      </c>
      <c r="G58" s="761" t="str">
        <f t="shared" ca="1" si="26"/>
        <v/>
      </c>
      <c r="H58" s="760" t="str">
        <f t="shared" ca="1" si="26"/>
        <v/>
      </c>
      <c r="I58" s="762" t="str">
        <f t="shared" ca="1" si="26"/>
        <v/>
      </c>
      <c r="J58" s="739" t="str">
        <f t="shared" ca="1" si="27"/>
        <v/>
      </c>
      <c r="K58" s="761" t="str">
        <f t="shared" ca="1" si="28"/>
        <v/>
      </c>
      <c r="L58" s="760" t="str">
        <f t="shared" ca="1" si="28"/>
        <v/>
      </c>
      <c r="M58" s="741" t="str">
        <f t="shared" ca="1" si="29"/>
        <v/>
      </c>
      <c r="O58" s="1298" t="str">
        <f t="shared" ca="1" si="30"/>
        <v/>
      </c>
      <c r="P58" s="1299" t="str">
        <f t="shared" ca="1" si="31"/>
        <v/>
      </c>
      <c r="Q58" s="1300" t="str">
        <f t="shared" ca="1" si="32"/>
        <v/>
      </c>
      <c r="Z58"/>
      <c r="AA58" s="20">
        <v>27</v>
      </c>
      <c r="AB58" s="589" t="str">
        <v>LPG</v>
      </c>
      <c r="AC58" s="717">
        <f ca="1"/>
        <v>0</v>
      </c>
      <c r="AD58" s="262">
        <f ca="1"/>
        <v>0</v>
      </c>
      <c r="AE58" s="262">
        <f ca="1"/>
        <v>0</v>
      </c>
      <c r="AF58" s="262">
        <f ca="1"/>
        <v>0</v>
      </c>
      <c r="AG58" s="262">
        <f ca="1"/>
        <v>0</v>
      </c>
      <c r="AH58" s="710">
        <f ca="1"/>
        <v>0</v>
      </c>
      <c r="AI58" s="589">
        <v>0</v>
      </c>
      <c r="AJ58" s="20">
        <v>0</v>
      </c>
      <c r="AK58" s="20">
        <v>0</v>
      </c>
      <c r="AL58" s="20">
        <v>0</v>
      </c>
      <c r="AM58" s="20">
        <v>0</v>
      </c>
      <c r="AN58" s="20">
        <v>0</v>
      </c>
      <c r="AO58" s="20">
        <v>0</v>
      </c>
      <c r="AP58" s="590">
        <v>0</v>
      </c>
      <c r="AQ58" s="20" t="b">
        <f t="shared" ca="1" si="13"/>
        <v>0</v>
      </c>
      <c r="AR58" s="20" t="b">
        <f t="shared" si="14"/>
        <v>0</v>
      </c>
      <c r="AS58" s="20">
        <f t="shared" ca="1" si="17"/>
        <v>0</v>
      </c>
      <c r="AT58" s="590">
        <f t="shared" ca="1" si="19"/>
        <v>1</v>
      </c>
      <c r="AU58" s="20" t="b">
        <f t="shared" ca="1" si="15"/>
        <v>0</v>
      </c>
      <c r="AV58" s="714" t="str">
        <f t="shared" ca="1" si="16"/>
        <v/>
      </c>
      <c r="AW58" s="20">
        <f t="shared" ca="1" si="18"/>
        <v>0</v>
      </c>
      <c r="AX58" s="590">
        <f t="shared" ca="1" si="20"/>
        <v>0</v>
      </c>
    </row>
    <row r="59" spans="1:50" s="20" customFormat="1" x14ac:dyDescent="0.2">
      <c r="A59" s="1004" t="str">
        <f t="shared" ca="1" si="22"/>
        <v/>
      </c>
      <c r="B59" s="1310" t="str">
        <f t="shared" ca="1" si="22"/>
        <v/>
      </c>
      <c r="C59" s="241" t="str">
        <f t="shared" ca="1" si="23"/>
        <v/>
      </c>
      <c r="D59" s="759" t="str">
        <f t="shared" ca="1" si="24"/>
        <v/>
      </c>
      <c r="E59" s="760" t="str">
        <f t="shared" ca="1" si="24"/>
        <v/>
      </c>
      <c r="F59" s="739" t="str">
        <f t="shared" ca="1" si="25"/>
        <v/>
      </c>
      <c r="G59" s="761" t="str">
        <f t="shared" ca="1" si="26"/>
        <v/>
      </c>
      <c r="H59" s="760" t="str">
        <f t="shared" ca="1" si="26"/>
        <v/>
      </c>
      <c r="I59" s="762" t="str">
        <f t="shared" ca="1" si="26"/>
        <v/>
      </c>
      <c r="J59" s="739" t="str">
        <f t="shared" ca="1" si="27"/>
        <v/>
      </c>
      <c r="K59" s="761" t="str">
        <f t="shared" ca="1" si="28"/>
        <v/>
      </c>
      <c r="L59" s="760" t="str">
        <f t="shared" ca="1" si="28"/>
        <v/>
      </c>
      <c r="M59" s="741" t="str">
        <f t="shared" ca="1" si="29"/>
        <v/>
      </c>
      <c r="O59" s="1298" t="str">
        <f t="shared" ca="1" si="30"/>
        <v/>
      </c>
      <c r="P59" s="1299" t="str">
        <f t="shared" ca="1" si="31"/>
        <v/>
      </c>
      <c r="Q59" s="1300" t="str">
        <f t="shared" ca="1" si="32"/>
        <v/>
      </c>
      <c r="Z59"/>
      <c r="AA59" s="706">
        <v>28</v>
      </c>
      <c r="AB59" s="589" t="str">
        <v>NONBIOGASO</v>
      </c>
      <c r="AC59" s="717">
        <f ca="1"/>
        <v>0</v>
      </c>
      <c r="AD59" s="262">
        <f ca="1"/>
        <v>0</v>
      </c>
      <c r="AE59" s="262">
        <f ca="1"/>
        <v>0</v>
      </c>
      <c r="AF59" s="262">
        <f ca="1"/>
        <v>0</v>
      </c>
      <c r="AG59" s="262">
        <f ca="1"/>
        <v>0</v>
      </c>
      <c r="AH59" s="710">
        <f ca="1"/>
        <v>0</v>
      </c>
      <c r="AI59" s="589">
        <v>0</v>
      </c>
      <c r="AJ59" s="20">
        <v>0</v>
      </c>
      <c r="AK59" s="20">
        <v>0</v>
      </c>
      <c r="AL59" s="20">
        <v>0</v>
      </c>
      <c r="AM59" s="20">
        <v>0</v>
      </c>
      <c r="AN59" s="20">
        <v>0</v>
      </c>
      <c r="AO59" s="20">
        <v>0</v>
      </c>
      <c r="AP59" s="590">
        <v>0</v>
      </c>
      <c r="AQ59" s="20" t="b">
        <f t="shared" ca="1" si="13"/>
        <v>0</v>
      </c>
      <c r="AR59" s="20" t="b">
        <f t="shared" si="14"/>
        <v>0</v>
      </c>
      <c r="AS59" s="20">
        <f t="shared" ca="1" si="17"/>
        <v>0</v>
      </c>
      <c r="AT59" s="590">
        <f t="shared" ca="1" si="19"/>
        <v>1</v>
      </c>
      <c r="AU59" s="20" t="b">
        <f t="shared" ca="1" si="15"/>
        <v>0</v>
      </c>
      <c r="AV59" s="714" t="str">
        <f t="shared" ca="1" si="16"/>
        <v/>
      </c>
      <c r="AW59" s="20">
        <f t="shared" ca="1" si="18"/>
        <v>0</v>
      </c>
      <c r="AX59" s="590">
        <f t="shared" ca="1" si="20"/>
        <v>0</v>
      </c>
    </row>
    <row r="60" spans="1:50" s="20" customFormat="1" x14ac:dyDescent="0.2">
      <c r="A60" s="1005" t="str">
        <f t="shared" ca="1" si="22"/>
        <v/>
      </c>
      <c r="B60" s="1311" t="str">
        <f t="shared" ca="1" si="22"/>
        <v/>
      </c>
      <c r="C60" s="713" t="str">
        <f t="shared" ca="1" si="23"/>
        <v/>
      </c>
      <c r="D60" s="763" t="str">
        <f t="shared" ca="1" si="24"/>
        <v/>
      </c>
      <c r="E60" s="764" t="str">
        <f t="shared" ca="1" si="24"/>
        <v/>
      </c>
      <c r="F60" s="740" t="str">
        <f t="shared" ca="1" si="25"/>
        <v/>
      </c>
      <c r="G60" s="765" t="str">
        <f t="shared" ca="1" si="26"/>
        <v/>
      </c>
      <c r="H60" s="764" t="str">
        <f t="shared" ca="1" si="26"/>
        <v/>
      </c>
      <c r="I60" s="766" t="str">
        <f t="shared" ca="1" si="26"/>
        <v/>
      </c>
      <c r="J60" s="740" t="str">
        <f t="shared" ca="1" si="27"/>
        <v/>
      </c>
      <c r="K60" s="765" t="str">
        <f t="shared" ca="1" si="28"/>
        <v/>
      </c>
      <c r="L60" s="764" t="str">
        <f t="shared" ca="1" si="28"/>
        <v/>
      </c>
      <c r="M60" s="742" t="str">
        <f t="shared" ca="1" si="29"/>
        <v/>
      </c>
      <c r="O60" s="1301" t="str">
        <f t="shared" ca="1" si="30"/>
        <v/>
      </c>
      <c r="P60" s="1302" t="str">
        <f t="shared" ca="1" si="31"/>
        <v/>
      </c>
      <c r="Q60" s="1303" t="str">
        <f t="shared" ca="1" si="32"/>
        <v/>
      </c>
      <c r="Z60"/>
      <c r="AA60" s="20">
        <v>29</v>
      </c>
      <c r="AB60" s="589" t="str">
        <v>AVGAS</v>
      </c>
      <c r="AC60" s="717">
        <f ca="1"/>
        <v>0</v>
      </c>
      <c r="AD60" s="262">
        <f ca="1"/>
        <v>0</v>
      </c>
      <c r="AE60" s="262">
        <f ca="1"/>
        <v>0</v>
      </c>
      <c r="AF60" s="262">
        <f ca="1"/>
        <v>0</v>
      </c>
      <c r="AG60" s="262">
        <f ca="1"/>
        <v>0</v>
      </c>
      <c r="AH60" s="710">
        <f ca="1"/>
        <v>0</v>
      </c>
      <c r="AI60" s="589">
        <v>0</v>
      </c>
      <c r="AJ60" s="20">
        <v>0</v>
      </c>
      <c r="AK60" s="20">
        <v>0</v>
      </c>
      <c r="AL60" s="20">
        <v>0</v>
      </c>
      <c r="AM60" s="20">
        <v>0</v>
      </c>
      <c r="AN60" s="20">
        <v>0</v>
      </c>
      <c r="AO60" s="20">
        <v>0</v>
      </c>
      <c r="AP60" s="590">
        <v>0</v>
      </c>
      <c r="AQ60" s="20" t="b">
        <f t="shared" ca="1" si="13"/>
        <v>0</v>
      </c>
      <c r="AR60" s="20" t="b">
        <f t="shared" si="14"/>
        <v>0</v>
      </c>
      <c r="AS60" s="20">
        <f t="shared" ca="1" si="17"/>
        <v>0</v>
      </c>
      <c r="AT60" s="590">
        <f t="shared" ca="1" si="19"/>
        <v>1</v>
      </c>
      <c r="AU60" s="20" t="b">
        <f t="shared" ca="1" si="15"/>
        <v>0</v>
      </c>
      <c r="AV60" s="714" t="str">
        <f t="shared" ca="1" si="16"/>
        <v/>
      </c>
      <c r="AW60" s="20">
        <f t="shared" ca="1" si="18"/>
        <v>0</v>
      </c>
      <c r="AX60" s="590">
        <f t="shared" ca="1" si="20"/>
        <v>0</v>
      </c>
    </row>
    <row r="61" spans="1:50" s="20" customFormat="1" ht="5.0999999999999996" customHeight="1" x14ac:dyDescent="0.2">
      <c r="Z61"/>
      <c r="AA61" s="706">
        <v>30</v>
      </c>
      <c r="AB61" s="589" t="str">
        <v>JETGAS</v>
      </c>
      <c r="AC61" s="717">
        <f ca="1"/>
        <v>0</v>
      </c>
      <c r="AD61" s="262">
        <f ca="1"/>
        <v>0</v>
      </c>
      <c r="AE61" s="262">
        <f ca="1"/>
        <v>0</v>
      </c>
      <c r="AF61" s="262">
        <f ca="1"/>
        <v>0</v>
      </c>
      <c r="AG61" s="262">
        <f ca="1"/>
        <v>0</v>
      </c>
      <c r="AH61" s="710">
        <f ca="1"/>
        <v>0</v>
      </c>
      <c r="AI61" s="589">
        <v>0</v>
      </c>
      <c r="AJ61" s="20">
        <v>0</v>
      </c>
      <c r="AK61" s="20">
        <v>0</v>
      </c>
      <c r="AL61" s="20">
        <v>0</v>
      </c>
      <c r="AM61" s="20">
        <v>0</v>
      </c>
      <c r="AN61" s="20">
        <v>0</v>
      </c>
      <c r="AO61" s="20">
        <v>0</v>
      </c>
      <c r="AP61" s="590">
        <v>0</v>
      </c>
      <c r="AQ61" s="20" t="b">
        <f t="shared" ca="1" si="13"/>
        <v>0</v>
      </c>
      <c r="AR61" s="20" t="b">
        <f t="shared" si="14"/>
        <v>0</v>
      </c>
      <c r="AS61" s="20">
        <f t="shared" ca="1" si="17"/>
        <v>0</v>
      </c>
      <c r="AT61" s="590">
        <f t="shared" ca="1" si="19"/>
        <v>1</v>
      </c>
      <c r="AU61" s="20" t="b">
        <f t="shared" ca="1" si="15"/>
        <v>0</v>
      </c>
      <c r="AV61" s="714" t="str">
        <f t="shared" ca="1" si="16"/>
        <v/>
      </c>
      <c r="AW61" s="20">
        <f t="shared" ca="1" si="18"/>
        <v>0</v>
      </c>
      <c r="AX61" s="590">
        <f t="shared" ca="1" si="20"/>
        <v>0</v>
      </c>
    </row>
    <row r="62" spans="1:50" s="20" customFormat="1" ht="11.25" x14ac:dyDescent="0.2">
      <c r="B62" s="777" t="str">
        <f ca="1">IF($AX$32&gt;0,HLOOKUP(LangChoice,$AB$2:$AD$20,AA17+1,FALSE),"")</f>
        <v/>
      </c>
      <c r="AA62" s="20">
        <v>31</v>
      </c>
      <c r="AB62" s="589" t="str">
        <v>NONBIOJETK</v>
      </c>
      <c r="AC62" s="717">
        <f ca="1"/>
        <v>0</v>
      </c>
      <c r="AD62" s="262">
        <f ca="1"/>
        <v>0</v>
      </c>
      <c r="AE62" s="262">
        <f ca="1"/>
        <v>0</v>
      </c>
      <c r="AF62" s="262">
        <f ca="1"/>
        <v>0</v>
      </c>
      <c r="AG62" s="262">
        <f ca="1"/>
        <v>0</v>
      </c>
      <c r="AH62" s="710">
        <f ca="1"/>
        <v>0</v>
      </c>
      <c r="AI62" s="589">
        <v>0</v>
      </c>
      <c r="AJ62" s="20">
        <v>0</v>
      </c>
      <c r="AK62" s="20">
        <v>0</v>
      </c>
      <c r="AL62" s="20">
        <v>0</v>
      </c>
      <c r="AM62" s="20">
        <v>0</v>
      </c>
      <c r="AN62" s="20">
        <v>0</v>
      </c>
      <c r="AO62" s="20">
        <v>0</v>
      </c>
      <c r="AP62" s="590">
        <v>0</v>
      </c>
      <c r="AQ62" s="20" t="b">
        <f t="shared" ca="1" si="13"/>
        <v>0</v>
      </c>
      <c r="AR62" s="20" t="b">
        <f t="shared" si="14"/>
        <v>0</v>
      </c>
      <c r="AS62" s="20">
        <f t="shared" ca="1" si="17"/>
        <v>0</v>
      </c>
      <c r="AT62" s="590">
        <f t="shared" ca="1" si="19"/>
        <v>1</v>
      </c>
      <c r="AU62" s="20" t="b">
        <f t="shared" ca="1" si="15"/>
        <v>0</v>
      </c>
      <c r="AV62" s="714" t="str">
        <f t="shared" ca="1" si="16"/>
        <v/>
      </c>
      <c r="AW62" s="20">
        <f t="shared" ca="1" si="18"/>
        <v>0</v>
      </c>
      <c r="AX62" s="590">
        <f t="shared" ca="1" si="20"/>
        <v>0</v>
      </c>
    </row>
    <row r="63" spans="1:50" s="20" customFormat="1" ht="11.25" x14ac:dyDescent="0.2">
      <c r="A63" s="259" t="str">
        <f ca="1">IF(AA32&lt;$AX$32+1,AA32,"")</f>
        <v/>
      </c>
      <c r="B63" s="241" t="str">
        <f ca="1">IFERROR(INDIRECT(C63),"")</f>
        <v/>
      </c>
      <c r="C63" s="241" t="str">
        <f ca="1">IFERROR(INDEX($AB$33:$AB$84,MATCH(A63,$AX$33:$AX$84,0),1),"")</f>
        <v/>
      </c>
      <c r="AA63" s="706">
        <v>32</v>
      </c>
      <c r="AB63" s="589" t="str">
        <v>OTHKERO</v>
      </c>
      <c r="AC63" s="717">
        <f ca="1"/>
        <v>0</v>
      </c>
      <c r="AD63" s="262">
        <f ca="1"/>
        <v>0</v>
      </c>
      <c r="AE63" s="262">
        <f ca="1"/>
        <v>0</v>
      </c>
      <c r="AF63" s="262">
        <f ca="1"/>
        <v>0</v>
      </c>
      <c r="AG63" s="262">
        <f ca="1"/>
        <v>0</v>
      </c>
      <c r="AH63" s="710">
        <f ca="1"/>
        <v>0</v>
      </c>
      <c r="AI63" s="589">
        <v>0</v>
      </c>
      <c r="AJ63" s="20">
        <v>0</v>
      </c>
      <c r="AK63" s="20">
        <v>0</v>
      </c>
      <c r="AL63" s="20">
        <v>0</v>
      </c>
      <c r="AM63" s="20">
        <v>0</v>
      </c>
      <c r="AN63" s="20">
        <v>0</v>
      </c>
      <c r="AO63" s="20">
        <v>0</v>
      </c>
      <c r="AP63" s="590">
        <v>0</v>
      </c>
      <c r="AQ63" s="20" t="b">
        <f t="shared" ca="1" si="13"/>
        <v>0</v>
      </c>
      <c r="AR63" s="20" t="b">
        <f t="shared" si="14"/>
        <v>0</v>
      </c>
      <c r="AS63" s="20">
        <f t="shared" ca="1" si="17"/>
        <v>0</v>
      </c>
      <c r="AT63" s="590">
        <f t="shared" ca="1" si="19"/>
        <v>1</v>
      </c>
      <c r="AU63" s="20" t="b">
        <f t="shared" ca="1" si="15"/>
        <v>0</v>
      </c>
      <c r="AV63" s="714" t="str">
        <f t="shared" ca="1" si="16"/>
        <v/>
      </c>
      <c r="AW63" s="20">
        <f t="shared" ca="1" si="18"/>
        <v>0</v>
      </c>
      <c r="AX63" s="590">
        <f t="shared" ca="1" si="20"/>
        <v>0</v>
      </c>
    </row>
    <row r="64" spans="1:50" s="20" customFormat="1" ht="11.25" x14ac:dyDescent="0.2">
      <c r="A64" s="259" t="str">
        <f ca="1">IF(AA33&lt;$AX$32+1,AA33,"")</f>
        <v/>
      </c>
      <c r="B64" s="241" t="str">
        <f ca="1">IFERROR(INDIRECT(C64),"")</f>
        <v/>
      </c>
      <c r="C64" s="241" t="str">
        <f ca="1">IFERROR(INDEX($AB$33:$AB$84,MATCH(A64,$AX$33:$AX$84,0),1),"")</f>
        <v/>
      </c>
      <c r="AA64" s="20">
        <v>33</v>
      </c>
      <c r="AB64" s="589" t="str">
        <v>NONBIODIES</v>
      </c>
      <c r="AC64" s="717">
        <f ca="1"/>
        <v>0</v>
      </c>
      <c r="AD64" s="262">
        <f ca="1"/>
        <v>0</v>
      </c>
      <c r="AE64" s="262">
        <f ca="1"/>
        <v>0</v>
      </c>
      <c r="AF64" s="262">
        <f ca="1"/>
        <v>0</v>
      </c>
      <c r="AG64" s="262">
        <f ca="1"/>
        <v>0</v>
      </c>
      <c r="AH64" s="710">
        <f ca="1"/>
        <v>0</v>
      </c>
      <c r="AI64" s="589">
        <v>0</v>
      </c>
      <c r="AJ64" s="20">
        <v>0</v>
      </c>
      <c r="AK64" s="20">
        <v>0</v>
      </c>
      <c r="AL64" s="20">
        <v>0</v>
      </c>
      <c r="AM64" s="20">
        <v>0</v>
      </c>
      <c r="AN64" s="20">
        <v>0</v>
      </c>
      <c r="AO64" s="20">
        <v>0</v>
      </c>
      <c r="AP64" s="590">
        <v>0</v>
      </c>
      <c r="AQ64" s="20" t="b">
        <f t="shared" ca="1" si="13"/>
        <v>0</v>
      </c>
      <c r="AR64" s="20" t="b">
        <f t="shared" si="14"/>
        <v>0</v>
      </c>
      <c r="AS64" s="20">
        <f t="shared" ca="1" si="17"/>
        <v>0</v>
      </c>
      <c r="AT64" s="590">
        <f t="shared" ca="1" si="19"/>
        <v>1</v>
      </c>
      <c r="AU64" s="20" t="b">
        <f t="shared" ca="1" si="15"/>
        <v>0</v>
      </c>
      <c r="AV64" s="714" t="str">
        <f t="shared" ca="1" si="16"/>
        <v/>
      </c>
      <c r="AW64" s="20">
        <f t="shared" ca="1" si="18"/>
        <v>0</v>
      </c>
      <c r="AX64" s="590">
        <f t="shared" ca="1" si="20"/>
        <v>0</v>
      </c>
    </row>
    <row r="65" spans="1:50" s="20" customFormat="1" ht="11.25" x14ac:dyDescent="0.2">
      <c r="A65" s="259" t="str">
        <f ca="1">IF(AA34&lt;$AX$32+1,AA34,"")</f>
        <v/>
      </c>
      <c r="B65" s="241" t="str">
        <f ca="1">IFERROR(INDIRECT(C65),"")</f>
        <v/>
      </c>
      <c r="C65" s="241" t="str">
        <f ca="1">IFERROR(INDEX($AB$33:$AB$84,MATCH(A65,$AX$33:$AX$84,0),1),"")</f>
        <v/>
      </c>
      <c r="AA65" s="706">
        <v>34</v>
      </c>
      <c r="AB65" s="589" t="str">
        <v>RESFUEL</v>
      </c>
      <c r="AC65" s="717">
        <f ca="1"/>
        <v>0</v>
      </c>
      <c r="AD65" s="262">
        <f ca="1"/>
        <v>0</v>
      </c>
      <c r="AE65" s="262">
        <f ca="1"/>
        <v>0</v>
      </c>
      <c r="AF65" s="262">
        <f ca="1"/>
        <v>0</v>
      </c>
      <c r="AG65" s="262">
        <f ca="1"/>
        <v>0</v>
      </c>
      <c r="AH65" s="710">
        <f ca="1"/>
        <v>0</v>
      </c>
      <c r="AI65" s="589">
        <v>0</v>
      </c>
      <c r="AJ65" s="20">
        <v>0</v>
      </c>
      <c r="AK65" s="20">
        <v>0</v>
      </c>
      <c r="AL65" s="20">
        <v>0</v>
      </c>
      <c r="AM65" s="20">
        <v>0</v>
      </c>
      <c r="AN65" s="20">
        <v>0</v>
      </c>
      <c r="AO65" s="20">
        <v>0</v>
      </c>
      <c r="AP65" s="590">
        <v>0</v>
      </c>
      <c r="AQ65" s="20" t="b">
        <f t="shared" ca="1" si="13"/>
        <v>0</v>
      </c>
      <c r="AR65" s="20" t="b">
        <f t="shared" si="14"/>
        <v>0</v>
      </c>
      <c r="AS65" s="20">
        <f t="shared" ca="1" si="17"/>
        <v>0</v>
      </c>
      <c r="AT65" s="590">
        <f t="shared" ca="1" si="19"/>
        <v>1</v>
      </c>
      <c r="AU65" s="20" t="b">
        <f t="shared" ca="1" si="15"/>
        <v>0</v>
      </c>
      <c r="AV65" s="714" t="str">
        <f t="shared" ca="1" si="16"/>
        <v/>
      </c>
      <c r="AW65" s="20">
        <f t="shared" ca="1" si="18"/>
        <v>0</v>
      </c>
      <c r="AX65" s="590">
        <f t="shared" ca="1" si="20"/>
        <v>0</v>
      </c>
    </row>
    <row r="66" spans="1:50" s="20" customFormat="1" ht="11.25" x14ac:dyDescent="0.2">
      <c r="A66" s="382" t="str">
        <f ca="1">IF(AA35&lt;$AX$32+1,AA35,"")</f>
        <v/>
      </c>
      <c r="B66" s="713" t="str">
        <f ca="1">IFERROR(INDIRECT(C66),"")</f>
        <v/>
      </c>
      <c r="C66" s="241" t="str">
        <f ca="1">IFERROR(INDEX($AB$33:$AB$84,MATCH(A66,$AX$33:$AX$84,0),1),"")</f>
        <v/>
      </c>
      <c r="D66" s="32"/>
      <c r="E66" s="32"/>
      <c r="F66" s="32"/>
      <c r="G66" s="32"/>
      <c r="H66" s="32"/>
      <c r="I66" s="32"/>
      <c r="J66" s="32"/>
      <c r="K66" s="32"/>
      <c r="L66" s="32"/>
      <c r="M66" s="32"/>
      <c r="AA66" s="20">
        <v>35</v>
      </c>
      <c r="AB66" s="589" t="str">
        <v>NAPHTHA</v>
      </c>
      <c r="AC66" s="717">
        <f ca="1"/>
        <v>0</v>
      </c>
      <c r="AD66" s="262">
        <f ca="1"/>
        <v>0</v>
      </c>
      <c r="AE66" s="262">
        <f ca="1"/>
        <v>0</v>
      </c>
      <c r="AF66" s="262">
        <f ca="1"/>
        <v>0</v>
      </c>
      <c r="AG66" s="262">
        <f ca="1"/>
        <v>0</v>
      </c>
      <c r="AH66" s="710">
        <f ca="1"/>
        <v>0</v>
      </c>
      <c r="AI66" s="589">
        <v>0</v>
      </c>
      <c r="AJ66" s="20">
        <v>0</v>
      </c>
      <c r="AK66" s="20">
        <v>0</v>
      </c>
      <c r="AL66" s="20">
        <v>0</v>
      </c>
      <c r="AM66" s="20">
        <v>0</v>
      </c>
      <c r="AN66" s="20">
        <v>0</v>
      </c>
      <c r="AO66" s="20">
        <v>0</v>
      </c>
      <c r="AP66" s="590">
        <v>0</v>
      </c>
      <c r="AQ66" s="20" t="b">
        <f t="shared" ca="1" si="13"/>
        <v>0</v>
      </c>
      <c r="AR66" s="20" t="b">
        <f t="shared" si="14"/>
        <v>0</v>
      </c>
      <c r="AS66" s="20">
        <f t="shared" ca="1" si="17"/>
        <v>0</v>
      </c>
      <c r="AT66" s="590">
        <f t="shared" ca="1" si="19"/>
        <v>1</v>
      </c>
      <c r="AU66" s="20" t="b">
        <f t="shared" ca="1" si="15"/>
        <v>0</v>
      </c>
      <c r="AV66" s="714" t="str">
        <f t="shared" ref="AV66:AV84" ca="1" si="33">IF(AU66=TRUE,IF((SUM(AI66:AL66)*GWh_to_ktoe+SUM(AM66:AP66)*TJ_to_ktoe)/50%&lt;1,TRUE,FALSE),"")</f>
        <v/>
      </c>
      <c r="AW66" s="20">
        <f t="shared" ca="1" si="18"/>
        <v>0</v>
      </c>
      <c r="AX66" s="590">
        <f t="shared" ca="1" si="20"/>
        <v>0</v>
      </c>
    </row>
    <row r="67" spans="1:50" s="20" customFormat="1" x14ac:dyDescent="0.2">
      <c r="A67" s="259"/>
      <c r="B67" s="241"/>
      <c r="C67" s="241"/>
      <c r="Z67"/>
      <c r="AA67" s="706">
        <v>36</v>
      </c>
      <c r="AB67" s="589" t="str">
        <v>WHITESP</v>
      </c>
      <c r="AC67" s="717">
        <f ca="1"/>
        <v>0</v>
      </c>
      <c r="AD67" s="262">
        <f ca="1"/>
        <v>0</v>
      </c>
      <c r="AE67" s="262">
        <f ca="1"/>
        <v>0</v>
      </c>
      <c r="AF67" s="262">
        <f ca="1"/>
        <v>0</v>
      </c>
      <c r="AG67" s="262">
        <f ca="1"/>
        <v>0</v>
      </c>
      <c r="AH67" s="710">
        <f ca="1"/>
        <v>0</v>
      </c>
      <c r="AI67" s="589">
        <v>0</v>
      </c>
      <c r="AJ67" s="20">
        <v>0</v>
      </c>
      <c r="AK67" s="20">
        <v>0</v>
      </c>
      <c r="AL67" s="20">
        <v>0</v>
      </c>
      <c r="AM67" s="20">
        <v>0</v>
      </c>
      <c r="AN67" s="20">
        <v>0</v>
      </c>
      <c r="AO67" s="20">
        <v>0</v>
      </c>
      <c r="AP67" s="590">
        <v>0</v>
      </c>
      <c r="AQ67" s="20" t="b">
        <f t="shared" ca="1" si="13"/>
        <v>0</v>
      </c>
      <c r="AR67" s="20" t="b">
        <f t="shared" si="14"/>
        <v>0</v>
      </c>
      <c r="AS67" s="20">
        <f t="shared" ca="1" si="17"/>
        <v>0</v>
      </c>
      <c r="AT67" s="590">
        <f t="shared" ca="1" si="19"/>
        <v>1</v>
      </c>
      <c r="AU67" s="20" t="b">
        <f t="shared" ca="1" si="15"/>
        <v>0</v>
      </c>
      <c r="AV67" s="714" t="str">
        <f t="shared" ca="1" si="33"/>
        <v/>
      </c>
      <c r="AW67" s="20">
        <f t="shared" ca="1" si="18"/>
        <v>0</v>
      </c>
      <c r="AX67" s="590">
        <f t="shared" ca="1" si="20"/>
        <v>0</v>
      </c>
    </row>
    <row r="68" spans="1:50" x14ac:dyDescent="0.2">
      <c r="A68" s="259"/>
      <c r="B68" s="20"/>
      <c r="C68" s="241"/>
      <c r="D68" s="20"/>
      <c r="E68" s="20"/>
      <c r="F68" s="20"/>
      <c r="G68" s="20"/>
      <c r="H68" s="20"/>
      <c r="I68" s="20"/>
      <c r="J68" s="20"/>
      <c r="K68" s="20"/>
      <c r="L68" s="20"/>
      <c r="M68" s="20"/>
      <c r="N68" s="20"/>
      <c r="O68" s="20"/>
      <c r="P68" s="20"/>
      <c r="Q68" s="20"/>
      <c r="AA68" s="20">
        <v>37</v>
      </c>
      <c r="AB68" s="589" t="str">
        <v>LUBRIC</v>
      </c>
      <c r="AC68" s="717">
        <f ca="1"/>
        <v>0</v>
      </c>
      <c r="AD68" s="262">
        <f ca="1"/>
        <v>0</v>
      </c>
      <c r="AE68" s="262">
        <f ca="1"/>
        <v>0</v>
      </c>
      <c r="AF68" s="262">
        <f ca="1"/>
        <v>0</v>
      </c>
      <c r="AG68" s="262">
        <f ca="1"/>
        <v>0</v>
      </c>
      <c r="AH68" s="710">
        <f ca="1"/>
        <v>0</v>
      </c>
      <c r="AI68" s="589">
        <v>0</v>
      </c>
      <c r="AJ68" s="20">
        <v>0</v>
      </c>
      <c r="AK68" s="20">
        <v>0</v>
      </c>
      <c r="AL68" s="20">
        <v>0</v>
      </c>
      <c r="AM68" s="20">
        <v>0</v>
      </c>
      <c r="AN68" s="20">
        <v>0</v>
      </c>
      <c r="AO68" s="20">
        <v>0</v>
      </c>
      <c r="AP68" s="590">
        <v>0</v>
      </c>
      <c r="AQ68" s="20" t="b">
        <f t="shared" ca="1" si="13"/>
        <v>0</v>
      </c>
      <c r="AR68" s="20" t="b">
        <f t="shared" si="14"/>
        <v>0</v>
      </c>
      <c r="AS68" s="20">
        <f t="shared" ca="1" si="17"/>
        <v>0</v>
      </c>
      <c r="AT68" s="590">
        <f t="shared" ca="1" si="19"/>
        <v>1</v>
      </c>
      <c r="AU68" s="20" t="b">
        <f t="shared" ca="1" si="15"/>
        <v>0</v>
      </c>
      <c r="AV68" s="714" t="str">
        <f t="shared" ca="1" si="33"/>
        <v/>
      </c>
      <c r="AW68" s="20">
        <f t="shared" ca="1" si="18"/>
        <v>0</v>
      </c>
      <c r="AX68" s="590">
        <f t="shared" ca="1" si="20"/>
        <v>0</v>
      </c>
    </row>
    <row r="69" spans="1:50" x14ac:dyDescent="0.2">
      <c r="AA69" s="706">
        <v>38</v>
      </c>
      <c r="AB69" s="589" t="str">
        <v>BITUMEN</v>
      </c>
      <c r="AC69" s="717">
        <f ca="1"/>
        <v>0</v>
      </c>
      <c r="AD69" s="262">
        <f ca="1"/>
        <v>0</v>
      </c>
      <c r="AE69" s="262">
        <f ca="1"/>
        <v>0</v>
      </c>
      <c r="AF69" s="262">
        <f ca="1"/>
        <v>0</v>
      </c>
      <c r="AG69" s="262">
        <f ca="1"/>
        <v>0</v>
      </c>
      <c r="AH69" s="710">
        <f ca="1"/>
        <v>0</v>
      </c>
      <c r="AI69" s="589">
        <v>0</v>
      </c>
      <c r="AJ69" s="20">
        <v>0</v>
      </c>
      <c r="AK69" s="20">
        <v>0</v>
      </c>
      <c r="AL69" s="20">
        <v>0</v>
      </c>
      <c r="AM69" s="20">
        <v>0</v>
      </c>
      <c r="AN69" s="20">
        <v>0</v>
      </c>
      <c r="AO69" s="20">
        <v>0</v>
      </c>
      <c r="AP69" s="590">
        <v>0</v>
      </c>
      <c r="AQ69" s="20" t="b">
        <f t="shared" ca="1" si="13"/>
        <v>0</v>
      </c>
      <c r="AR69" s="20" t="b">
        <f t="shared" si="14"/>
        <v>0</v>
      </c>
      <c r="AS69" s="20">
        <f t="shared" ca="1" si="17"/>
        <v>0</v>
      </c>
      <c r="AT69" s="590">
        <f t="shared" ca="1" si="19"/>
        <v>1</v>
      </c>
      <c r="AU69" s="20" t="b">
        <f t="shared" ca="1" si="15"/>
        <v>0</v>
      </c>
      <c r="AV69" s="714" t="str">
        <f t="shared" ca="1" si="33"/>
        <v/>
      </c>
      <c r="AW69" s="20">
        <f t="shared" ca="1" si="18"/>
        <v>0</v>
      </c>
      <c r="AX69" s="590">
        <f t="shared" ca="1" si="20"/>
        <v>0</v>
      </c>
    </row>
    <row r="70" spans="1:50" x14ac:dyDescent="0.2">
      <c r="AA70" s="20">
        <v>39</v>
      </c>
      <c r="AB70" s="589" t="str">
        <v>PARWAX</v>
      </c>
      <c r="AC70" s="717">
        <f ca="1"/>
        <v>0</v>
      </c>
      <c r="AD70" s="262">
        <f ca="1"/>
        <v>0</v>
      </c>
      <c r="AE70" s="262">
        <f ca="1"/>
        <v>0</v>
      </c>
      <c r="AF70" s="262">
        <f ca="1"/>
        <v>0</v>
      </c>
      <c r="AG70" s="262">
        <f ca="1"/>
        <v>0</v>
      </c>
      <c r="AH70" s="710">
        <f ca="1"/>
        <v>0</v>
      </c>
      <c r="AI70" s="589">
        <v>0</v>
      </c>
      <c r="AJ70" s="20">
        <v>0</v>
      </c>
      <c r="AK70" s="20">
        <v>0</v>
      </c>
      <c r="AL70" s="20">
        <v>0</v>
      </c>
      <c r="AM70" s="20">
        <v>0</v>
      </c>
      <c r="AN70" s="20">
        <v>0</v>
      </c>
      <c r="AO70" s="20">
        <v>0</v>
      </c>
      <c r="AP70" s="590">
        <v>0</v>
      </c>
      <c r="AQ70" s="20" t="b">
        <f t="shared" ca="1" si="13"/>
        <v>0</v>
      </c>
      <c r="AR70" s="20" t="b">
        <f t="shared" si="14"/>
        <v>0</v>
      </c>
      <c r="AS70" s="20">
        <f t="shared" ca="1" si="17"/>
        <v>0</v>
      </c>
      <c r="AT70" s="590">
        <f t="shared" ca="1" si="19"/>
        <v>1</v>
      </c>
      <c r="AU70" s="20" t="b">
        <f t="shared" ca="1" si="15"/>
        <v>0</v>
      </c>
      <c r="AV70" s="714" t="str">
        <f t="shared" ca="1" si="33"/>
        <v/>
      </c>
      <c r="AW70" s="20">
        <f t="shared" ca="1" si="18"/>
        <v>0</v>
      </c>
      <c r="AX70" s="590">
        <f t="shared" ca="1" si="20"/>
        <v>0</v>
      </c>
    </row>
    <row r="71" spans="1:50" x14ac:dyDescent="0.2">
      <c r="AA71" s="706">
        <v>40</v>
      </c>
      <c r="AB71" s="589" t="str">
        <v>PETCOKE</v>
      </c>
      <c r="AC71" s="717">
        <f ca="1"/>
        <v>0</v>
      </c>
      <c r="AD71" s="262">
        <f ca="1"/>
        <v>0</v>
      </c>
      <c r="AE71" s="262">
        <f ca="1"/>
        <v>0</v>
      </c>
      <c r="AF71" s="262">
        <f ca="1"/>
        <v>0</v>
      </c>
      <c r="AG71" s="262">
        <f ca="1"/>
        <v>0</v>
      </c>
      <c r="AH71" s="710">
        <f ca="1"/>
        <v>0</v>
      </c>
      <c r="AI71" s="589">
        <v>0</v>
      </c>
      <c r="AJ71" s="20">
        <v>0</v>
      </c>
      <c r="AK71" s="20">
        <v>0</v>
      </c>
      <c r="AL71" s="20">
        <v>0</v>
      </c>
      <c r="AM71" s="20">
        <v>0</v>
      </c>
      <c r="AN71" s="20">
        <v>0</v>
      </c>
      <c r="AO71" s="20">
        <v>0</v>
      </c>
      <c r="AP71" s="590">
        <v>0</v>
      </c>
      <c r="AQ71" s="20" t="b">
        <f t="shared" ca="1" si="13"/>
        <v>0</v>
      </c>
      <c r="AR71" s="20" t="b">
        <f t="shared" si="14"/>
        <v>0</v>
      </c>
      <c r="AS71" s="20">
        <f t="shared" ca="1" si="17"/>
        <v>0</v>
      </c>
      <c r="AT71" s="590">
        <f t="shared" ca="1" si="19"/>
        <v>1</v>
      </c>
      <c r="AU71" s="20" t="b">
        <f t="shared" ca="1" si="15"/>
        <v>0</v>
      </c>
      <c r="AV71" s="714" t="str">
        <f t="shared" ca="1" si="33"/>
        <v/>
      </c>
      <c r="AW71" s="20">
        <f t="shared" ca="1" si="18"/>
        <v>0</v>
      </c>
      <c r="AX71" s="590">
        <f t="shared" ca="1" si="20"/>
        <v>0</v>
      </c>
    </row>
    <row r="72" spans="1:50" x14ac:dyDescent="0.2">
      <c r="AA72" s="20">
        <v>41</v>
      </c>
      <c r="AB72" s="589" t="str">
        <v>ONONSPEC</v>
      </c>
      <c r="AC72" s="717">
        <f ca="1"/>
        <v>0</v>
      </c>
      <c r="AD72" s="262">
        <f ca="1"/>
        <v>0</v>
      </c>
      <c r="AE72" s="262">
        <f ca="1"/>
        <v>0</v>
      </c>
      <c r="AF72" s="262">
        <f ca="1"/>
        <v>0</v>
      </c>
      <c r="AG72" s="262">
        <f ca="1"/>
        <v>0</v>
      </c>
      <c r="AH72" s="710">
        <f ca="1"/>
        <v>0</v>
      </c>
      <c r="AI72" s="589">
        <v>0</v>
      </c>
      <c r="AJ72" s="20">
        <v>0</v>
      </c>
      <c r="AK72" s="20">
        <v>0</v>
      </c>
      <c r="AL72" s="20">
        <v>0</v>
      </c>
      <c r="AM72" s="20">
        <v>0</v>
      </c>
      <c r="AN72" s="20">
        <v>0</v>
      </c>
      <c r="AO72" s="20">
        <v>0</v>
      </c>
      <c r="AP72" s="590">
        <v>0</v>
      </c>
      <c r="AQ72" s="20" t="b">
        <f t="shared" ca="1" si="13"/>
        <v>0</v>
      </c>
      <c r="AR72" s="20" t="b">
        <f t="shared" si="14"/>
        <v>0</v>
      </c>
      <c r="AS72" s="20">
        <f t="shared" ca="1" si="17"/>
        <v>0</v>
      </c>
      <c r="AT72" s="590">
        <f t="shared" ca="1" si="19"/>
        <v>1</v>
      </c>
      <c r="AU72" s="20" t="b">
        <f t="shared" ca="1" si="15"/>
        <v>0</v>
      </c>
      <c r="AV72" s="714" t="str">
        <f t="shared" ca="1" si="33"/>
        <v/>
      </c>
      <c r="AW72" s="20">
        <f t="shared" ca="1" si="18"/>
        <v>0</v>
      </c>
      <c r="AX72" s="590">
        <f t="shared" ca="1" si="20"/>
        <v>0</v>
      </c>
    </row>
    <row r="73" spans="1:50" x14ac:dyDescent="0.2">
      <c r="AA73" s="706">
        <v>42</v>
      </c>
      <c r="AB73" s="589" t="str">
        <v>NATGAS</v>
      </c>
      <c r="AC73" s="717">
        <f ca="1"/>
        <v>0</v>
      </c>
      <c r="AD73" s="262">
        <f ca="1"/>
        <v>0</v>
      </c>
      <c r="AE73" s="262">
        <f ca="1"/>
        <v>0</v>
      </c>
      <c r="AF73" s="262">
        <f ca="1"/>
        <v>0</v>
      </c>
      <c r="AG73" s="262">
        <f ca="1"/>
        <v>0</v>
      </c>
      <c r="AH73" s="710">
        <f ca="1"/>
        <v>0</v>
      </c>
      <c r="AI73" s="589">
        <v>0</v>
      </c>
      <c r="AJ73" s="20">
        <v>0</v>
      </c>
      <c r="AK73" s="20">
        <v>0</v>
      </c>
      <c r="AL73" s="20">
        <v>0</v>
      </c>
      <c r="AM73" s="20">
        <v>0</v>
      </c>
      <c r="AN73" s="20">
        <v>0</v>
      </c>
      <c r="AO73" s="20">
        <v>0</v>
      </c>
      <c r="AP73" s="590">
        <v>0</v>
      </c>
      <c r="AQ73" s="20" t="b">
        <f t="shared" ca="1" si="13"/>
        <v>0</v>
      </c>
      <c r="AR73" s="20" t="b">
        <f t="shared" si="14"/>
        <v>0</v>
      </c>
      <c r="AS73" s="20">
        <f t="shared" ca="1" si="17"/>
        <v>0</v>
      </c>
      <c r="AT73" s="590">
        <f t="shared" ca="1" si="19"/>
        <v>1</v>
      </c>
      <c r="AU73" s="20" t="b">
        <f t="shared" ca="1" si="15"/>
        <v>0</v>
      </c>
      <c r="AV73" s="714" t="str">
        <f t="shared" ca="1" si="33"/>
        <v/>
      </c>
      <c r="AW73" s="20">
        <f t="shared" ca="1" si="18"/>
        <v>0</v>
      </c>
      <c r="AX73" s="590">
        <f t="shared" ca="1" si="20"/>
        <v>0</v>
      </c>
    </row>
    <row r="74" spans="1:50" x14ac:dyDescent="0.2">
      <c r="AA74" s="20">
        <v>43</v>
      </c>
      <c r="AB74" s="589" t="str">
        <v>INDWASTE</v>
      </c>
      <c r="AC74" s="717">
        <v>0</v>
      </c>
      <c r="AD74" s="262">
        <v>0</v>
      </c>
      <c r="AE74" s="262">
        <v>0</v>
      </c>
      <c r="AF74" s="262">
        <v>0</v>
      </c>
      <c r="AG74" s="262">
        <v>0</v>
      </c>
      <c r="AH74" s="710">
        <v>0</v>
      </c>
      <c r="AI74" s="589">
        <v>0</v>
      </c>
      <c r="AJ74" s="20">
        <v>0</v>
      </c>
      <c r="AK74" s="20">
        <v>0</v>
      </c>
      <c r="AL74" s="20">
        <v>0</v>
      </c>
      <c r="AM74" s="20">
        <v>0</v>
      </c>
      <c r="AN74" s="20">
        <v>0</v>
      </c>
      <c r="AO74" s="20">
        <v>0</v>
      </c>
      <c r="AP74" s="590">
        <v>0</v>
      </c>
      <c r="AQ74" s="20" t="b">
        <f t="shared" si="13"/>
        <v>0</v>
      </c>
      <c r="AR74" s="20" t="b">
        <f t="shared" si="14"/>
        <v>0</v>
      </c>
      <c r="AS74" s="20">
        <f t="shared" si="17"/>
        <v>0</v>
      </c>
      <c r="AT74" s="590">
        <f t="shared" ca="1" si="19"/>
        <v>1</v>
      </c>
      <c r="AU74" s="20" t="b">
        <f t="shared" si="15"/>
        <v>0</v>
      </c>
      <c r="AV74" s="714" t="str">
        <f t="shared" si="33"/>
        <v/>
      </c>
      <c r="AW74" s="20">
        <f t="shared" si="18"/>
        <v>0</v>
      </c>
      <c r="AX74" s="590">
        <f t="shared" ca="1" si="20"/>
        <v>0</v>
      </c>
    </row>
    <row r="75" spans="1:50" x14ac:dyDescent="0.2">
      <c r="AA75" s="706">
        <v>44</v>
      </c>
      <c r="AB75" s="589" t="str">
        <v>MUNWASTER</v>
      </c>
      <c r="AC75" s="717">
        <v>0</v>
      </c>
      <c r="AD75" s="262">
        <v>0</v>
      </c>
      <c r="AE75" s="262">
        <v>0</v>
      </c>
      <c r="AF75" s="262">
        <v>0</v>
      </c>
      <c r="AG75" s="262">
        <v>0</v>
      </c>
      <c r="AH75" s="710">
        <v>0</v>
      </c>
      <c r="AI75" s="589">
        <v>0</v>
      </c>
      <c r="AJ75" s="20">
        <v>0</v>
      </c>
      <c r="AK75" s="20">
        <v>0</v>
      </c>
      <c r="AL75" s="20">
        <v>0</v>
      </c>
      <c r="AM75" s="20">
        <v>0</v>
      </c>
      <c r="AN75" s="20">
        <v>0</v>
      </c>
      <c r="AO75" s="20">
        <v>0</v>
      </c>
      <c r="AP75" s="590">
        <v>0</v>
      </c>
      <c r="AQ75" s="20" t="b">
        <f t="shared" si="13"/>
        <v>0</v>
      </c>
      <c r="AR75" s="20" t="b">
        <f t="shared" si="14"/>
        <v>0</v>
      </c>
      <c r="AS75" s="20">
        <f t="shared" si="17"/>
        <v>0</v>
      </c>
      <c r="AT75" s="590">
        <f t="shared" ca="1" si="19"/>
        <v>1</v>
      </c>
      <c r="AU75" s="20" t="b">
        <f t="shared" si="15"/>
        <v>0</v>
      </c>
      <c r="AV75" s="714" t="str">
        <f t="shared" si="33"/>
        <v/>
      </c>
      <c r="AW75" s="20">
        <f t="shared" si="18"/>
        <v>0</v>
      </c>
      <c r="AX75" s="590">
        <f t="shared" ca="1" si="20"/>
        <v>0</v>
      </c>
    </row>
    <row r="76" spans="1:50" x14ac:dyDescent="0.2">
      <c r="AA76" s="20">
        <v>45</v>
      </c>
      <c r="AB76" s="589" t="str">
        <v>MUNWASTEN</v>
      </c>
      <c r="AC76" s="717">
        <v>0</v>
      </c>
      <c r="AD76" s="262">
        <v>0</v>
      </c>
      <c r="AE76" s="262">
        <v>0</v>
      </c>
      <c r="AF76" s="262">
        <v>0</v>
      </c>
      <c r="AG76" s="262">
        <v>0</v>
      </c>
      <c r="AH76" s="710">
        <v>0</v>
      </c>
      <c r="AI76" s="589">
        <v>0</v>
      </c>
      <c r="AJ76" s="20">
        <v>0</v>
      </c>
      <c r="AK76" s="20">
        <v>0</v>
      </c>
      <c r="AL76" s="20">
        <v>0</v>
      </c>
      <c r="AM76" s="20">
        <v>0</v>
      </c>
      <c r="AN76" s="20">
        <v>0</v>
      </c>
      <c r="AO76" s="20">
        <v>0</v>
      </c>
      <c r="AP76" s="590">
        <v>0</v>
      </c>
      <c r="AQ76" s="20" t="b">
        <f t="shared" si="13"/>
        <v>0</v>
      </c>
      <c r="AR76" s="20" t="b">
        <f t="shared" si="14"/>
        <v>0</v>
      </c>
      <c r="AS76" s="20">
        <f t="shared" si="17"/>
        <v>0</v>
      </c>
      <c r="AT76" s="590">
        <f t="shared" ca="1" si="19"/>
        <v>1</v>
      </c>
      <c r="AU76" s="20" t="b">
        <f t="shared" si="15"/>
        <v>0</v>
      </c>
      <c r="AV76" s="714" t="str">
        <f t="shared" si="33"/>
        <v/>
      </c>
      <c r="AW76" s="20">
        <f t="shared" si="18"/>
        <v>0</v>
      </c>
      <c r="AX76" s="590">
        <f t="shared" ca="1" si="20"/>
        <v>0</v>
      </c>
    </row>
    <row r="77" spans="1:50" x14ac:dyDescent="0.2">
      <c r="AA77" s="706">
        <v>46</v>
      </c>
      <c r="AB77" s="589" t="str">
        <v>PRIMSBIO</v>
      </c>
      <c r="AC77" s="717">
        <v>0</v>
      </c>
      <c r="AD77" s="262">
        <v>-4295.21</v>
      </c>
      <c r="AE77" s="262">
        <v>0</v>
      </c>
      <c r="AF77" s="262">
        <v>0</v>
      </c>
      <c r="AG77" s="262">
        <v>0</v>
      </c>
      <c r="AH77" s="710">
        <v>0</v>
      </c>
      <c r="AI77" s="589">
        <v>0</v>
      </c>
      <c r="AJ77" s="20">
        <v>309.06</v>
      </c>
      <c r="AK77" s="20">
        <v>0</v>
      </c>
      <c r="AL77" s="20">
        <v>0</v>
      </c>
      <c r="AM77" s="20">
        <v>0</v>
      </c>
      <c r="AN77" s="20">
        <v>0</v>
      </c>
      <c r="AO77" s="20">
        <v>0</v>
      </c>
      <c r="AP77" s="590">
        <v>0</v>
      </c>
      <c r="AQ77" s="20" t="b">
        <f t="shared" si="13"/>
        <v>1</v>
      </c>
      <c r="AR77" s="20" t="b">
        <f t="shared" si="14"/>
        <v>1</v>
      </c>
      <c r="AS77" s="20">
        <f t="shared" si="17"/>
        <v>1</v>
      </c>
      <c r="AT77" s="590">
        <f t="shared" ca="1" si="19"/>
        <v>2</v>
      </c>
      <c r="AU77" s="20" t="b">
        <f t="shared" si="15"/>
        <v>0</v>
      </c>
      <c r="AV77" s="714" t="str">
        <f t="shared" si="33"/>
        <v/>
      </c>
      <c r="AW77" s="20">
        <f t="shared" si="18"/>
        <v>0</v>
      </c>
      <c r="AX77" s="590">
        <f t="shared" ca="1" si="20"/>
        <v>0</v>
      </c>
    </row>
    <row r="78" spans="1:50" x14ac:dyDescent="0.2">
      <c r="AA78" s="20">
        <v>47</v>
      </c>
      <c r="AB78" s="589" t="str">
        <v>BIOGASES</v>
      </c>
      <c r="AC78" s="717">
        <v>0</v>
      </c>
      <c r="AD78" s="262">
        <v>0</v>
      </c>
      <c r="AE78" s="262">
        <v>0</v>
      </c>
      <c r="AF78" s="262">
        <v>0</v>
      </c>
      <c r="AG78" s="262">
        <v>0</v>
      </c>
      <c r="AH78" s="710">
        <v>0</v>
      </c>
      <c r="AI78" s="589">
        <v>0</v>
      </c>
      <c r="AJ78" s="20">
        <v>0</v>
      </c>
      <c r="AK78" s="20">
        <v>0</v>
      </c>
      <c r="AL78" s="20">
        <v>0</v>
      </c>
      <c r="AM78" s="20">
        <v>0</v>
      </c>
      <c r="AN78" s="20">
        <v>0</v>
      </c>
      <c r="AO78" s="20">
        <v>0</v>
      </c>
      <c r="AP78" s="590">
        <v>0</v>
      </c>
      <c r="AQ78" s="20" t="b">
        <f t="shared" si="13"/>
        <v>0</v>
      </c>
      <c r="AR78" s="20" t="b">
        <f t="shared" si="14"/>
        <v>0</v>
      </c>
      <c r="AS78" s="20">
        <f t="shared" si="17"/>
        <v>0</v>
      </c>
      <c r="AT78" s="590">
        <f t="shared" ca="1" si="19"/>
        <v>2</v>
      </c>
      <c r="AU78" s="20" t="b">
        <f t="shared" si="15"/>
        <v>0</v>
      </c>
      <c r="AV78" s="714" t="str">
        <f t="shared" si="33"/>
        <v/>
      </c>
      <c r="AW78" s="20">
        <f t="shared" si="18"/>
        <v>0</v>
      </c>
      <c r="AX78" s="590">
        <f t="shared" ca="1" si="20"/>
        <v>0</v>
      </c>
    </row>
    <row r="79" spans="1:50" x14ac:dyDescent="0.2">
      <c r="AA79" s="706">
        <v>48</v>
      </c>
      <c r="AB79" s="589" t="str">
        <v>BIOGASOL</v>
      </c>
      <c r="AC79" s="717">
        <f ca="1"/>
        <v>0</v>
      </c>
      <c r="AD79" s="262">
        <f ca="1"/>
        <v>0</v>
      </c>
      <c r="AE79" s="262">
        <f ca="1"/>
        <v>0</v>
      </c>
      <c r="AF79" s="262">
        <f ca="1"/>
        <v>0</v>
      </c>
      <c r="AG79" s="262">
        <f ca="1"/>
        <v>0</v>
      </c>
      <c r="AH79" s="710">
        <f ca="1"/>
        <v>0</v>
      </c>
      <c r="AI79" s="589">
        <v>0</v>
      </c>
      <c r="AJ79" s="20">
        <v>0</v>
      </c>
      <c r="AK79" s="20">
        <v>0</v>
      </c>
      <c r="AL79" s="20">
        <v>0</v>
      </c>
      <c r="AM79" s="20">
        <v>0</v>
      </c>
      <c r="AN79" s="20">
        <v>0</v>
      </c>
      <c r="AO79" s="20">
        <v>0</v>
      </c>
      <c r="AP79" s="590">
        <v>0</v>
      </c>
      <c r="AQ79" s="20" t="b">
        <f t="shared" ca="1" si="13"/>
        <v>0</v>
      </c>
      <c r="AR79" s="20" t="b">
        <f t="shared" si="14"/>
        <v>0</v>
      </c>
      <c r="AS79" s="20">
        <f t="shared" ca="1" si="17"/>
        <v>0</v>
      </c>
      <c r="AT79" s="590">
        <f t="shared" ca="1" si="19"/>
        <v>2</v>
      </c>
      <c r="AU79" s="20" t="b">
        <f t="shared" ca="1" si="15"/>
        <v>0</v>
      </c>
      <c r="AV79" s="714" t="str">
        <f t="shared" ca="1" si="33"/>
        <v/>
      </c>
      <c r="AW79" s="20">
        <f t="shared" ca="1" si="18"/>
        <v>0</v>
      </c>
      <c r="AX79" s="590">
        <f t="shared" ca="1" si="20"/>
        <v>0</v>
      </c>
    </row>
    <row r="80" spans="1:50" x14ac:dyDescent="0.2">
      <c r="AA80" s="20">
        <v>49</v>
      </c>
      <c r="AB80" s="589" t="str">
        <v>BIOJETKERO</v>
      </c>
      <c r="AC80" s="717">
        <f ca="1"/>
        <v>0</v>
      </c>
      <c r="AD80" s="262">
        <f ca="1"/>
        <v>0</v>
      </c>
      <c r="AE80" s="262">
        <f ca="1"/>
        <v>0</v>
      </c>
      <c r="AF80" s="262">
        <f ca="1"/>
        <v>0</v>
      </c>
      <c r="AG80" s="262">
        <f ca="1"/>
        <v>0</v>
      </c>
      <c r="AH80" s="710">
        <f ca="1"/>
        <v>0</v>
      </c>
      <c r="AI80" s="589">
        <v>0</v>
      </c>
      <c r="AJ80" s="20">
        <v>0</v>
      </c>
      <c r="AK80" s="20">
        <v>0</v>
      </c>
      <c r="AL80" s="20">
        <v>0</v>
      </c>
      <c r="AM80" s="20">
        <v>0</v>
      </c>
      <c r="AN80" s="20">
        <v>0</v>
      </c>
      <c r="AO80" s="20">
        <v>0</v>
      </c>
      <c r="AP80" s="590">
        <v>0</v>
      </c>
      <c r="AQ80" s="20" t="b">
        <f t="shared" ca="1" si="13"/>
        <v>0</v>
      </c>
      <c r="AR80" s="20" t="b">
        <f t="shared" si="14"/>
        <v>0</v>
      </c>
      <c r="AS80" s="20">
        <f t="shared" ca="1" si="17"/>
        <v>0</v>
      </c>
      <c r="AT80" s="590">
        <f t="shared" ca="1" si="19"/>
        <v>2</v>
      </c>
      <c r="AU80" s="20" t="b">
        <f t="shared" ca="1" si="15"/>
        <v>0</v>
      </c>
      <c r="AV80" s="714" t="str">
        <f t="shared" ca="1" si="33"/>
        <v/>
      </c>
      <c r="AW80" s="20">
        <f t="shared" ca="1" si="18"/>
        <v>0</v>
      </c>
      <c r="AX80" s="590">
        <f t="shared" ca="1" si="20"/>
        <v>0</v>
      </c>
    </row>
    <row r="81" spans="27:50" x14ac:dyDescent="0.2">
      <c r="AA81" s="706">
        <v>50</v>
      </c>
      <c r="AB81" s="589" t="str">
        <v>BIODIESEL</v>
      </c>
      <c r="AC81" s="717">
        <f ca="1"/>
        <v>0</v>
      </c>
      <c r="AD81" s="262">
        <f ca="1"/>
        <v>0</v>
      </c>
      <c r="AE81" s="262">
        <f ca="1"/>
        <v>0</v>
      </c>
      <c r="AF81" s="262">
        <f ca="1"/>
        <v>0</v>
      </c>
      <c r="AG81" s="262">
        <f ca="1"/>
        <v>0</v>
      </c>
      <c r="AH81" s="710">
        <f ca="1"/>
        <v>0</v>
      </c>
      <c r="AI81" s="589">
        <v>0</v>
      </c>
      <c r="AJ81" s="20">
        <v>0</v>
      </c>
      <c r="AK81" s="20">
        <v>0</v>
      </c>
      <c r="AL81" s="20">
        <v>0</v>
      </c>
      <c r="AM81" s="20">
        <v>0</v>
      </c>
      <c r="AN81" s="20">
        <v>0</v>
      </c>
      <c r="AO81" s="20">
        <v>0</v>
      </c>
      <c r="AP81" s="590">
        <v>0</v>
      </c>
      <c r="AQ81" s="20" t="b">
        <f t="shared" ca="1" si="13"/>
        <v>0</v>
      </c>
      <c r="AR81" s="20" t="b">
        <f t="shared" si="14"/>
        <v>0</v>
      </c>
      <c r="AS81" s="20">
        <f t="shared" ca="1" si="17"/>
        <v>0</v>
      </c>
      <c r="AT81" s="590">
        <f t="shared" ca="1" si="19"/>
        <v>2</v>
      </c>
      <c r="AU81" s="20" t="b">
        <f t="shared" ca="1" si="15"/>
        <v>0</v>
      </c>
      <c r="AV81" s="714" t="str">
        <f t="shared" ca="1" si="33"/>
        <v/>
      </c>
      <c r="AW81" s="20">
        <f t="shared" ca="1" si="18"/>
        <v>0</v>
      </c>
      <c r="AX81" s="590">
        <f t="shared" ca="1" si="20"/>
        <v>0</v>
      </c>
    </row>
    <row r="82" spans="27:50" x14ac:dyDescent="0.2">
      <c r="AA82" s="20">
        <v>51</v>
      </c>
      <c r="AB82" s="589" t="str">
        <v>OBIOLIQ</v>
      </c>
      <c r="AC82" s="717">
        <f ca="1"/>
        <v>0</v>
      </c>
      <c r="AD82" s="262">
        <f ca="1"/>
        <v>0</v>
      </c>
      <c r="AE82" s="262">
        <f ca="1"/>
        <v>0</v>
      </c>
      <c r="AF82" s="262">
        <f ca="1"/>
        <v>0</v>
      </c>
      <c r="AG82" s="262">
        <f ca="1"/>
        <v>0</v>
      </c>
      <c r="AH82" s="710">
        <f ca="1"/>
        <v>0</v>
      </c>
      <c r="AI82" s="589">
        <v>0</v>
      </c>
      <c r="AJ82" s="20">
        <v>0</v>
      </c>
      <c r="AK82" s="20">
        <v>0</v>
      </c>
      <c r="AL82" s="20">
        <v>0</v>
      </c>
      <c r="AM82" s="20">
        <v>0</v>
      </c>
      <c r="AN82" s="20">
        <v>0</v>
      </c>
      <c r="AO82" s="20">
        <v>0</v>
      </c>
      <c r="AP82" s="590">
        <v>0</v>
      </c>
      <c r="AQ82" s="20" t="b">
        <f t="shared" ca="1" si="13"/>
        <v>0</v>
      </c>
      <c r="AR82" s="20" t="b">
        <f t="shared" si="14"/>
        <v>0</v>
      </c>
      <c r="AS82" s="20">
        <f t="shared" ca="1" si="17"/>
        <v>0</v>
      </c>
      <c r="AT82" s="590">
        <f t="shared" ca="1" si="19"/>
        <v>2</v>
      </c>
      <c r="AU82" s="20" t="b">
        <f t="shared" ca="1" si="15"/>
        <v>0</v>
      </c>
      <c r="AV82" s="714" t="str">
        <f t="shared" ca="1" si="33"/>
        <v/>
      </c>
      <c r="AW82" s="20">
        <f t="shared" ca="1" si="18"/>
        <v>0</v>
      </c>
      <c r="AX82" s="590">
        <f t="shared" ca="1" si="20"/>
        <v>0</v>
      </c>
    </row>
    <row r="83" spans="27:50" x14ac:dyDescent="0.2">
      <c r="AA83" s="706">
        <v>52</v>
      </c>
      <c r="AB83" s="589" t="str">
        <v>RENEWNS</v>
      </c>
      <c r="AC83" s="717">
        <v>0</v>
      </c>
      <c r="AD83" s="262">
        <v>0</v>
      </c>
      <c r="AE83" s="262">
        <v>0</v>
      </c>
      <c r="AF83" s="262">
        <v>0</v>
      </c>
      <c r="AG83" s="262">
        <v>0</v>
      </c>
      <c r="AH83" s="710">
        <v>0</v>
      </c>
      <c r="AI83" s="589">
        <v>0</v>
      </c>
      <c r="AJ83" s="20">
        <v>0</v>
      </c>
      <c r="AK83" s="20">
        <v>0</v>
      </c>
      <c r="AL83" s="20">
        <v>0</v>
      </c>
      <c r="AM83" s="20">
        <v>0</v>
      </c>
      <c r="AN83" s="20">
        <v>0</v>
      </c>
      <c r="AO83" s="20">
        <v>0</v>
      </c>
      <c r="AP83" s="590">
        <v>0</v>
      </c>
      <c r="AQ83" s="20" t="b">
        <f t="shared" si="13"/>
        <v>0</v>
      </c>
      <c r="AR83" s="20" t="b">
        <f t="shared" si="14"/>
        <v>0</v>
      </c>
      <c r="AS83" s="20">
        <f t="shared" si="17"/>
        <v>0</v>
      </c>
      <c r="AT83" s="590">
        <f t="shared" ca="1" si="19"/>
        <v>2</v>
      </c>
      <c r="AU83" s="20" t="b">
        <f t="shared" si="15"/>
        <v>0</v>
      </c>
      <c r="AV83" s="714" t="str">
        <f t="shared" si="33"/>
        <v/>
      </c>
      <c r="AW83" s="20">
        <f t="shared" si="18"/>
        <v>0</v>
      </c>
      <c r="AX83" s="590">
        <f t="shared" ca="1" si="20"/>
        <v>0</v>
      </c>
    </row>
    <row r="84" spans="27:50" x14ac:dyDescent="0.2">
      <c r="AA84" s="20">
        <v>53</v>
      </c>
      <c r="AB84" s="703" t="str">
        <v>CHARCOAL</v>
      </c>
      <c r="AC84" s="718">
        <f ca="1"/>
        <v>0</v>
      </c>
      <c r="AD84" s="711">
        <f ca="1"/>
        <v>0</v>
      </c>
      <c r="AE84" s="711">
        <f ca="1"/>
        <v>0</v>
      </c>
      <c r="AF84" s="711">
        <f ca="1"/>
        <v>0</v>
      </c>
      <c r="AG84" s="711">
        <f ca="1"/>
        <v>0</v>
      </c>
      <c r="AH84" s="712">
        <f ca="1"/>
        <v>0</v>
      </c>
      <c r="AI84" s="703">
        <v>0</v>
      </c>
      <c r="AJ84" s="32">
        <v>0</v>
      </c>
      <c r="AK84" s="32">
        <v>0</v>
      </c>
      <c r="AL84" s="32">
        <v>0</v>
      </c>
      <c r="AM84" s="32">
        <v>0</v>
      </c>
      <c r="AN84" s="32">
        <v>0</v>
      </c>
      <c r="AO84" s="32">
        <v>0</v>
      </c>
      <c r="AP84" s="628">
        <v>0</v>
      </c>
      <c r="AQ84" s="703" t="b">
        <f t="shared" ca="1" si="13"/>
        <v>0</v>
      </c>
      <c r="AR84" s="32" t="b">
        <f t="shared" si="14"/>
        <v>0</v>
      </c>
      <c r="AS84" s="32">
        <f t="shared" ca="1" si="17"/>
        <v>0</v>
      </c>
      <c r="AT84" s="628">
        <f t="shared" ca="1" si="19"/>
        <v>2</v>
      </c>
      <c r="AU84" s="703" t="b">
        <f t="shared" ca="1" si="15"/>
        <v>0</v>
      </c>
      <c r="AV84" s="716" t="str">
        <f t="shared" ca="1" si="33"/>
        <v/>
      </c>
      <c r="AW84" s="32">
        <f t="shared" ca="1" si="18"/>
        <v>0</v>
      </c>
      <c r="AX84" s="628">
        <f t="shared" ca="1" si="20"/>
        <v>0</v>
      </c>
    </row>
    <row r="85" spans="27:50" x14ac:dyDescent="0.2">
      <c r="AW85" s="20"/>
      <c r="AX85" s="20"/>
    </row>
    <row r="86" spans="27:50" x14ac:dyDescent="0.2">
      <c r="AW86" s="20"/>
      <c r="AX86" s="20"/>
    </row>
    <row r="87" spans="27:50" x14ac:dyDescent="0.2">
      <c r="AW87" s="20"/>
      <c r="AX87" s="20"/>
    </row>
    <row r="88" spans="27:50" x14ac:dyDescent="0.2">
      <c r="AW88" s="20"/>
      <c r="AX88" s="20"/>
    </row>
    <row r="89" spans="27:50" x14ac:dyDescent="0.2">
      <c r="AA89" s="20"/>
      <c r="AB89" s="20"/>
      <c r="AC89" s="262"/>
      <c r="AD89" s="262"/>
      <c r="AE89" s="262"/>
      <c r="AF89" s="262"/>
      <c r="AG89" s="262"/>
      <c r="AH89" s="262"/>
      <c r="AX89" s="20"/>
    </row>
    <row r="90" spans="27:50" x14ac:dyDescent="0.2">
      <c r="AA90" s="20"/>
      <c r="AB90" s="20"/>
      <c r="AC90" s="262"/>
      <c r="AD90" s="262"/>
      <c r="AE90" s="262"/>
      <c r="AF90" s="262"/>
      <c r="AG90" s="262"/>
      <c r="AH90" s="262"/>
      <c r="AX90" s="20"/>
    </row>
    <row r="91" spans="27:50" x14ac:dyDescent="0.2">
      <c r="AA91" s="707"/>
      <c r="AB91" s="20"/>
      <c r="AC91" s="262"/>
      <c r="AD91" s="262"/>
      <c r="AE91" s="262"/>
      <c r="AF91" s="262"/>
      <c r="AG91" s="262"/>
      <c r="AH91" s="262"/>
      <c r="AX91" s="20"/>
    </row>
    <row r="92" spans="27:50" x14ac:dyDescent="0.2">
      <c r="AA92" s="707"/>
      <c r="AB92" s="20"/>
      <c r="AC92" s="262"/>
      <c r="AD92" s="262"/>
      <c r="AE92" s="262"/>
      <c r="AF92" s="262"/>
      <c r="AG92" s="262"/>
      <c r="AH92" s="262"/>
      <c r="AX92" s="20"/>
    </row>
    <row r="93" spans="27:50" x14ac:dyDescent="0.2">
      <c r="AA93" s="707"/>
      <c r="AB93" s="20"/>
      <c r="AC93" s="262"/>
      <c r="AD93" s="262"/>
      <c r="AE93" s="262"/>
      <c r="AF93" s="262"/>
      <c r="AG93" s="262"/>
      <c r="AH93" s="262"/>
      <c r="AX93" s="20"/>
    </row>
    <row r="94" spans="27:50" x14ac:dyDescent="0.2">
      <c r="AA94" s="707"/>
      <c r="AB94" s="20"/>
      <c r="AC94" s="262"/>
      <c r="AD94" s="262"/>
      <c r="AE94" s="262"/>
      <c r="AF94" s="262"/>
      <c r="AG94" s="262"/>
      <c r="AH94" s="262"/>
      <c r="AX94" s="20"/>
    </row>
    <row r="95" spans="27:50" x14ac:dyDescent="0.2">
      <c r="AA95" s="707"/>
      <c r="AB95" s="20"/>
      <c r="AC95" s="262"/>
      <c r="AD95" s="262"/>
      <c r="AE95" s="262"/>
      <c r="AF95" s="262"/>
      <c r="AG95" s="262"/>
      <c r="AH95" s="262"/>
      <c r="AX95" s="20"/>
    </row>
    <row r="96" spans="27:50" x14ac:dyDescent="0.2">
      <c r="AA96" s="708"/>
      <c r="AB96" s="20"/>
      <c r="AC96" s="262"/>
      <c r="AD96" s="262"/>
      <c r="AE96" s="262"/>
      <c r="AF96" s="262"/>
      <c r="AG96" s="262"/>
      <c r="AH96" s="262"/>
      <c r="AX96" s="20"/>
    </row>
    <row r="97" spans="27:50" x14ac:dyDescent="0.2">
      <c r="AA97" s="707"/>
      <c r="AB97" s="20"/>
      <c r="AC97" s="262"/>
      <c r="AD97" s="262"/>
      <c r="AE97" s="262"/>
      <c r="AF97" s="262"/>
      <c r="AG97" s="262"/>
      <c r="AH97" s="262"/>
      <c r="AX97" s="20"/>
    </row>
    <row r="98" spans="27:50" x14ac:dyDescent="0.2">
      <c r="AA98" s="707"/>
      <c r="AB98" s="20"/>
      <c r="AC98" s="262"/>
      <c r="AD98" s="262"/>
      <c r="AE98" s="262"/>
      <c r="AF98" s="262"/>
      <c r="AG98" s="262"/>
      <c r="AH98" s="262"/>
      <c r="AX98" s="20"/>
    </row>
    <row r="99" spans="27:50" x14ac:dyDescent="0.2">
      <c r="AA99" s="708"/>
      <c r="AB99" s="20"/>
      <c r="AC99" s="262"/>
      <c r="AD99" s="262"/>
      <c r="AE99" s="262"/>
      <c r="AF99" s="262"/>
      <c r="AG99" s="262"/>
      <c r="AH99" s="262"/>
      <c r="AX99" s="20"/>
    </row>
    <row r="100" spans="27:50" x14ac:dyDescent="0.2">
      <c r="AB100" s="20"/>
      <c r="AC100" s="262"/>
      <c r="AD100" s="262"/>
      <c r="AE100" s="262"/>
      <c r="AF100" s="262"/>
      <c r="AG100" s="262"/>
      <c r="AH100" s="262"/>
      <c r="AX100" s="20"/>
    </row>
    <row r="101" spans="27:50" x14ac:dyDescent="0.2">
      <c r="AB101" s="20"/>
      <c r="AC101" s="262"/>
      <c r="AD101" s="262"/>
      <c r="AE101" s="262"/>
      <c r="AF101" s="262"/>
      <c r="AG101" s="262"/>
      <c r="AH101" s="262"/>
      <c r="AX101" s="20"/>
    </row>
    <row r="102" spans="27:50" x14ac:dyDescent="0.2">
      <c r="AB102" s="20"/>
      <c r="AC102" s="262"/>
      <c r="AD102" s="262"/>
      <c r="AE102" s="262"/>
      <c r="AF102" s="262"/>
      <c r="AG102" s="262"/>
      <c r="AH102" s="262"/>
      <c r="AX102" s="20"/>
    </row>
  </sheetData>
  <sheetProtection algorithmName="SHA-512" hashValue="PltKwYrtiaeJRdbgeXC0DU3utlDfKVYDx43inyukdzp/CkfSgtpKHiii2R6hg5gE1cUzcRGzqpnu+JwL8ks/3g==" saltValue="sH2uM0oOqQN44hIK1QA2+g==" spinCount="100000" sheet="1" objects="1" scenarios="1"/>
  <mergeCells count="14">
    <mergeCell ref="O9:Q9"/>
    <mergeCell ref="O37:Q37"/>
    <mergeCell ref="D9:F9"/>
    <mergeCell ref="G9:J9"/>
    <mergeCell ref="K9:M9"/>
    <mergeCell ref="A7:M7"/>
    <mergeCell ref="A35:M35"/>
    <mergeCell ref="H10:I10"/>
    <mergeCell ref="A9:B11"/>
    <mergeCell ref="A37:B39"/>
    <mergeCell ref="D37:F37"/>
    <mergeCell ref="G37:J37"/>
    <mergeCell ref="K37:M37"/>
    <mergeCell ref="H38:I38"/>
  </mergeCells>
  <hyperlinks>
    <hyperlink ref="G3" r:id="rId1" xr:uid="{00000000-0004-0000-2A00-000000000000}"/>
    <hyperlink ref="G4" r:id="rId2" xr:uid="{00000000-0004-0000-2A00-000001000000}"/>
  </hyperlinks>
  <pageMargins left="0.70866141732283472" right="0.70866141732283472" top="0.74803149606299213" bottom="0.74803149606299213" header="0.31496062992125984" footer="0.31496062992125984"/>
  <pageSetup paperSize="9" orientation="landscape" r:id="rId3"/>
  <ignoredErrors>
    <ignoredError sqref="F13:F32 J13:J32 F41:J60" formula="1"/>
  </ignoredErrors>
  <legacyDrawing r:id="rId4"/>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4">
    <tabColor theme="9" tint="0.59999389629810485"/>
  </sheetPr>
  <dimension ref="A1:AZ61"/>
  <sheetViews>
    <sheetView showGridLines="0" topLeftCell="A29" zoomScaleNormal="100" workbookViewId="0">
      <selection activeCell="C33" sqref="C33"/>
    </sheetView>
  </sheetViews>
  <sheetFormatPr defaultRowHeight="12.75" x14ac:dyDescent="0.2"/>
  <cols>
    <col min="1" max="1" width="10" customWidth="1"/>
    <col min="2" max="2" width="19.7109375" customWidth="1"/>
    <col min="3" max="3" width="8.140625" customWidth="1"/>
    <col min="4" max="5" width="10.28515625" customWidth="1"/>
    <col min="6" max="6" width="10.140625" customWidth="1"/>
    <col min="7" max="7" width="16.28515625" customWidth="1"/>
    <col min="8" max="9" width="8.28515625" customWidth="1"/>
    <col min="10" max="10" width="7.5703125" customWidth="1"/>
    <col min="11" max="12" width="8.28515625" customWidth="1"/>
    <col min="13" max="13" width="8.140625" customWidth="1"/>
    <col min="14" max="14" width="1.140625" customWidth="1"/>
    <col min="27" max="27" width="9.140625" hidden="1" customWidth="1"/>
    <col min="28" max="30" width="15.7109375" hidden="1" customWidth="1"/>
    <col min="31" max="39" width="4.42578125" hidden="1" customWidth="1"/>
    <col min="40" max="52" width="9.140625" hidden="1" customWidth="1"/>
  </cols>
  <sheetData>
    <row r="1" spans="1:40" ht="43.5" customHeight="1" x14ac:dyDescent="0.2">
      <c r="A1" s="2128" t="str">
        <f>HLOOKUP(LangChoice,$AB$4:$AD$30,$AA5+1,FALSE)</f>
        <v>Data validation: Capacity factor</v>
      </c>
      <c r="B1" s="2130"/>
      <c r="C1" s="2114"/>
      <c r="D1" s="2114"/>
      <c r="E1" s="2114"/>
      <c r="F1" s="2114"/>
      <c r="G1" s="2114"/>
      <c r="H1" s="2114"/>
      <c r="I1" s="2114"/>
      <c r="J1" s="2114"/>
      <c r="K1" s="2114"/>
      <c r="L1" s="2114"/>
      <c r="M1" s="2114"/>
      <c r="AA1" s="1183" t="s">
        <v>1</v>
      </c>
      <c r="AB1" s="617"/>
      <c r="AC1" s="617"/>
      <c r="AD1" s="617"/>
      <c r="AE1" s="617"/>
      <c r="AF1" s="617"/>
      <c r="AG1" s="617"/>
      <c r="AH1" s="617"/>
      <c r="AI1" s="617"/>
      <c r="AJ1" s="617"/>
      <c r="AK1" s="617"/>
      <c r="AL1" s="617"/>
      <c r="AM1" s="617"/>
      <c r="AN1" s="1181" t="s">
        <v>8050</v>
      </c>
    </row>
    <row r="2" spans="1:40" ht="12.75" customHeight="1" x14ac:dyDescent="0.2">
      <c r="A2" s="259" t="str">
        <f>IronSteel_CokeOven!A2</f>
        <v>Checks:</v>
      </c>
      <c r="B2" s="20"/>
      <c r="C2" s="20"/>
      <c r="D2" s="699"/>
      <c r="F2" s="259"/>
      <c r="G2" s="20"/>
      <c r="H2" s="20"/>
      <c r="I2" s="20"/>
      <c r="J2" s="20"/>
      <c r="K2" s="20"/>
      <c r="AA2" s="20"/>
      <c r="AB2" s="530" t="s">
        <v>8055</v>
      </c>
      <c r="AC2" s="531"/>
      <c r="AD2" s="531"/>
    </row>
    <row r="3" spans="1:40" ht="12.75" customHeight="1" x14ac:dyDescent="0.2">
      <c r="A3" s="562" t="s">
        <v>8243</v>
      </c>
      <c r="B3" s="259" t="str">
        <f>HLOOKUP(LangChoice,$AB$4:$AD$30,$AA6+1,FALSE)</f>
        <v>Capacity factor</v>
      </c>
      <c r="C3" s="20"/>
      <c r="D3" s="699"/>
      <c r="F3" s="259"/>
      <c r="G3" s="20"/>
      <c r="H3" s="20"/>
      <c r="I3" s="20"/>
      <c r="J3" s="20"/>
      <c r="K3" s="20"/>
      <c r="AA3" s="20"/>
      <c r="AB3" s="530"/>
      <c r="AC3" s="531"/>
      <c r="AD3" s="531"/>
    </row>
    <row r="4" spans="1:40" ht="12.75" customHeight="1" x14ac:dyDescent="0.2">
      <c r="A4" s="561" t="s">
        <v>8244</v>
      </c>
      <c r="B4" s="20" t="str">
        <f>HLOOKUP(LangChoice,$AB$4:$AD$30,$AA7+1,FALSE)</f>
        <v>Electricity output</v>
      </c>
      <c r="C4" s="20"/>
      <c r="D4" s="699"/>
      <c r="F4" s="563"/>
      <c r="G4" s="699"/>
      <c r="H4" s="699"/>
      <c r="I4" s="699"/>
      <c r="J4" s="699"/>
      <c r="K4" s="699"/>
      <c r="L4" s="699"/>
      <c r="AA4" s="20"/>
      <c r="AB4" s="530" t="s">
        <v>7</v>
      </c>
      <c r="AC4" s="530" t="s">
        <v>8</v>
      </c>
      <c r="AD4" s="530" t="s">
        <v>9</v>
      </c>
    </row>
    <row r="5" spans="1:40" ht="12.75" customHeight="1" x14ac:dyDescent="0.2">
      <c r="A5" s="561" t="s">
        <v>8245</v>
      </c>
      <c r="B5" s="241" t="str">
        <f>HLOOKUP(LangChoice,$AB$4:$AD$30,$AA8+1,FALSE)</f>
        <v>Liquid biofuel production</v>
      </c>
      <c r="C5" s="20"/>
      <c r="D5" s="20"/>
      <c r="E5" s="20"/>
      <c r="F5" s="20"/>
      <c r="G5" s="699"/>
      <c r="H5" s="699"/>
      <c r="I5" s="699"/>
      <c r="J5" s="699"/>
      <c r="K5" s="699"/>
      <c r="L5" s="699"/>
      <c r="AA5" s="576">
        <v>1</v>
      </c>
      <c r="AB5" s="606" t="s">
        <v>8246</v>
      </c>
      <c r="AC5" s="1079" t="s">
        <v>8247</v>
      </c>
      <c r="AD5" s="1079"/>
      <c r="AE5" s="576"/>
      <c r="AF5" s="576"/>
      <c r="AG5" s="576"/>
      <c r="AH5" s="576"/>
    </row>
    <row r="6" spans="1:40" ht="12.75" customHeight="1" x14ac:dyDescent="0.2">
      <c r="A6" s="565" t="s">
        <v>8248</v>
      </c>
      <c r="B6" s="713" t="str">
        <f>HLOOKUP(LangChoice,$AB$4:$AD$30,$AA9+1,FALSE)</f>
        <v>Refinery production (coming with annual questionnaire 2019 update)</v>
      </c>
      <c r="C6" s="32"/>
      <c r="D6" s="32"/>
      <c r="E6" s="32"/>
      <c r="F6" s="32"/>
      <c r="G6" s="32"/>
      <c r="H6" s="700"/>
      <c r="I6" s="701"/>
      <c r="J6" s="701"/>
      <c r="K6" s="701"/>
      <c r="L6" s="701"/>
      <c r="M6" s="673"/>
      <c r="AA6" s="576">
        <v>2</v>
      </c>
      <c r="AB6" s="576" t="s">
        <v>8249</v>
      </c>
      <c r="AC6" s="576" t="s">
        <v>8250</v>
      </c>
      <c r="AD6" s="576"/>
      <c r="AE6" s="576"/>
      <c r="AF6" s="576"/>
      <c r="AG6" s="576"/>
      <c r="AH6" s="576"/>
    </row>
    <row r="7" spans="1:40" ht="5.0999999999999996" customHeight="1" x14ac:dyDescent="0.2">
      <c r="A7" s="561"/>
      <c r="B7" s="564"/>
      <c r="C7" s="20"/>
      <c r="D7" s="20"/>
      <c r="E7" s="20"/>
      <c r="F7" s="20"/>
      <c r="G7" s="20"/>
      <c r="H7" s="699"/>
      <c r="I7" s="592"/>
      <c r="J7" s="592"/>
      <c r="K7" s="592"/>
      <c r="L7" s="592"/>
      <c r="AA7" s="576">
        <v>3</v>
      </c>
      <c r="AB7" s="576" t="s">
        <v>8251</v>
      </c>
      <c r="AC7" s="576" t="s">
        <v>8252</v>
      </c>
      <c r="AD7" s="576"/>
      <c r="AE7" s="576"/>
      <c r="AF7" s="576"/>
      <c r="AG7" s="576"/>
      <c r="AH7" s="576"/>
    </row>
    <row r="8" spans="1:40" ht="139.5" customHeight="1" x14ac:dyDescent="0.2">
      <c r="A8" s="2416" t="str">
        <f>HLOOKUP(LangChoice,$AB$4:$AD$30,$AA10+1,FALSE)</f>
        <v>The net capacity factor is the unitless ratio of an actual output over a given period of time to the maximum possible output over the same amount of time. The capacity factor can be defined for any producing installation, i.e. a fuel consuming power plant or one using renewable energy. The capacity factor can also be defined for any class of such installations, and can be used to compare different types of production.
Capacity factor varies greatly depending on a range of factors: the design of the installation, its location, the type of electricity production and with it either the fuel being used or, for renewable energy, the local weather conditions. Additionally, the capacity factor can be subject to regulatory constraints and market forces, potentially affecting both its fuel purchase and its electricity sale.
The capacity factor is often computed over a timescale of a year, averaging out most temporal fluctuations. However, the capacity factor can be also computed on a monthly basis to gain insight into seasonal fluctuations. Alternatively, it be computed over the lifetime of the power source, both while operational and after decommissioning.</v>
      </c>
      <c r="B8" s="2416"/>
      <c r="C8" s="2416"/>
      <c r="D8" s="2416"/>
      <c r="E8" s="2416"/>
      <c r="F8" s="2416"/>
      <c r="G8" s="2416"/>
      <c r="H8" s="2416"/>
      <c r="I8" s="2416"/>
      <c r="J8" s="2416"/>
      <c r="K8" s="2416"/>
      <c r="L8" s="2416"/>
      <c r="M8" s="2416"/>
      <c r="AA8" s="576">
        <v>4</v>
      </c>
      <c r="AB8" s="576" t="s">
        <v>8253</v>
      </c>
      <c r="AC8" s="576" t="s">
        <v>8254</v>
      </c>
      <c r="AD8" s="576"/>
      <c r="AE8" s="576"/>
      <c r="AF8" s="576"/>
      <c r="AG8" s="576"/>
      <c r="AH8" s="576"/>
    </row>
    <row r="9" spans="1:40" ht="12.75" customHeight="1" x14ac:dyDescent="0.2">
      <c r="A9" s="561"/>
      <c r="E9" s="20"/>
      <c r="F9" s="20"/>
      <c r="G9" s="20"/>
      <c r="H9" s="699"/>
      <c r="I9" s="592"/>
      <c r="J9" s="592"/>
      <c r="K9" s="592"/>
      <c r="L9" s="592"/>
      <c r="AA9" s="576">
        <v>5</v>
      </c>
      <c r="AB9" s="576" t="s">
        <v>8255</v>
      </c>
      <c r="AC9" s="576" t="s">
        <v>8256</v>
      </c>
      <c r="AD9" s="576"/>
      <c r="AE9" s="576"/>
      <c r="AF9" s="576"/>
      <c r="AG9" s="576"/>
      <c r="AH9" s="576"/>
    </row>
    <row r="10" spans="1:40" ht="19.5" customHeight="1" x14ac:dyDescent="0.2">
      <c r="A10" s="543" t="str">
        <f>HLOOKUP(LangChoice,$AB$4:$AD$30,$AA13+1,FALSE)</f>
        <v>Example:</v>
      </c>
      <c r="E10" s="20"/>
      <c r="F10" s="20"/>
      <c r="G10" s="2457" t="str">
        <f>B3&amp;" = "</f>
        <v xml:space="preserve">Capacity factor = </v>
      </c>
      <c r="H10" s="2458" t="str">
        <f>AA38</f>
        <v>Actual production</v>
      </c>
      <c r="I10" s="2458"/>
      <c r="J10" s="2458"/>
      <c r="K10" s="2458"/>
      <c r="L10" s="592"/>
      <c r="M10" s="592"/>
      <c r="AA10" s="576">
        <v>6</v>
      </c>
      <c r="AB10" s="1134" t="s">
        <v>8257</v>
      </c>
      <c r="AC10" s="576" t="s">
        <v>8258</v>
      </c>
      <c r="AD10" s="576"/>
      <c r="AE10" s="576"/>
      <c r="AF10" s="576"/>
      <c r="AG10" s="576"/>
      <c r="AH10" s="576"/>
    </row>
    <row r="11" spans="1:40" ht="5.0999999999999996" customHeight="1" x14ac:dyDescent="0.2">
      <c r="A11" s="561"/>
      <c r="E11" s="20"/>
      <c r="F11" s="20"/>
      <c r="G11" s="2457"/>
      <c r="H11" s="1329"/>
      <c r="I11" s="701"/>
      <c r="J11" s="701"/>
      <c r="K11" s="701"/>
      <c r="L11" s="592"/>
      <c r="M11" s="592"/>
      <c r="AA11" s="576">
        <v>7</v>
      </c>
      <c r="AB11" s="576" t="s">
        <v>8259</v>
      </c>
      <c r="AC11" s="576" t="s">
        <v>8260</v>
      </c>
      <c r="AD11" s="576"/>
      <c r="AE11" s="576"/>
      <c r="AF11" s="576"/>
      <c r="AG11" s="576"/>
      <c r="AH11" s="576"/>
    </row>
    <row r="12" spans="1:40" ht="5.0999999999999996" customHeight="1" x14ac:dyDescent="0.2">
      <c r="A12" s="561"/>
      <c r="E12" s="20"/>
      <c r="F12" s="20"/>
      <c r="G12" s="2457"/>
      <c r="H12" s="460"/>
      <c r="I12" s="592"/>
      <c r="J12" s="592"/>
      <c r="K12" s="592"/>
      <c r="L12" s="592"/>
      <c r="M12" s="592"/>
      <c r="AA12" s="576">
        <v>8</v>
      </c>
      <c r="AB12" s="576" t="s">
        <v>8261</v>
      </c>
      <c r="AC12" s="576" t="s">
        <v>8262</v>
      </c>
      <c r="AD12" s="576"/>
      <c r="AE12" s="576"/>
      <c r="AF12" s="576"/>
      <c r="AG12" s="576"/>
      <c r="AH12" s="576"/>
    </row>
    <row r="13" spans="1:40" ht="19.5" customHeight="1" x14ac:dyDescent="0.2">
      <c r="A13" s="561"/>
      <c r="E13" s="20"/>
      <c r="F13" s="20"/>
      <c r="G13" s="2457"/>
      <c r="H13" s="2459" t="str">
        <f>AA39</f>
        <v>Maximum possible production</v>
      </c>
      <c r="I13" s="2459"/>
      <c r="J13" s="2459"/>
      <c r="K13" s="2459"/>
      <c r="L13" s="592"/>
      <c r="M13" s="592"/>
      <c r="AA13" s="576">
        <v>9</v>
      </c>
      <c r="AB13" s="576" t="s">
        <v>8263</v>
      </c>
      <c r="AC13" s="576" t="s">
        <v>8264</v>
      </c>
      <c r="AD13" s="576"/>
      <c r="AE13" s="576"/>
      <c r="AF13" s="576"/>
      <c r="AG13" s="576"/>
      <c r="AH13" s="576"/>
    </row>
    <row r="14" spans="1:40" ht="12.75" customHeight="1" x14ac:dyDescent="0.2">
      <c r="A14" s="561"/>
      <c r="E14" s="20"/>
      <c r="F14" s="20"/>
      <c r="H14" s="2461" t="str">
        <f>Electricity_Heat_I!J26</f>
        <v>Must always be between 0-100%!</v>
      </c>
      <c r="I14" s="2461"/>
      <c r="J14" s="2461"/>
      <c r="K14" s="2461"/>
      <c r="L14" s="592"/>
      <c r="AA14" s="576">
        <v>10</v>
      </c>
      <c r="AB14" s="576" t="s">
        <v>8265</v>
      </c>
      <c r="AC14" s="576" t="s">
        <v>8266</v>
      </c>
      <c r="AD14" s="576"/>
      <c r="AE14" s="576"/>
      <c r="AF14" s="576"/>
      <c r="AG14" s="576"/>
      <c r="AH14" s="576"/>
    </row>
    <row r="15" spans="1:40" ht="5.0999999999999996" customHeight="1" x14ac:dyDescent="0.2">
      <c r="A15" s="561"/>
      <c r="E15" s="20"/>
      <c r="F15" s="20"/>
      <c r="H15" s="20"/>
      <c r="I15" s="592"/>
      <c r="J15" s="592"/>
      <c r="K15" s="592"/>
      <c r="L15" s="592"/>
      <c r="AA15" s="576">
        <v>11</v>
      </c>
      <c r="AB15" s="576" t="s">
        <v>8225</v>
      </c>
      <c r="AC15" s="576" t="s">
        <v>854</v>
      </c>
      <c r="AD15" s="576"/>
      <c r="AE15" s="576"/>
      <c r="AF15" s="576"/>
      <c r="AG15" s="576"/>
      <c r="AH15" s="576"/>
    </row>
    <row r="16" spans="1:40" ht="42" customHeight="1" x14ac:dyDescent="0.2">
      <c r="A16" s="561"/>
      <c r="E16" s="20"/>
      <c r="F16" s="20"/>
      <c r="G16" s="733" t="str">
        <f>AA39&amp;": "</f>
        <v xml:space="preserve">Maximum possible production: </v>
      </c>
      <c r="H16" s="2273" t="str">
        <f>HLOOKUP(LangChoice,$AB$4:$AD$30,$AA11+1,FALSE)</f>
        <v>The maximum possible energy output of a given installation assumes its continuous operation at full nameplate capacity over the relevant period of time.</v>
      </c>
      <c r="I16" s="2273"/>
      <c r="J16" s="2273"/>
      <c r="K16" s="2273"/>
      <c r="L16" s="2273"/>
      <c r="M16" s="2273"/>
      <c r="AA16" s="576">
        <v>12</v>
      </c>
      <c r="AB16" s="576" t="s">
        <v>8267</v>
      </c>
      <c r="AC16" s="576" t="s">
        <v>8268</v>
      </c>
      <c r="AD16" s="576"/>
      <c r="AE16" s="576"/>
      <c r="AF16" s="576"/>
      <c r="AG16" s="576"/>
      <c r="AH16" s="576"/>
    </row>
    <row r="17" spans="1:40" ht="5.0999999999999996" customHeight="1" x14ac:dyDescent="0.2">
      <c r="A17" s="561"/>
      <c r="E17" s="20"/>
      <c r="F17" s="20"/>
      <c r="G17" s="733"/>
      <c r="H17" s="671"/>
      <c r="I17" s="671"/>
      <c r="J17" s="671"/>
      <c r="K17" s="671"/>
      <c r="L17" s="671"/>
      <c r="M17" s="671"/>
      <c r="AA17" s="576">
        <v>13</v>
      </c>
      <c r="AB17" s="576" t="s">
        <v>8269</v>
      </c>
      <c r="AC17" s="576" t="s">
        <v>8270</v>
      </c>
      <c r="AD17" s="576"/>
      <c r="AE17" s="576"/>
      <c r="AF17" s="576"/>
      <c r="AG17" s="576"/>
      <c r="AH17" s="576"/>
    </row>
    <row r="18" spans="1:40" ht="24.75" customHeight="1" x14ac:dyDescent="0.2">
      <c r="A18" s="561"/>
      <c r="E18" s="20"/>
      <c r="F18" s="20"/>
      <c r="G18" s="733" t="str">
        <f>AA38&amp;": "</f>
        <v xml:space="preserve">Actual production: </v>
      </c>
      <c r="H18" s="2273" t="str">
        <f>HLOOKUP(LangChoice,$AB$4:$AD$30,$AA12+1,FALSE)</f>
        <v>The actual energy output over the same period of time.</v>
      </c>
      <c r="I18" s="2273"/>
      <c r="J18" s="2273"/>
      <c r="K18" s="2273"/>
      <c r="L18" s="2273"/>
      <c r="M18" s="2273"/>
      <c r="AA18" s="576">
        <v>14</v>
      </c>
      <c r="AB18" s="576" t="s">
        <v>8271</v>
      </c>
      <c r="AC18" s="576" t="s">
        <v>8272</v>
      </c>
      <c r="AD18" s="576"/>
      <c r="AE18" s="576"/>
      <c r="AF18" s="576"/>
      <c r="AG18" s="576"/>
      <c r="AH18" s="576"/>
    </row>
    <row r="19" spans="1:40" ht="5.0999999999999996" customHeight="1" x14ac:dyDescent="0.2">
      <c r="A19" s="561"/>
      <c r="E19" s="20"/>
      <c r="F19" s="20"/>
      <c r="I19" s="592"/>
      <c r="J19" s="592"/>
      <c r="K19" s="592"/>
      <c r="L19" s="592"/>
      <c r="AA19" s="576">
        <v>15</v>
      </c>
      <c r="AB19" s="576" t="s">
        <v>8273</v>
      </c>
      <c r="AC19" s="576" t="s">
        <v>8274</v>
      </c>
      <c r="AD19" s="576"/>
      <c r="AE19" s="576"/>
      <c r="AF19" s="576"/>
      <c r="AG19" s="576"/>
      <c r="AH19" s="576"/>
    </row>
    <row r="20" spans="1:40" ht="12.75" customHeight="1" x14ac:dyDescent="0.2">
      <c r="A20" s="561"/>
      <c r="E20" s="20"/>
      <c r="F20" s="20"/>
      <c r="I20" s="592"/>
      <c r="J20" s="592"/>
      <c r="K20" s="592"/>
      <c r="L20" s="592"/>
      <c r="AA20" s="576">
        <v>16</v>
      </c>
      <c r="AB20" s="576" t="s">
        <v>8275</v>
      </c>
      <c r="AC20" s="576" t="s">
        <v>8276</v>
      </c>
      <c r="AD20" s="576"/>
      <c r="AE20" s="576"/>
      <c r="AF20" s="576"/>
      <c r="AG20" s="576"/>
      <c r="AH20" s="576"/>
    </row>
    <row r="21" spans="1:40" ht="12.75" customHeight="1" x14ac:dyDescent="0.2">
      <c r="A21" s="561"/>
      <c r="E21" s="20"/>
      <c r="F21" s="20"/>
      <c r="I21" s="592"/>
      <c r="J21" s="592"/>
      <c r="K21" s="592"/>
      <c r="L21" s="592"/>
      <c r="AA21" s="576">
        <v>17</v>
      </c>
      <c r="AB21" s="576" t="s">
        <v>8277</v>
      </c>
      <c r="AC21" s="576" t="s">
        <v>8278</v>
      </c>
      <c r="AD21" s="576"/>
      <c r="AE21" s="576"/>
      <c r="AF21" s="576"/>
      <c r="AG21" s="576"/>
      <c r="AH21" s="576"/>
    </row>
    <row r="22" spans="1:40" ht="12.75" customHeight="1" x14ac:dyDescent="0.2">
      <c r="A22" s="561"/>
      <c r="E22" s="20"/>
      <c r="F22" s="20"/>
      <c r="I22" s="592"/>
      <c r="J22" s="592"/>
      <c r="K22" s="592"/>
      <c r="L22" s="592"/>
      <c r="AA22" s="576">
        <v>18</v>
      </c>
      <c r="AB22" s="576" t="s">
        <v>8279</v>
      </c>
      <c r="AC22" s="576" t="s">
        <v>8280</v>
      </c>
      <c r="AD22" s="576"/>
      <c r="AE22" s="576"/>
      <c r="AF22" s="576"/>
      <c r="AG22" s="576"/>
      <c r="AH22" s="576"/>
    </row>
    <row r="23" spans="1:40" ht="12.75" customHeight="1" x14ac:dyDescent="0.2">
      <c r="A23" s="561"/>
      <c r="E23" s="20"/>
      <c r="F23" s="20"/>
      <c r="I23" s="592"/>
      <c r="J23" s="592"/>
      <c r="K23" s="592"/>
      <c r="L23" s="592"/>
      <c r="AA23" s="576">
        <v>19</v>
      </c>
      <c r="AB23" s="576" t="s">
        <v>7919</v>
      </c>
      <c r="AC23" s="576" t="s">
        <v>8281</v>
      </c>
      <c r="AD23" s="576"/>
      <c r="AE23" s="576"/>
      <c r="AF23" s="576"/>
      <c r="AG23" s="576"/>
      <c r="AH23" s="576"/>
    </row>
    <row r="24" spans="1:40" s="20" customFormat="1" x14ac:dyDescent="0.2">
      <c r="A24" s="15"/>
      <c r="I24"/>
      <c r="J24"/>
      <c r="K24"/>
      <c r="L24"/>
      <c r="M24"/>
      <c r="N24"/>
      <c r="O24"/>
      <c r="P24"/>
      <c r="Q24"/>
      <c r="R24"/>
      <c r="S24"/>
      <c r="T24"/>
      <c r="U24"/>
      <c r="V24"/>
      <c r="W24"/>
      <c r="X24"/>
      <c r="Y24"/>
      <c r="Z24"/>
      <c r="AA24" s="576">
        <v>20</v>
      </c>
      <c r="AB24" s="576" t="s">
        <v>8282</v>
      </c>
      <c r="AC24" s="576" t="s">
        <v>8283</v>
      </c>
      <c r="AD24" s="576"/>
      <c r="AE24" s="576"/>
      <c r="AF24" s="576"/>
      <c r="AG24" s="576"/>
      <c r="AH24" s="576"/>
    </row>
    <row r="25" spans="1:40" s="20" customFormat="1" ht="9.75" customHeight="1" x14ac:dyDescent="0.2">
      <c r="A25" s="15"/>
      <c r="I25"/>
      <c r="J25"/>
      <c r="K25"/>
      <c r="L25"/>
      <c r="M25"/>
      <c r="N25"/>
      <c r="O25"/>
      <c r="P25"/>
      <c r="Q25"/>
      <c r="R25"/>
      <c r="S25"/>
      <c r="T25"/>
      <c r="U25"/>
      <c r="V25"/>
      <c r="W25"/>
      <c r="X25"/>
      <c r="Y25"/>
      <c r="Z25"/>
      <c r="AA25" s="576">
        <v>21</v>
      </c>
      <c r="AB25" s="576"/>
      <c r="AC25" s="576"/>
      <c r="AD25" s="576"/>
      <c r="AE25" s="576"/>
      <c r="AF25" s="576"/>
      <c r="AG25" s="576"/>
      <c r="AH25" s="576"/>
    </row>
    <row r="26" spans="1:40" s="20" customFormat="1" ht="9.75" customHeight="1" x14ac:dyDescent="0.2">
      <c r="A26" s="15"/>
      <c r="I26"/>
      <c r="J26"/>
      <c r="K26"/>
      <c r="L26"/>
      <c r="M26"/>
      <c r="N26"/>
      <c r="O26"/>
      <c r="P26"/>
      <c r="Q26"/>
      <c r="R26"/>
      <c r="S26"/>
      <c r="T26"/>
      <c r="U26"/>
      <c r="V26"/>
      <c r="W26"/>
      <c r="X26"/>
      <c r="Y26"/>
      <c r="Z26"/>
      <c r="AA26" s="576">
        <v>22</v>
      </c>
      <c r="AB26" s="576"/>
      <c r="AC26" s="576"/>
      <c r="AD26" s="576"/>
      <c r="AE26" s="576"/>
      <c r="AF26" s="576"/>
      <c r="AG26" s="576"/>
      <c r="AH26" s="576"/>
    </row>
    <row r="27" spans="1:40" ht="9.75" customHeight="1" x14ac:dyDescent="0.2">
      <c r="A27" s="15"/>
      <c r="AA27" s="576">
        <v>23</v>
      </c>
      <c r="AB27" s="576"/>
      <c r="AC27" s="576"/>
      <c r="AD27" s="576"/>
      <c r="AE27" s="576"/>
      <c r="AF27" s="576"/>
      <c r="AG27" s="576"/>
      <c r="AH27" s="576"/>
    </row>
    <row r="28" spans="1:40" ht="5.0999999999999996" customHeight="1" x14ac:dyDescent="0.2">
      <c r="A28" s="15"/>
      <c r="AA28" s="576">
        <v>24</v>
      </c>
    </row>
    <row r="29" spans="1:40" x14ac:dyDescent="0.2">
      <c r="A29" s="981" t="str">
        <f>$A$4&amp;" "&amp;$B$4</f>
        <v>9.1) Electricity output</v>
      </c>
      <c r="B29" s="520"/>
      <c r="C29" s="520"/>
      <c r="D29" s="520"/>
      <c r="E29" s="256"/>
      <c r="F29" s="520"/>
      <c r="G29" s="520"/>
      <c r="H29" s="520"/>
      <c r="I29" s="520"/>
      <c r="J29" s="520"/>
      <c r="K29" s="520"/>
      <c r="L29" s="520"/>
      <c r="M29" s="520"/>
      <c r="AA29" s="576">
        <v>25</v>
      </c>
    </row>
    <row r="30" spans="1:40" ht="5.0999999999999996" customHeight="1" x14ac:dyDescent="0.2">
      <c r="A30" s="990"/>
      <c r="B30" s="844"/>
      <c r="C30" s="989"/>
      <c r="D30" s="989"/>
      <c r="E30" s="985"/>
      <c r="F30" s="989"/>
      <c r="G30" s="989"/>
      <c r="H30" s="989"/>
      <c r="I30" s="989"/>
      <c r="AA30" s="576">
        <v>26</v>
      </c>
    </row>
    <row r="31" spans="1:40" s="20" customFormat="1" ht="30.75" customHeight="1" x14ac:dyDescent="0.2">
      <c r="C31" s="1312" t="str">
        <f>HLOOKUP(LangChoice,$AB$4:$AD$30,$AA18+1,FALSE)</f>
        <v>Capacity</v>
      </c>
      <c r="D31" s="1314" t="str">
        <f>AA39</f>
        <v>Maximum possible production</v>
      </c>
      <c r="E31" s="1313" t="str">
        <f>AA38</f>
        <v>Actual production</v>
      </c>
      <c r="F31" s="1315" t="str">
        <f>B3</f>
        <v>Capacity factor</v>
      </c>
      <c r="G31" s="988" t="str">
        <f>HLOOKUP(LangChoice,$AB$4:$AD$30,$AA19+1,FALSE)</f>
        <v>Comment</v>
      </c>
      <c r="H31" s="2460" t="str">
        <f>IronSteel_CokeOven!K19</f>
        <v>Ranges:</v>
      </c>
      <c r="I31" s="2460"/>
      <c r="K31" s="991" t="str">
        <f>HLOOKUP(LangChoice,$AB$4:$AD$30,$AA20+1,FALSE)</f>
        <v>Note:</v>
      </c>
      <c r="L31" s="32"/>
      <c r="M31" s="32"/>
    </row>
    <row r="32" spans="1:40" s="20" customFormat="1" x14ac:dyDescent="0.2">
      <c r="A32" s="789"/>
      <c r="B32" s="789"/>
      <c r="C32" s="1319" t="s">
        <v>8284</v>
      </c>
      <c r="D32" s="1321" t="str">
        <f>Electricity_Heat_I!C35</f>
        <v>[GWh]</v>
      </c>
      <c r="E32" s="1321" t="str">
        <f>D32</f>
        <v>[GWh]</v>
      </c>
      <c r="F32" s="1321" t="s">
        <v>8285</v>
      </c>
      <c r="G32" s="1321"/>
      <c r="H32" s="1324" t="str">
        <f>Electricity_Heat_II!AB27</f>
        <v>Low</v>
      </c>
      <c r="I32" s="1325" t="str">
        <f>Electricity_Heat_II!AB28</f>
        <v>High</v>
      </c>
      <c r="J32"/>
      <c r="K32" s="2456" t="str">
        <f>HLOOKUP(LangChoice,$AB$4:$AD$30,$AA21+1,FALSE)</f>
        <v>Average ranges calculated based on total OECD capacities and gross electricity generation for 2000-2015.
The ranges are only indicative, and do not mean the data are incorrect if the country capacity factors are not within it!</v>
      </c>
      <c r="L32" s="2456"/>
      <c r="M32" s="2456"/>
      <c r="AA32" s="719" t="s">
        <v>8286</v>
      </c>
      <c r="AB32" s="554"/>
      <c r="AC32" s="554"/>
      <c r="AD32" s="554"/>
      <c r="AE32" s="554"/>
      <c r="AF32" s="554"/>
      <c r="AG32" s="554"/>
      <c r="AH32" s="554"/>
      <c r="AI32" s="554"/>
      <c r="AJ32" s="554"/>
      <c r="AK32" s="554"/>
      <c r="AL32" s="554"/>
      <c r="AM32" s="554"/>
      <c r="AN32" s="1194"/>
    </row>
    <row r="33" spans="1:40" s="20" customFormat="1" ht="15" customHeight="1" x14ac:dyDescent="0.2">
      <c r="A33" s="20">
        <v>1</v>
      </c>
      <c r="B33" s="1316" t="str">
        <f>NUCLEAR</f>
        <v>Nuclear</v>
      </c>
      <c r="C33" s="976">
        <f>SUM(Ele_Table_7a!E8:F8)</f>
        <v>0</v>
      </c>
      <c r="D33" s="978">
        <f>C33*8760/1000</f>
        <v>0</v>
      </c>
      <c r="E33" s="976">
        <f>'For printing'!BC93</f>
        <v>14214</v>
      </c>
      <c r="F33" s="1147" t="str">
        <f>IF(C33=0,IF(D33=0,"..","No capacity"),E33/D33)</f>
        <v>..</v>
      </c>
      <c r="G33" s="986" t="str">
        <f>IF(ISTEXT(F33)=FALSE,IF(F33&lt;H33,$H$32,IF(F33&gt;I33,$I$32,"")),"")</f>
        <v/>
      </c>
      <c r="H33" s="983">
        <v>0.72647644968119562</v>
      </c>
      <c r="I33" s="982">
        <v>0.85671668524159261</v>
      </c>
      <c r="J33"/>
      <c r="K33" s="2456"/>
      <c r="L33" s="2456"/>
      <c r="M33" s="2456"/>
      <c r="AA33" s="625" t="s">
        <v>8287</v>
      </c>
      <c r="AB33" s="20" t="str">
        <f>HLOOKUP(LangChoice,$AB$4:$AD$30,$AA14+1,FALSE)</f>
        <v>Month</v>
      </c>
      <c r="AN33" s="590"/>
    </row>
    <row r="34" spans="1:40" s="20" customFormat="1" ht="15" customHeight="1" x14ac:dyDescent="0.2">
      <c r="A34" s="20">
        <v>2</v>
      </c>
      <c r="B34" s="1316" t="str">
        <f>HYDRO</f>
        <v>Hydro</v>
      </c>
      <c r="C34" s="976">
        <f>SUM(Ele_Table_7a!E9:F9)</f>
        <v>0</v>
      </c>
      <c r="D34" s="978">
        <f t="shared" ref="D34:D41" si="0">C34*8760/1000</f>
        <v>0</v>
      </c>
      <c r="E34" s="976">
        <f>'For printing'!BD93</f>
        <v>781.8</v>
      </c>
      <c r="F34" s="1147" t="str">
        <f t="shared" ref="F34:F41" si="1">IF(C34=0,IF(D34=0,"..","No capacity"),E34/D34)</f>
        <v>..</v>
      </c>
      <c r="G34" s="986" t="str">
        <f t="shared" ref="G34:G39" si="2">IF(ISTEXT(F34)=FALSE,IF(F34&lt;H34,$H$32,IF(F34&gt;I34,$I$32,"")),"")</f>
        <v/>
      </c>
      <c r="H34" s="983">
        <v>0.34354563939639521</v>
      </c>
      <c r="I34" s="982">
        <v>0.38388579326132377</v>
      </c>
      <c r="J34"/>
      <c r="K34" s="2456"/>
      <c r="L34" s="2456"/>
      <c r="M34" s="2456"/>
      <c r="AA34" s="625" t="s">
        <v>8119</v>
      </c>
      <c r="AB34" s="20" t="str">
        <f>HLOOKUP(LangChoice,$AB$4:$AD$30,$AA15+1,FALSE)</f>
        <v>Output</v>
      </c>
      <c r="AN34" s="590"/>
    </row>
    <row r="35" spans="1:40" s="20" customFormat="1" ht="15" customHeight="1" x14ac:dyDescent="0.2">
      <c r="A35" s="20">
        <v>3</v>
      </c>
      <c r="B35" s="1316" t="str">
        <f>GEOTHERM</f>
        <v>Geothermal</v>
      </c>
      <c r="C35" s="976">
        <f>SUM(Ele_Table_7a!E13:F13)</f>
        <v>0</v>
      </c>
      <c r="D35" s="978">
        <f t="shared" si="0"/>
        <v>0</v>
      </c>
      <c r="E35" s="976">
        <f>'For printing'!BE93</f>
        <v>0</v>
      </c>
      <c r="F35" s="1147" t="str">
        <f t="shared" si="1"/>
        <v>..</v>
      </c>
      <c r="G35" s="986" t="str">
        <f t="shared" si="2"/>
        <v/>
      </c>
      <c r="H35" s="983">
        <v>0.69801289850618131</v>
      </c>
      <c r="I35" s="982">
        <v>0.85748335962775935</v>
      </c>
      <c r="J35"/>
      <c r="K35" s="2456"/>
      <c r="L35" s="2456"/>
      <c r="M35" s="2456"/>
      <c r="AA35" s="625" t="s">
        <v>8288</v>
      </c>
      <c r="AB35" s="20">
        <v>11</v>
      </c>
      <c r="AC35" s="20" t="s">
        <v>8289</v>
      </c>
      <c r="AN35" s="590"/>
    </row>
    <row r="36" spans="1:40" s="20" customFormat="1" ht="15" customHeight="1" x14ac:dyDescent="0.2">
      <c r="A36" s="20">
        <v>4</v>
      </c>
      <c r="B36" s="1316" t="str">
        <f>SOLARPV</f>
        <v>Solar photovoltaic</v>
      </c>
      <c r="C36" s="976">
        <f>SUM(Ele_Table_7a!E14:F14)</f>
        <v>0</v>
      </c>
      <c r="D36" s="978">
        <f t="shared" si="0"/>
        <v>0</v>
      </c>
      <c r="E36" s="976">
        <f>'For printing'!BF93</f>
        <v>3040.85</v>
      </c>
      <c r="F36" s="1147" t="str">
        <f t="shared" si="1"/>
        <v>..</v>
      </c>
      <c r="G36" s="987" t="str">
        <f t="shared" si="2"/>
        <v/>
      </c>
      <c r="H36" s="1069">
        <v>9.0804215775479744E-2</v>
      </c>
      <c r="I36" s="1070">
        <v>0.12863959374422665</v>
      </c>
      <c r="J36"/>
      <c r="K36" s="2456"/>
      <c r="L36" s="2456"/>
      <c r="M36" s="2456"/>
      <c r="AA36" s="625" t="s">
        <v>8290</v>
      </c>
      <c r="AB36" s="20">
        <f>AB35*8760/1000</f>
        <v>96.36</v>
      </c>
      <c r="AN36" s="590"/>
    </row>
    <row r="37" spans="1:40" s="20" customFormat="1" ht="15" customHeight="1" x14ac:dyDescent="0.2">
      <c r="A37" s="20">
        <v>5</v>
      </c>
      <c r="B37" s="1316" t="str">
        <f>SOLARTH</f>
        <v>Solar thermal</v>
      </c>
      <c r="C37" s="976">
        <f>SUM(Ele_Table_7a!E15:F15)</f>
        <v>0</v>
      </c>
      <c r="D37" s="978">
        <f t="shared" si="0"/>
        <v>0</v>
      </c>
      <c r="E37" s="976">
        <f>'For printing'!BG93</f>
        <v>0</v>
      </c>
      <c r="F37" s="1147" t="str">
        <f t="shared" si="1"/>
        <v>..</v>
      </c>
      <c r="G37" s="986" t="str">
        <f t="shared" si="2"/>
        <v/>
      </c>
      <c r="H37" s="983">
        <v>0.13876808968133167</v>
      </c>
      <c r="I37" s="982">
        <v>0.32155612821556129</v>
      </c>
      <c r="J37"/>
      <c r="K37" s="2456"/>
      <c r="L37" s="2456"/>
      <c r="M37" s="2456"/>
      <c r="AA37" s="1224"/>
      <c r="AB37" s="20">
        <v>1</v>
      </c>
      <c r="AC37" s="20">
        <v>2</v>
      </c>
      <c r="AD37" s="20">
        <v>3</v>
      </c>
      <c r="AE37" s="20">
        <v>4</v>
      </c>
      <c r="AF37" s="20">
        <v>5</v>
      </c>
      <c r="AG37" s="20">
        <v>6</v>
      </c>
      <c r="AH37" s="20">
        <v>7</v>
      </c>
      <c r="AI37" s="20">
        <v>8</v>
      </c>
      <c r="AJ37" s="20">
        <v>9</v>
      </c>
      <c r="AK37" s="20">
        <v>10</v>
      </c>
      <c r="AL37" s="20">
        <v>11</v>
      </c>
      <c r="AM37" s="20">
        <v>12</v>
      </c>
      <c r="AN37" s="590"/>
    </row>
    <row r="38" spans="1:40" s="20" customFormat="1" ht="15" customHeight="1" x14ac:dyDescent="0.2">
      <c r="A38" s="20">
        <v>6</v>
      </c>
      <c r="B38" s="1316" t="str">
        <f>TIDE</f>
        <v>Tide/ wave/ ocean</v>
      </c>
      <c r="C38" s="976">
        <f>SUM(Ele_Table_7a!E16:F16)</f>
        <v>0</v>
      </c>
      <c r="D38" s="978">
        <f t="shared" si="0"/>
        <v>0</v>
      </c>
      <c r="E38" s="976">
        <f>'For printing'!BH93</f>
        <v>0</v>
      </c>
      <c r="F38" s="1147" t="str">
        <f t="shared" si="1"/>
        <v>..</v>
      </c>
      <c r="G38" s="986" t="str">
        <f t="shared" si="2"/>
        <v/>
      </c>
      <c r="H38" s="983">
        <v>0.20252640115653814</v>
      </c>
      <c r="I38" s="982">
        <v>0.23574590178274635</v>
      </c>
      <c r="J38"/>
      <c r="K38" s="2456"/>
      <c r="L38" s="2456"/>
      <c r="M38" s="2456"/>
      <c r="AA38" s="589" t="str">
        <f>HLOOKUP(LangChoice,$AB$4:$AD$30,$AA17+1,FALSE)</f>
        <v>Actual production</v>
      </c>
      <c r="AB38" s="20">
        <v>88.4</v>
      </c>
      <c r="AC38" s="20">
        <v>71.3</v>
      </c>
      <c r="AD38" s="20">
        <v>71.28</v>
      </c>
      <c r="AE38" s="20">
        <v>61.76</v>
      </c>
      <c r="AF38" s="20">
        <v>48.86</v>
      </c>
      <c r="AG38" s="20">
        <v>43.04</v>
      </c>
      <c r="AH38" s="20">
        <v>40.239999999999995</v>
      </c>
      <c r="AI38" s="20">
        <v>42.879999999999995</v>
      </c>
      <c r="AJ38" s="20">
        <v>46.120000000000005</v>
      </c>
      <c r="AK38" s="20">
        <v>66.34</v>
      </c>
      <c r="AL38" s="20">
        <v>80.12</v>
      </c>
      <c r="AM38" s="20">
        <v>76.44</v>
      </c>
      <c r="AN38" s="590">
        <f>SUM(AB38:AM38)</f>
        <v>736.7800000000002</v>
      </c>
    </row>
    <row r="39" spans="1:40" s="20" customFormat="1" ht="15" customHeight="1" x14ac:dyDescent="0.2">
      <c r="A39" s="20">
        <v>7</v>
      </c>
      <c r="B39" s="1316" t="str">
        <f>WIND</f>
        <v>Wind</v>
      </c>
      <c r="C39" s="976">
        <f>SUM(Ele_Table_7a!E17:F17)</f>
        <v>0</v>
      </c>
      <c r="D39" s="978">
        <f t="shared" si="0"/>
        <v>0</v>
      </c>
      <c r="E39" s="976">
        <f>'For printing'!BI93</f>
        <v>6466.85</v>
      </c>
      <c r="F39" s="1147" t="str">
        <f t="shared" si="1"/>
        <v>..</v>
      </c>
      <c r="G39" s="986" t="str">
        <f t="shared" si="2"/>
        <v/>
      </c>
      <c r="H39" s="983">
        <v>0.18156357307731796</v>
      </c>
      <c r="I39" s="982">
        <v>0.26547884668050137</v>
      </c>
      <c r="J39"/>
      <c r="K39" s="2456"/>
      <c r="L39" s="2456"/>
      <c r="M39" s="2456"/>
      <c r="AA39" s="589" t="str">
        <f>HLOOKUP(LangChoice,$AB$4:$AD$30,$AA16+1,FALSE)</f>
        <v>Maximum possible production</v>
      </c>
      <c r="AB39" s="20">
        <f t="shared" ref="AB39:AM39" si="3">$AB$36</f>
        <v>96.36</v>
      </c>
      <c r="AC39" s="20">
        <f t="shared" si="3"/>
        <v>96.36</v>
      </c>
      <c r="AD39" s="20">
        <f t="shared" si="3"/>
        <v>96.36</v>
      </c>
      <c r="AE39" s="20">
        <f t="shared" si="3"/>
        <v>96.36</v>
      </c>
      <c r="AF39" s="20">
        <f t="shared" si="3"/>
        <v>96.36</v>
      </c>
      <c r="AG39" s="20">
        <f t="shared" si="3"/>
        <v>96.36</v>
      </c>
      <c r="AH39" s="20">
        <f t="shared" si="3"/>
        <v>96.36</v>
      </c>
      <c r="AI39" s="20">
        <f t="shared" si="3"/>
        <v>96.36</v>
      </c>
      <c r="AJ39" s="20">
        <f t="shared" si="3"/>
        <v>96.36</v>
      </c>
      <c r="AK39" s="20">
        <f t="shared" si="3"/>
        <v>96.36</v>
      </c>
      <c r="AL39" s="20">
        <f t="shared" si="3"/>
        <v>96.36</v>
      </c>
      <c r="AM39" s="20">
        <f t="shared" si="3"/>
        <v>96.36</v>
      </c>
      <c r="AN39" s="590">
        <f>SUM(AB39:AM39)</f>
        <v>1156.32</v>
      </c>
    </row>
    <row r="40" spans="1:40" s="20" customFormat="1" ht="15" customHeight="1" x14ac:dyDescent="0.2">
      <c r="A40" s="20">
        <v>8</v>
      </c>
      <c r="B40" s="1316" t="s">
        <v>7919</v>
      </c>
      <c r="C40" s="976">
        <f>SUM(Ele_Table_7a!E18:F18)</f>
        <v>0</v>
      </c>
      <c r="D40" s="978">
        <f t="shared" si="0"/>
        <v>0</v>
      </c>
      <c r="E40" s="976">
        <f>SUM('Aggregated Balance'!B61:G61,'Aggregated Balance'!L61)</f>
        <v>200651</v>
      </c>
      <c r="F40" s="1147" t="str">
        <f t="shared" si="1"/>
        <v>..</v>
      </c>
      <c r="G40" s="987"/>
      <c r="H40" s="984"/>
      <c r="I40" s="860"/>
      <c r="J40"/>
      <c r="K40" s="2456"/>
      <c r="L40" s="2456"/>
      <c r="M40" s="2456"/>
      <c r="AA40" s="703"/>
      <c r="AB40" s="32"/>
      <c r="AC40" s="32"/>
      <c r="AD40" s="32"/>
      <c r="AE40" s="32"/>
      <c r="AF40" s="32"/>
      <c r="AG40" s="32"/>
      <c r="AH40" s="32"/>
      <c r="AI40" s="32"/>
      <c r="AJ40" s="32"/>
      <c r="AK40" s="32"/>
      <c r="AL40" s="32"/>
      <c r="AM40" s="32"/>
      <c r="AN40" s="1225">
        <f>AN38/AN39</f>
        <v>0.63717656012176582</v>
      </c>
    </row>
    <row r="41" spans="1:40" s="20" customFormat="1" ht="15" customHeight="1" x14ac:dyDescent="0.2">
      <c r="A41" s="20">
        <v>9</v>
      </c>
      <c r="B41" s="1317" t="s">
        <v>8282</v>
      </c>
      <c r="C41" s="977">
        <f>SUM(Ren_Table_3a!E25:E30)</f>
        <v>0</v>
      </c>
      <c r="D41" s="979">
        <f t="shared" si="0"/>
        <v>0</v>
      </c>
      <c r="E41" s="980">
        <f>SUM('Disaggregated Balance'!AU88:BD88)</f>
        <v>309.06</v>
      </c>
      <c r="F41" s="1147" t="str">
        <f t="shared" si="1"/>
        <v>..</v>
      </c>
      <c r="G41" s="987"/>
      <c r="H41" s="984"/>
      <c r="I41" s="860"/>
      <c r="J41"/>
      <c r="K41" s="2456"/>
      <c r="L41" s="2456"/>
      <c r="M41" s="2456"/>
    </row>
    <row r="42" spans="1:40" s="20" customFormat="1" x14ac:dyDescent="0.2">
      <c r="G42"/>
      <c r="H42"/>
      <c r="I42"/>
      <c r="J42"/>
    </row>
    <row r="43" spans="1:40" s="20" customFormat="1" x14ac:dyDescent="0.2">
      <c r="G43"/>
      <c r="H43"/>
      <c r="I43"/>
      <c r="J43"/>
    </row>
    <row r="44" spans="1:40" s="20" customFormat="1" x14ac:dyDescent="0.2">
      <c r="A44" s="981" t="str">
        <f>$A$5&amp;" "&amp;$B$5</f>
        <v>9.2) Liquid biofuel production</v>
      </c>
      <c r="B44" s="520"/>
      <c r="C44" s="520"/>
      <c r="D44" s="520"/>
      <c r="E44" s="256"/>
      <c r="F44" s="520"/>
      <c r="G44" s="520"/>
      <c r="H44" s="520"/>
      <c r="I44" s="520"/>
      <c r="J44" s="520"/>
      <c r="K44" s="520"/>
      <c r="L44" s="520"/>
      <c r="M44" s="520"/>
    </row>
    <row r="45" spans="1:40" s="20" customFormat="1" ht="5.0999999999999996" customHeight="1" x14ac:dyDescent="0.2">
      <c r="B45"/>
      <c r="C45" s="989"/>
      <c r="D45" s="989"/>
      <c r="E45" s="985"/>
      <c r="F45" s="989"/>
      <c r="G45"/>
      <c r="H45"/>
      <c r="I45"/>
      <c r="J45"/>
    </row>
    <row r="46" spans="1:40" s="20" customFormat="1" ht="33.75" customHeight="1" x14ac:dyDescent="0.2">
      <c r="C46" s="1312" t="str">
        <f>C31</f>
        <v>Capacity</v>
      </c>
      <c r="D46" s="1006"/>
      <c r="E46" s="1313" t="str">
        <f>E31</f>
        <v>Actual production</v>
      </c>
      <c r="F46" s="1318" t="str">
        <f>F31</f>
        <v>Capacity factor</v>
      </c>
    </row>
    <row r="47" spans="1:40" s="20" customFormat="1" ht="11.25" x14ac:dyDescent="0.2">
      <c r="A47" s="789"/>
      <c r="B47" s="789"/>
      <c r="C47" s="1319" t="str">
        <f>HLOOKUP(LangChoice,$AB$4:$AD$30,$AA22+1,FALSE)</f>
        <v>t/a</v>
      </c>
      <c r="D47" s="1320"/>
      <c r="E47" s="1321" t="str">
        <f>C47</f>
        <v>t/a</v>
      </c>
      <c r="F47" s="1014" t="s">
        <v>8285</v>
      </c>
    </row>
    <row r="48" spans="1:40" s="20" customFormat="1" ht="11.25" x14ac:dyDescent="0.2">
      <c r="A48" s="20">
        <v>1</v>
      </c>
      <c r="B48" s="1316" t="str">
        <f>BIOGASOL</f>
        <v>Biogasoline</v>
      </c>
      <c r="C48" s="1009">
        <f>Ren_Table_3a!E39*1000</f>
        <v>0</v>
      </c>
      <c r="D48" s="1007"/>
      <c r="E48" s="1009">
        <f>'For printing'!$AW$5*1000</f>
        <v>0</v>
      </c>
      <c r="F48" s="1145" t="str">
        <f>IF(C48=0,IF(E48=0,"..","No capacity"),E48/C48)</f>
        <v>..</v>
      </c>
    </row>
    <row r="49" spans="1:13" s="20" customFormat="1" ht="11.25" x14ac:dyDescent="0.2">
      <c r="A49" s="20">
        <v>2</v>
      </c>
      <c r="B49" s="1316" t="str">
        <f>BIODIESEL</f>
        <v>Biodiesels</v>
      </c>
      <c r="C49" s="1010">
        <f>Ren_Table_3a!E40*1000</f>
        <v>0</v>
      </c>
      <c r="D49" s="1008"/>
      <c r="E49" s="1010">
        <f>'For printing'!$AY$5*1000</f>
        <v>0</v>
      </c>
      <c r="F49" s="1146" t="str">
        <f t="shared" ref="F49:F51" si="4">IF(C49=0,IF(E49=0,"..","No capacity"),E49/C49)</f>
        <v>..</v>
      </c>
    </row>
    <row r="50" spans="1:13" s="20" customFormat="1" ht="11.25" x14ac:dyDescent="0.2">
      <c r="A50" s="20">
        <v>3</v>
      </c>
      <c r="B50" s="1316" t="str">
        <f>BIOJETKERO</f>
        <v>Bio jet kerosene</v>
      </c>
      <c r="C50" s="1010">
        <f>Ren_Table_3a!E41*1000</f>
        <v>0</v>
      </c>
      <c r="D50" s="1008"/>
      <c r="E50" s="1010">
        <f>'For printing'!$AX$5*1000</f>
        <v>0</v>
      </c>
      <c r="F50" s="1146" t="str">
        <f t="shared" si="4"/>
        <v>..</v>
      </c>
    </row>
    <row r="51" spans="1:13" s="20" customFormat="1" ht="11.25" x14ac:dyDescent="0.2">
      <c r="A51" s="20">
        <v>4</v>
      </c>
      <c r="B51" s="1316" t="str">
        <f>OBIOLIQ</f>
        <v>Other liquid biofuels</v>
      </c>
      <c r="C51" s="1010">
        <f>Ren_Table_3a!E42*1000</f>
        <v>0</v>
      </c>
      <c r="D51" s="1008"/>
      <c r="E51" s="1010">
        <f>'For printing'!$AZ$5*1000</f>
        <v>0</v>
      </c>
      <c r="F51" s="1146" t="str">
        <f t="shared" si="4"/>
        <v>..</v>
      </c>
    </row>
    <row r="52" spans="1:13" s="20" customFormat="1" ht="11.25" x14ac:dyDescent="0.2"/>
    <row r="53" spans="1:13" s="20" customFormat="1" ht="11.25" x14ac:dyDescent="0.2"/>
    <row r="54" spans="1:13" s="20" customFormat="1" ht="11.25" x14ac:dyDescent="0.2"/>
    <row r="55" spans="1:13" s="20" customFormat="1" x14ac:dyDescent="0.2">
      <c r="A55" s="981" t="str">
        <f>$A$6&amp;" "&amp;$B$6</f>
        <v>9.3) Refinery production (coming with annual questionnaire 2019 update)</v>
      </c>
      <c r="B55" s="520"/>
      <c r="C55" s="520"/>
      <c r="D55" s="520"/>
      <c r="E55" s="256"/>
      <c r="F55" s="520"/>
      <c r="G55" s="520"/>
      <c r="H55" s="520"/>
      <c r="I55" s="520"/>
      <c r="J55" s="520"/>
      <c r="K55" s="520"/>
      <c r="L55" s="520"/>
      <c r="M55" s="520"/>
    </row>
    <row r="56" spans="1:13" s="20" customFormat="1" ht="5.0999999999999996" customHeight="1" x14ac:dyDescent="0.2">
      <c r="B56"/>
      <c r="C56"/>
      <c r="D56"/>
      <c r="E56"/>
      <c r="G56"/>
      <c r="H56"/>
      <c r="I56"/>
      <c r="J56"/>
    </row>
    <row r="57" spans="1:13" s="20" customFormat="1" ht="10.5" customHeight="1" x14ac:dyDescent="0.2">
      <c r="A57" s="648"/>
      <c r="B57" s="860"/>
      <c r="C57" s="860"/>
      <c r="D57" s="860"/>
      <c r="E57" s="860"/>
      <c r="F57" s="648"/>
      <c r="G57" s="860"/>
      <c r="H57" s="860"/>
      <c r="I57" s="860"/>
      <c r="J57" s="860"/>
      <c r="K57" s="648"/>
      <c r="L57" s="648"/>
      <c r="M57" s="648"/>
    </row>
    <row r="58" spans="1:13" s="20" customFormat="1" ht="10.5" customHeight="1" x14ac:dyDescent="0.2">
      <c r="A58" s="648"/>
      <c r="B58" s="860"/>
      <c r="C58" s="860"/>
      <c r="D58" s="860"/>
      <c r="E58" s="860"/>
      <c r="F58" s="648"/>
      <c r="G58" s="860"/>
      <c r="H58" s="860"/>
      <c r="I58" s="860"/>
      <c r="J58" s="860"/>
      <c r="K58" s="648"/>
      <c r="L58" s="648"/>
      <c r="M58" s="648"/>
    </row>
    <row r="59" spans="1:13" s="20" customFormat="1" ht="10.5" customHeight="1" x14ac:dyDescent="0.2">
      <c r="A59" s="648"/>
      <c r="B59" s="860"/>
      <c r="C59" s="860"/>
      <c r="D59" s="860"/>
      <c r="E59" s="860"/>
      <c r="F59" s="648"/>
      <c r="G59" s="860"/>
      <c r="H59" s="860"/>
      <c r="I59" s="860"/>
      <c r="J59" s="860"/>
      <c r="K59" s="648"/>
      <c r="L59" s="648"/>
      <c r="M59" s="648"/>
    </row>
    <row r="60" spans="1:13" s="20" customFormat="1" ht="10.5" customHeight="1" x14ac:dyDescent="0.2">
      <c r="A60" s="648"/>
      <c r="B60" s="860"/>
      <c r="C60" s="860"/>
      <c r="D60" s="860"/>
      <c r="E60" s="860"/>
      <c r="F60" s="648"/>
      <c r="G60" s="860"/>
      <c r="H60" s="860"/>
      <c r="I60" s="860"/>
      <c r="J60" s="860"/>
      <c r="K60" s="648"/>
      <c r="L60" s="648"/>
      <c r="M60" s="648"/>
    </row>
    <row r="61" spans="1:13" ht="10.5" customHeight="1" x14ac:dyDescent="0.2">
      <c r="A61" s="860"/>
      <c r="B61" s="860"/>
      <c r="C61" s="860"/>
      <c r="D61" s="860"/>
      <c r="E61" s="860"/>
      <c r="F61" s="860"/>
      <c r="G61" s="860"/>
      <c r="H61" s="860"/>
      <c r="I61" s="860"/>
      <c r="J61" s="860"/>
      <c r="K61" s="860"/>
      <c r="L61" s="860"/>
      <c r="M61" s="860"/>
    </row>
  </sheetData>
  <sheetProtection algorithmName="SHA-512" hashValue="BGKBoVwU1xERzcYuxokJ5Y1jmhmbcYfEGJa7AzhRAXoF0qTQuJhguLvNXGxpM3Fupc1tV82kcWB023p4phl+mA==" saltValue="6ZfC2PB84qG33y8PXiOrOA==" spinCount="100000" sheet="1" objects="1" scenarios="1"/>
  <mergeCells count="9">
    <mergeCell ref="K32:M41"/>
    <mergeCell ref="H16:M16"/>
    <mergeCell ref="H18:M18"/>
    <mergeCell ref="A8:M8"/>
    <mergeCell ref="G10:G13"/>
    <mergeCell ref="H10:K10"/>
    <mergeCell ref="H13:K13"/>
    <mergeCell ref="H31:I31"/>
    <mergeCell ref="H14:K14"/>
  </mergeCells>
  <pageMargins left="0.70866141732283472" right="0.70866141732283472" top="0.74803149606299213" bottom="0.74803149606299213" header="0.31496062992125984" footer="0.31496062992125984"/>
  <pageSetup paperSize="9" orientation="landscape" r:id="rId1"/>
  <drawing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theme="9" tint="0.59999389629810485"/>
  </sheetPr>
  <dimension ref="A1:AZ55"/>
  <sheetViews>
    <sheetView showGridLines="0" topLeftCell="A27" zoomScaleNormal="100" zoomScaleSheetLayoutView="100" workbookViewId="0">
      <selection activeCell="E27" sqref="E27"/>
    </sheetView>
  </sheetViews>
  <sheetFormatPr defaultRowHeight="12.75" x14ac:dyDescent="0.2"/>
  <cols>
    <col min="1" max="1" width="12.7109375" customWidth="1"/>
    <col min="2" max="2" width="18.28515625" customWidth="1"/>
    <col min="3" max="6" width="11" customWidth="1"/>
    <col min="7" max="7" width="10.140625" customWidth="1"/>
    <col min="8" max="8" width="9.28515625" customWidth="1"/>
    <col min="9" max="9" width="10" customWidth="1"/>
    <col min="10" max="10" width="29.28515625" customWidth="1"/>
    <col min="11" max="11" width="6.7109375" bestFit="1" customWidth="1"/>
    <col min="12" max="16" width="6.7109375" customWidth="1"/>
    <col min="17" max="17" width="7.140625" bestFit="1" customWidth="1"/>
    <col min="18" max="18" width="5.85546875" bestFit="1" customWidth="1"/>
    <col min="19" max="19" width="5.5703125" customWidth="1"/>
    <col min="20" max="20" width="6.42578125" bestFit="1" customWidth="1"/>
    <col min="21" max="24" width="6.42578125" customWidth="1"/>
    <col min="25" max="25" width="8.85546875" customWidth="1"/>
    <col min="27" max="27" width="8.5703125" hidden="1" customWidth="1"/>
    <col min="28" max="30" width="21.140625" hidden="1" customWidth="1"/>
    <col min="31" max="52" width="9.140625" hidden="1" customWidth="1"/>
  </cols>
  <sheetData>
    <row r="1" spans="1:33" ht="43.5" customHeight="1" x14ac:dyDescent="0.2">
      <c r="A1" s="2128" t="str">
        <f>HLOOKUP(LangChoice,$AB$9:$AD$39,$AA10+1,FALSE)</f>
        <v>Data validation: Electricity and heat generation sector</v>
      </c>
      <c r="B1" s="2130"/>
      <c r="C1" s="2114"/>
      <c r="D1" s="2114"/>
      <c r="E1" s="2114"/>
      <c r="F1" s="2114"/>
      <c r="G1" s="2114"/>
      <c r="H1" s="2114"/>
      <c r="I1" s="2114"/>
      <c r="J1" s="2114"/>
      <c r="AA1" s="1239" t="s">
        <v>1</v>
      </c>
      <c r="AB1" s="617"/>
      <c r="AC1" s="617"/>
      <c r="AD1" s="617"/>
      <c r="AE1" s="617"/>
      <c r="AF1" s="617"/>
      <c r="AG1" s="723" t="s">
        <v>8050</v>
      </c>
    </row>
    <row r="2" spans="1:33" ht="12.75" customHeight="1" x14ac:dyDescent="0.2">
      <c r="A2" s="259" t="str">
        <f>IronSteel_CokeOven!A2</f>
        <v>Checks:</v>
      </c>
      <c r="B2" s="20"/>
      <c r="C2" s="20"/>
      <c r="D2" s="259" t="str">
        <f>IronSteel_CokeOven!E2</f>
        <v>Process details:</v>
      </c>
      <c r="F2" s="259"/>
      <c r="G2" s="20"/>
      <c r="H2" s="20"/>
      <c r="I2" s="20"/>
      <c r="J2" s="20"/>
    </row>
    <row r="3" spans="1:33" ht="12.75" customHeight="1" x14ac:dyDescent="0.2">
      <c r="A3" s="562" t="s">
        <v>8291</v>
      </c>
      <c r="B3" s="259" t="str">
        <f>HLOOKUP(LangChoice,$AB$9:$AD$39,$AA11+1,FALSE)</f>
        <v>Electricity-only plants</v>
      </c>
      <c r="C3" s="20"/>
      <c r="D3" s="563" t="s">
        <v>8052</v>
      </c>
      <c r="F3" s="563"/>
      <c r="G3" s="20"/>
      <c r="H3" s="20"/>
      <c r="I3" s="20"/>
      <c r="J3" s="20"/>
    </row>
    <row r="4" spans="1:33" ht="12.75" customHeight="1" x14ac:dyDescent="0.2">
      <c r="A4" s="562" t="s">
        <v>8292</v>
      </c>
      <c r="B4" s="259" t="str">
        <f>HLOOKUP(LangChoice,$AB$9:$AD$39,$AA12+1,FALSE)</f>
        <v>CHP plants</v>
      </c>
      <c r="C4" s="20"/>
      <c r="D4" s="20"/>
      <c r="E4" s="20"/>
      <c r="F4" s="20"/>
      <c r="G4" s="20"/>
      <c r="H4" s="20"/>
      <c r="I4" s="20"/>
      <c r="J4" s="20"/>
    </row>
    <row r="5" spans="1:33" ht="12.75" customHeight="1" x14ac:dyDescent="0.2">
      <c r="A5" s="562" t="s">
        <v>8293</v>
      </c>
      <c r="B5" s="259" t="str">
        <f>HLOOKUP(LangChoice,$AB$9:$AD$39,$AA13+1,FALSE)</f>
        <v>Heat plants</v>
      </c>
      <c r="C5" s="20"/>
      <c r="D5" s="20"/>
      <c r="E5" s="20"/>
      <c r="F5" s="20"/>
      <c r="G5" s="20"/>
      <c r="H5" s="20"/>
      <c r="I5" s="20"/>
      <c r="J5" s="699"/>
    </row>
    <row r="6" spans="1:33" ht="12.75" customHeight="1" x14ac:dyDescent="0.2">
      <c r="A6" s="565"/>
      <c r="B6" s="566"/>
      <c r="C6" s="32"/>
      <c r="D6" s="32"/>
      <c r="E6" s="32"/>
      <c r="F6" s="32"/>
      <c r="G6" s="32"/>
      <c r="H6" s="32"/>
      <c r="I6" s="32"/>
      <c r="J6" s="700"/>
    </row>
    <row r="7" spans="1:33" ht="5.0999999999999996" customHeight="1" x14ac:dyDescent="0.2">
      <c r="A7" s="561"/>
      <c r="B7" s="564"/>
      <c r="C7" s="20"/>
      <c r="D7" s="20"/>
      <c r="E7" s="20"/>
      <c r="F7" s="20"/>
      <c r="G7" s="20"/>
      <c r="H7" s="20"/>
      <c r="I7" s="20"/>
      <c r="J7" s="699"/>
    </row>
    <row r="8" spans="1:33" ht="89.25" customHeight="1" x14ac:dyDescent="0.2">
      <c r="A8" s="2416" t="str">
        <f>HLOOKUP(LangChoice,$AB$9:$AD$39,$AA14+1,FALSE)</f>
        <v>Primary electricity is obtained from natural sources such as hydro, wind and solar power, whereas primary heat is obtained from geothermal and solar thermal power. Secondary electricity and heat is produced e.g by burning primary combustible fuels such as coal, natural gas, oil and renewables and wastes. The annual questionnaires classify electricity and heat generating plants into three groups:
1) Electricity-only plants, which generate electricity only;
2) Heat-only plants, which generate heat only;
3) Combined heat and power plants (CHP), which generate heat and electricity in a combined process.</v>
      </c>
      <c r="B8" s="2416"/>
      <c r="C8" s="2416"/>
      <c r="D8" s="2416"/>
      <c r="E8" s="2416"/>
      <c r="F8" s="2416"/>
      <c r="G8" s="2416"/>
      <c r="H8" s="2416"/>
      <c r="I8" s="2416"/>
      <c r="J8" s="2416"/>
      <c r="AA8" s="20"/>
      <c r="AB8" s="530" t="s">
        <v>8055</v>
      </c>
      <c r="AC8" s="531"/>
      <c r="AD8" s="531"/>
    </row>
    <row r="9" spans="1:33" ht="7.5" customHeight="1" x14ac:dyDescent="0.2">
      <c r="A9" s="561"/>
      <c r="B9" s="207"/>
      <c r="C9" s="207"/>
      <c r="D9" s="207"/>
      <c r="E9" s="207"/>
      <c r="F9" s="207"/>
      <c r="G9" s="207"/>
      <c r="H9" s="207"/>
      <c r="I9" s="207"/>
      <c r="J9" s="207"/>
      <c r="K9" s="207"/>
      <c r="L9" s="207"/>
      <c r="M9" s="207"/>
      <c r="N9" s="207"/>
      <c r="O9" s="207"/>
      <c r="P9" s="207"/>
      <c r="Q9" s="592"/>
      <c r="R9" s="592"/>
      <c r="S9" s="592"/>
      <c r="AA9" s="20">
        <v>1</v>
      </c>
      <c r="AB9" s="530" t="s">
        <v>7</v>
      </c>
      <c r="AC9" s="530" t="s">
        <v>8</v>
      </c>
      <c r="AD9" s="530" t="s">
        <v>9</v>
      </c>
    </row>
    <row r="10" spans="1:33" ht="12.75" customHeight="1" x14ac:dyDescent="0.2">
      <c r="A10" s="561"/>
      <c r="B10" s="207"/>
      <c r="C10" s="207"/>
      <c r="D10" s="207"/>
      <c r="E10" s="207"/>
      <c r="F10" s="207"/>
      <c r="G10" s="207"/>
      <c r="H10" s="207"/>
      <c r="I10" s="207"/>
      <c r="J10" s="207"/>
      <c r="K10" s="207"/>
      <c r="L10" s="207"/>
      <c r="M10" s="207"/>
      <c r="N10" s="207"/>
      <c r="O10" s="207"/>
      <c r="P10" s="207"/>
      <c r="Q10" s="592"/>
      <c r="R10" s="592"/>
      <c r="S10" s="592"/>
      <c r="AA10" s="20">
        <v>1</v>
      </c>
      <c r="AB10" s="259" t="s">
        <v>8294</v>
      </c>
      <c r="AC10" s="259" t="s">
        <v>8295</v>
      </c>
      <c r="AD10" s="259"/>
    </row>
    <row r="11" spans="1:33" ht="12.75" customHeight="1" x14ac:dyDescent="0.2">
      <c r="A11" s="561"/>
      <c r="B11" s="207"/>
      <c r="C11" s="207"/>
      <c r="D11" s="207"/>
      <c r="E11" s="207"/>
      <c r="F11" s="207"/>
      <c r="G11" s="207"/>
      <c r="H11" s="207"/>
      <c r="I11" s="207"/>
      <c r="J11" s="207"/>
      <c r="K11" s="207"/>
      <c r="L11" s="207"/>
      <c r="M11" s="207"/>
      <c r="N11" s="207"/>
      <c r="O11" s="207"/>
      <c r="P11" s="207"/>
      <c r="Q11" s="592"/>
      <c r="R11" s="592"/>
      <c r="S11" s="592"/>
      <c r="AA11" s="20">
        <v>2</v>
      </c>
      <c r="AB11" s="20" t="s">
        <v>8296</v>
      </c>
      <c r="AC11" s="20" t="s">
        <v>7041</v>
      </c>
    </row>
    <row r="12" spans="1:33" ht="12.75" customHeight="1" x14ac:dyDescent="0.2">
      <c r="A12" s="561"/>
      <c r="B12" s="564"/>
      <c r="C12" s="20"/>
      <c r="D12" s="20"/>
      <c r="E12" s="20"/>
      <c r="F12" s="20"/>
      <c r="G12" s="20"/>
      <c r="H12" s="20"/>
      <c r="I12" s="20"/>
      <c r="J12" s="699"/>
      <c r="K12" s="592"/>
      <c r="L12" s="592"/>
      <c r="M12" s="592"/>
      <c r="N12" s="592"/>
      <c r="O12" s="592"/>
      <c r="P12" s="592"/>
      <c r="Q12" s="592"/>
      <c r="R12" s="592"/>
      <c r="S12" s="592"/>
      <c r="AA12" s="20">
        <v>3</v>
      </c>
      <c r="AB12" s="20" t="s">
        <v>7043</v>
      </c>
      <c r="AC12" s="20" t="s">
        <v>7044</v>
      </c>
    </row>
    <row r="13" spans="1:33" ht="12.75" customHeight="1" x14ac:dyDescent="0.2">
      <c r="A13" s="561"/>
      <c r="B13" s="564"/>
      <c r="C13" s="20"/>
      <c r="D13" s="20"/>
      <c r="E13" s="20"/>
      <c r="F13" s="20"/>
      <c r="G13" s="20"/>
      <c r="H13" s="20"/>
      <c r="I13" s="20"/>
      <c r="J13" s="699"/>
      <c r="K13" s="592"/>
      <c r="L13" s="592"/>
      <c r="M13" s="592"/>
      <c r="N13" s="592"/>
      <c r="O13" s="592"/>
      <c r="P13" s="592"/>
      <c r="Q13" s="592"/>
      <c r="R13" s="592"/>
      <c r="S13" s="592"/>
      <c r="AA13" s="20">
        <v>4</v>
      </c>
      <c r="AB13" s="20" t="s">
        <v>7046</v>
      </c>
      <c r="AC13" s="20" t="s">
        <v>7047</v>
      </c>
    </row>
    <row r="14" spans="1:33" ht="12.75" customHeight="1" x14ac:dyDescent="0.2">
      <c r="A14" s="561"/>
      <c r="B14" s="564"/>
      <c r="C14" s="20"/>
      <c r="D14" s="20"/>
      <c r="E14" s="20"/>
      <c r="F14" s="20"/>
      <c r="G14" s="20"/>
      <c r="H14" s="20"/>
      <c r="I14" s="20"/>
      <c r="J14" s="699"/>
      <c r="K14" s="592"/>
      <c r="L14" s="592"/>
      <c r="M14" s="592"/>
      <c r="N14" s="592"/>
      <c r="O14" s="592"/>
      <c r="P14" s="592"/>
      <c r="Q14" s="592"/>
      <c r="R14" s="592"/>
      <c r="S14" s="592"/>
      <c r="AA14" s="20">
        <v>5</v>
      </c>
      <c r="AB14" s="241" t="s">
        <v>8297</v>
      </c>
      <c r="AC14" s="1134" t="s">
        <v>8298</v>
      </c>
      <c r="AD14" s="20" t="s">
        <v>12</v>
      </c>
    </row>
    <row r="15" spans="1:33" ht="12.75" customHeight="1" x14ac:dyDescent="0.2">
      <c r="A15" s="561"/>
      <c r="B15" s="564"/>
      <c r="C15" s="20"/>
      <c r="D15" s="20"/>
      <c r="E15" s="20"/>
      <c r="F15" s="20"/>
      <c r="G15" s="20"/>
      <c r="H15" s="20"/>
      <c r="I15" s="20"/>
      <c r="J15" s="699"/>
      <c r="K15" s="592"/>
      <c r="L15" s="592"/>
      <c r="M15" s="592"/>
      <c r="N15" s="592"/>
      <c r="O15" s="592"/>
      <c r="P15" s="592"/>
      <c r="Q15" s="592"/>
      <c r="R15" s="592"/>
      <c r="S15" s="592"/>
      <c r="AA15" s="20">
        <v>6</v>
      </c>
      <c r="AB15" s="241" t="s">
        <v>8299</v>
      </c>
      <c r="AC15" s="20" t="s">
        <v>8227</v>
      </c>
      <c r="AD15" s="20"/>
    </row>
    <row r="16" spans="1:33" ht="12.75" customHeight="1" x14ac:dyDescent="0.2">
      <c r="A16" s="561"/>
      <c r="B16" s="564"/>
      <c r="C16" s="20"/>
      <c r="D16" s="20"/>
      <c r="E16" s="20"/>
      <c r="F16" s="20"/>
      <c r="G16" s="20"/>
      <c r="H16" s="20"/>
      <c r="I16" s="20"/>
      <c r="J16" s="699"/>
      <c r="K16" s="592"/>
      <c r="L16" s="592"/>
      <c r="M16" s="592"/>
      <c r="N16" s="592"/>
      <c r="O16" s="592"/>
      <c r="P16" s="592"/>
      <c r="Q16" s="592"/>
      <c r="R16" s="592"/>
      <c r="S16" s="592"/>
      <c r="AA16" s="20">
        <v>7</v>
      </c>
      <c r="AB16" s="241" t="s">
        <v>8300</v>
      </c>
      <c r="AC16" s="20" t="s">
        <v>8301</v>
      </c>
    </row>
    <row r="17" spans="1:32" ht="12.75" customHeight="1" x14ac:dyDescent="0.2">
      <c r="A17" s="561"/>
      <c r="B17" s="564"/>
      <c r="C17" s="20"/>
      <c r="D17" s="20"/>
      <c r="E17" s="20"/>
      <c r="F17" s="20"/>
      <c r="G17" s="20"/>
      <c r="H17" s="20"/>
      <c r="I17" s="20"/>
      <c r="J17" s="699"/>
      <c r="K17" s="592"/>
      <c r="L17" s="592"/>
      <c r="M17" s="592"/>
      <c r="N17" s="592"/>
      <c r="O17" s="592"/>
      <c r="P17" s="592"/>
      <c r="Q17" s="592"/>
      <c r="R17" s="592"/>
      <c r="S17" s="592"/>
      <c r="AA17" s="20">
        <v>8</v>
      </c>
      <c r="AB17" s="241" t="s">
        <v>8302</v>
      </c>
      <c r="AC17" s="20" t="s">
        <v>8303</v>
      </c>
    </row>
    <row r="18" spans="1:32" ht="12.75" customHeight="1" x14ac:dyDescent="0.2">
      <c r="A18" s="561"/>
      <c r="B18" s="564"/>
      <c r="C18" s="20"/>
      <c r="D18" s="20"/>
      <c r="E18" s="20"/>
      <c r="F18" s="20"/>
      <c r="G18" s="20"/>
      <c r="H18" s="20"/>
      <c r="I18" s="20"/>
      <c r="J18" s="699"/>
      <c r="K18" s="592"/>
      <c r="L18" s="592"/>
      <c r="M18" s="592"/>
      <c r="N18" s="592"/>
      <c r="O18" s="592"/>
      <c r="P18" s="592"/>
      <c r="Q18" s="592"/>
      <c r="R18" s="592"/>
      <c r="S18" s="592"/>
      <c r="AA18" s="20">
        <v>9</v>
      </c>
      <c r="AC18" s="20"/>
    </row>
    <row r="19" spans="1:32" ht="12.75" customHeight="1" x14ac:dyDescent="0.2">
      <c r="A19" s="561"/>
      <c r="B19" s="564"/>
      <c r="C19" s="20"/>
      <c r="D19" s="20"/>
      <c r="E19" s="20"/>
      <c r="F19" s="20"/>
      <c r="G19" s="20"/>
      <c r="H19" s="20"/>
      <c r="I19" s="20"/>
      <c r="J19" s="699"/>
      <c r="K19" s="592"/>
      <c r="L19" s="592"/>
      <c r="M19" s="592"/>
      <c r="N19" s="592"/>
      <c r="O19" s="592"/>
      <c r="P19" s="592"/>
      <c r="Q19" s="592"/>
      <c r="R19" s="592"/>
      <c r="S19" s="592"/>
      <c r="AA19" s="20">
        <v>10</v>
      </c>
      <c r="AB19" s="241" t="s">
        <v>8304</v>
      </c>
      <c r="AC19" s="20" t="s">
        <v>8305</v>
      </c>
    </row>
    <row r="20" spans="1:32" ht="12.75" customHeight="1" x14ac:dyDescent="0.2">
      <c r="A20" s="561"/>
      <c r="B20" s="564"/>
      <c r="C20" s="32"/>
      <c r="D20" s="32"/>
      <c r="E20" s="32"/>
      <c r="F20" s="32"/>
      <c r="G20" s="20"/>
      <c r="H20" s="20"/>
      <c r="I20" s="20"/>
      <c r="J20" s="699"/>
      <c r="K20" s="592"/>
      <c r="L20" s="592"/>
      <c r="M20" s="592"/>
      <c r="N20" s="592"/>
      <c r="O20" s="592"/>
      <c r="P20" s="592"/>
      <c r="Q20" s="592"/>
      <c r="R20" s="592"/>
      <c r="S20" s="592"/>
      <c r="AA20" s="20">
        <v>11</v>
      </c>
      <c r="AB20" s="241" t="s">
        <v>8306</v>
      </c>
      <c r="AC20" s="20" t="s">
        <v>8307</v>
      </c>
    </row>
    <row r="21" spans="1:32" s="20" customFormat="1" ht="16.5" customHeight="1" x14ac:dyDescent="0.2">
      <c r="A21" s="15"/>
      <c r="C21" s="2467" t="str">
        <f>IronSteel_CokeOven!$A$33&amp;" ["&amp;IronSteel_CokeOven!$H$33&amp;"]"</f>
        <v>Input(s) [ktoe]</v>
      </c>
      <c r="D21" s="2467"/>
      <c r="E21" s="2467"/>
      <c r="F21" s="2468"/>
      <c r="G21" s="703"/>
      <c r="H21" s="32"/>
      <c r="K21"/>
      <c r="L21"/>
      <c r="M21"/>
      <c r="N21"/>
      <c r="O21"/>
      <c r="P21"/>
      <c r="Q21"/>
      <c r="R21"/>
      <c r="S21"/>
      <c r="T21"/>
      <c r="U21"/>
      <c r="V21"/>
      <c r="W21"/>
      <c r="X21"/>
      <c r="Y21"/>
      <c r="Z21"/>
      <c r="AA21" s="20">
        <v>12</v>
      </c>
      <c r="AB21" s="241" t="s">
        <v>8308</v>
      </c>
      <c r="AC21" s="20" t="s">
        <v>8309</v>
      </c>
      <c r="AD21"/>
      <c r="AE21"/>
      <c r="AF21"/>
    </row>
    <row r="22" spans="1:32" s="20" customFormat="1" x14ac:dyDescent="0.2">
      <c r="A22" s="15"/>
      <c r="C22" s="259"/>
      <c r="D22" s="259"/>
      <c r="E22" s="259"/>
      <c r="F22" s="715"/>
      <c r="G22" s="2281" t="str">
        <f>IronSteel_CokeOven!$A$37</f>
        <v>Output(s)</v>
      </c>
      <c r="H22" s="2281"/>
      <c r="I22" s="589"/>
      <c r="K22"/>
      <c r="L22"/>
      <c r="M22"/>
      <c r="N22"/>
      <c r="O22"/>
      <c r="P22"/>
      <c r="Q22"/>
      <c r="R22"/>
      <c r="S22"/>
      <c r="T22"/>
      <c r="U22"/>
      <c r="V22"/>
      <c r="W22"/>
      <c r="X22"/>
      <c r="Y22"/>
      <c r="Z22"/>
      <c r="AA22" s="20">
        <v>13</v>
      </c>
      <c r="AB22" s="241" t="s">
        <v>8310</v>
      </c>
      <c r="AC22" s="20" t="s">
        <v>8311</v>
      </c>
      <c r="AD22"/>
      <c r="AE22"/>
      <c r="AF22"/>
    </row>
    <row r="23" spans="1:32" s="20" customFormat="1" ht="25.5" customHeight="1" x14ac:dyDescent="0.2">
      <c r="A23" s="15"/>
      <c r="C23" s="1056" t="str">
        <f>'Published Balance'!B6</f>
        <v>Coal</v>
      </c>
      <c r="D23" s="1056" t="str">
        <f>NATGAS</f>
        <v>Natural gas</v>
      </c>
      <c r="E23" s="1056" t="str">
        <f>'Balance Summary'!AH4</f>
        <v>Oil</v>
      </c>
      <c r="F23" s="1057" t="str">
        <f>'Published Balance'!I6</f>
        <v>Biofuels/
Waste</v>
      </c>
      <c r="G23" s="1226" t="str">
        <f>ELECTR</f>
        <v>Electricity</v>
      </c>
      <c r="H23" s="1060" t="str">
        <f>HEAT</f>
        <v>Heat</v>
      </c>
      <c r="K23"/>
      <c r="L23"/>
      <c r="M23"/>
      <c r="N23"/>
      <c r="O23"/>
      <c r="P23"/>
      <c r="Q23"/>
      <c r="R23"/>
      <c r="S23"/>
      <c r="T23"/>
      <c r="U23"/>
      <c r="V23"/>
      <c r="W23"/>
      <c r="X23"/>
      <c r="Y23"/>
      <c r="Z23"/>
      <c r="AA23" s="20">
        <v>14</v>
      </c>
      <c r="AB23" s="241" t="s">
        <v>8312</v>
      </c>
      <c r="AC23" s="20" t="s">
        <v>8313</v>
      </c>
      <c r="AD23"/>
      <c r="AE23"/>
      <c r="AF23"/>
    </row>
    <row r="24" spans="1:32" s="20" customFormat="1" x14ac:dyDescent="0.2">
      <c r="A24" s="15"/>
      <c r="F24" s="590"/>
      <c r="G24" s="589"/>
      <c r="H24" s="590"/>
      <c r="K24"/>
      <c r="L24"/>
      <c r="M24"/>
      <c r="N24"/>
      <c r="O24"/>
      <c r="P24"/>
      <c r="Q24"/>
      <c r="R24"/>
      <c r="S24"/>
      <c r="T24"/>
      <c r="U24"/>
      <c r="V24"/>
      <c r="W24"/>
      <c r="X24"/>
      <c r="Y24"/>
      <c r="Z24"/>
      <c r="AA24" s="20">
        <v>15</v>
      </c>
      <c r="AB24" s="241" t="s">
        <v>8314</v>
      </c>
      <c r="AC24" s="20" t="s">
        <v>8315</v>
      </c>
      <c r="AD24"/>
      <c r="AE24"/>
      <c r="AF24"/>
    </row>
    <row r="25" spans="1:32" s="20" customFormat="1" x14ac:dyDescent="0.2">
      <c r="A25" s="15"/>
      <c r="F25" s="590"/>
      <c r="G25" s="724"/>
      <c r="H25" s="1058"/>
      <c r="K25"/>
      <c r="L25"/>
      <c r="M25"/>
      <c r="N25"/>
      <c r="O25"/>
      <c r="P25"/>
      <c r="Q25"/>
      <c r="R25"/>
      <c r="S25"/>
      <c r="T25"/>
      <c r="U25"/>
      <c r="V25"/>
      <c r="W25"/>
      <c r="X25"/>
      <c r="Y25"/>
      <c r="Z25"/>
      <c r="AA25" s="20">
        <v>16</v>
      </c>
      <c r="AB25" s="241" t="s">
        <v>8316</v>
      </c>
      <c r="AC25" s="20" t="s">
        <v>8317</v>
      </c>
      <c r="AD25"/>
      <c r="AE25"/>
      <c r="AF25"/>
    </row>
    <row r="26" spans="1:32" s="20" customFormat="1" x14ac:dyDescent="0.2">
      <c r="A26" s="15"/>
      <c r="B26" s="32"/>
      <c r="C26" s="32"/>
      <c r="D26" s="32"/>
      <c r="E26" s="32"/>
      <c r="F26" s="628"/>
      <c r="G26" s="701" t="str">
        <f>HLOOKUP(LangChoice,Definitions_ProdLang!$I$2:$K$77,Definitions_ProdLang!$A$73+1,FALSE)</f>
        <v>GWh</v>
      </c>
      <c r="H26" s="1059" t="str">
        <f>HLOOKUP(LangChoice,Definitions_ProdLang!$I$2:$K$77,Definitions_ProdLang!$A$74+1,FALSE)</f>
        <v>TJ</v>
      </c>
      <c r="I26" s="728" t="str">
        <f>HLOOKUP(LangChoice,$AB$9:$AD$39,$AA15+1,FALSE)</f>
        <v>Efficiency</v>
      </c>
      <c r="J26" s="729" t="str">
        <f>HLOOKUP(LangChoice,$AB$9:$AD$39,$AA16+1,FALSE)</f>
        <v>Must always be between 0-100%!</v>
      </c>
      <c r="K26"/>
      <c r="L26"/>
      <c r="M26"/>
      <c r="N26"/>
      <c r="O26"/>
      <c r="P26"/>
      <c r="Q26"/>
      <c r="R26"/>
      <c r="S26"/>
      <c r="T26"/>
      <c r="U26"/>
      <c r="V26"/>
      <c r="W26"/>
      <c r="X26"/>
      <c r="Y26"/>
      <c r="Z26"/>
      <c r="AA26" s="20">
        <v>17</v>
      </c>
      <c r="AB26" s="241" t="s">
        <v>8318</v>
      </c>
      <c r="AC26" s="20" t="s">
        <v>8319</v>
      </c>
      <c r="AD26"/>
      <c r="AE26"/>
      <c r="AF26"/>
    </row>
    <row r="27" spans="1:32" x14ac:dyDescent="0.2">
      <c r="A27" s="15"/>
      <c r="B27" s="561" t="str">
        <f>A3&amp; " " &amp; B3</f>
        <v>4) Electricity-only plants</v>
      </c>
      <c r="C27" s="704">
        <f ca="1">SUM('Aggregated Balance'!B12:D13)</f>
        <v>-2358752.038251</v>
      </c>
      <c r="D27" s="704">
        <f ca="1">SUM('Aggregated Balance'!G12:G13)</f>
        <v>0</v>
      </c>
      <c r="E27" s="704">
        <f ca="1">SUM('Aggregated Balance'!E12:F13)</f>
        <v>0</v>
      </c>
      <c r="F27" s="725">
        <f ca="1">SUM('Aggregated Balance'!L12:L13)</f>
        <v>-4295.21</v>
      </c>
      <c r="G27" s="704">
        <f>SUM('Aggregated Balance'!B62:G63,'Aggregated Balance'!L62:L63)</f>
        <v>200651</v>
      </c>
      <c r="H27" s="727"/>
      <c r="I27" s="726">
        <f ca="1">IFERROR(G27*GWh_to_ktoe/-SUM(C27:F27),"..")</f>
        <v>7.301115326527211E-3</v>
      </c>
      <c r="AA27" s="20">
        <v>18</v>
      </c>
      <c r="AB27" s="241" t="s">
        <v>8320</v>
      </c>
      <c r="AC27" s="20" t="s">
        <v>8321</v>
      </c>
    </row>
    <row r="28" spans="1:32" x14ac:dyDescent="0.2">
      <c r="A28" s="15"/>
      <c r="B28" s="561" t="str">
        <f>A4&amp; " " &amp; B4</f>
        <v>5) CHP plants</v>
      </c>
      <c r="C28" s="704">
        <f ca="1">SUM('Aggregated Balance'!B14:D15)</f>
        <v>0</v>
      </c>
      <c r="D28" s="704">
        <f ca="1">SUM('Aggregated Balance'!G14:G15)</f>
        <v>0</v>
      </c>
      <c r="E28" s="704">
        <f ca="1">SUM('Aggregated Balance'!E14:F15)</f>
        <v>0</v>
      </c>
      <c r="F28" s="725">
        <f ca="1">SUM('Aggregated Balance'!L14:L15)</f>
        <v>0</v>
      </c>
      <c r="G28" s="704">
        <f>SUM('Aggregated Balance'!B64:G65,'Aggregated Balance'!L64:L65)</f>
        <v>0</v>
      </c>
      <c r="H28" s="725">
        <f>SUM('Aggregated Balance'!B66:G67,'Aggregated Balance'!L66:L67)</f>
        <v>0</v>
      </c>
      <c r="I28" s="726" t="str">
        <f ca="1">IFERROR((G28*GWh_to_ktoe+H28*TJ_to_ktoe)/-SUM(C28:F28),"..")</f>
        <v>..</v>
      </c>
      <c r="AA28" s="20">
        <v>19</v>
      </c>
      <c r="AB28" s="241" t="s">
        <v>8322</v>
      </c>
      <c r="AC28" s="20" t="s">
        <v>8323</v>
      </c>
    </row>
    <row r="29" spans="1:32" x14ac:dyDescent="0.2">
      <c r="A29" s="15"/>
      <c r="B29" s="561" t="str">
        <f>A5&amp; " " &amp; B5</f>
        <v>6) Heat plants</v>
      </c>
      <c r="C29" s="704">
        <f ca="1">SUM('Aggregated Balance'!B16:D17)</f>
        <v>0</v>
      </c>
      <c r="D29" s="704">
        <f ca="1">SUM('Aggregated Balance'!G16:G17)</f>
        <v>0</v>
      </c>
      <c r="E29" s="704">
        <f ca="1">SUM('Aggregated Balance'!E16:F17)</f>
        <v>0</v>
      </c>
      <c r="F29" s="725">
        <f ca="1">SUM('Aggregated Balance'!L16:L17)</f>
        <v>0</v>
      </c>
      <c r="G29" s="705"/>
      <c r="H29" s="725">
        <f>SUM('Aggregated Balance'!B68:G69,'Aggregated Balance'!L68:L69)</f>
        <v>0</v>
      </c>
      <c r="I29" s="726" t="str">
        <f ca="1">IFERROR((H29*TJ_to_ktoe)/-SUM(C29:F29),"..")</f>
        <v>..</v>
      </c>
      <c r="AA29" s="20">
        <v>20</v>
      </c>
      <c r="AB29" s="241" t="s">
        <v>8324</v>
      </c>
      <c r="AC29" s="20" t="s">
        <v>8325</v>
      </c>
    </row>
    <row r="30" spans="1:32" ht="9" customHeight="1" x14ac:dyDescent="0.2">
      <c r="A30" s="15"/>
      <c r="G30" s="20"/>
      <c r="H30" s="20"/>
      <c r="I30" s="20"/>
      <c r="AA30" s="20">
        <v>21</v>
      </c>
      <c r="AB30" s="241" t="s">
        <v>8326</v>
      </c>
      <c r="AC30" s="20" t="s">
        <v>8327</v>
      </c>
    </row>
    <row r="31" spans="1:32" x14ac:dyDescent="0.2">
      <c r="A31" s="15"/>
      <c r="AA31" s="20">
        <v>22</v>
      </c>
      <c r="AB31" s="241" t="s">
        <v>8328</v>
      </c>
      <c r="AC31" s="20" t="s">
        <v>8329</v>
      </c>
    </row>
    <row r="32" spans="1:32" s="20" customFormat="1" ht="5.0999999999999996" customHeight="1" x14ac:dyDescent="0.2">
      <c r="AA32" s="20">
        <v>23</v>
      </c>
      <c r="AC32" s="1042"/>
      <c r="AD32"/>
      <c r="AE32"/>
    </row>
    <row r="33" spans="1:33" s="20" customFormat="1" ht="21" customHeight="1" thickBot="1" x14ac:dyDescent="0.25">
      <c r="A33" s="1062" t="str">
        <f>HLOOKUP(LangChoice,$AB$9:$AD$39,$AA17+1,FALSE)</f>
        <v>Efficiency calculator (not linked to the data):</v>
      </c>
      <c r="B33" s="388"/>
      <c r="C33" s="388"/>
      <c r="D33" s="388"/>
      <c r="E33" s="388"/>
      <c r="F33" s="388"/>
      <c r="G33" s="388"/>
      <c r="H33" s="388"/>
      <c r="I33" s="388"/>
      <c r="J33" s="388"/>
      <c r="AA33" s="20">
        <v>24</v>
      </c>
      <c r="AB33" s="241" t="s">
        <v>8330</v>
      </c>
      <c r="AC33" s="20" t="s">
        <v>8331</v>
      </c>
      <c r="AD33"/>
      <c r="AE33"/>
    </row>
    <row r="34" spans="1:33" s="20" customFormat="1" x14ac:dyDescent="0.2">
      <c r="AA34" s="20">
        <v>25</v>
      </c>
      <c r="AB34" s="241" t="s">
        <v>8332</v>
      </c>
      <c r="AC34" s="20" t="s">
        <v>8333</v>
      </c>
      <c r="AD34"/>
      <c r="AE34" s="719" t="s">
        <v>8334</v>
      </c>
      <c r="AF34" s="554"/>
      <c r="AG34" s="1194"/>
    </row>
    <row r="35" spans="1:33" s="20" customFormat="1" x14ac:dyDescent="0.2">
      <c r="A35" s="37"/>
      <c r="C35" s="833" t="str">
        <f>"["&amp;G26&amp;"]"</f>
        <v>[GWh]</v>
      </c>
      <c r="D35" s="722" t="str">
        <f>"["&amp;IronSteel_CokeOven!$H$33&amp;"]"</f>
        <v>[ktoe]</v>
      </c>
      <c r="F35" s="833" t="str">
        <f>"["&amp;H26&amp;"]"</f>
        <v>[TJ]</v>
      </c>
      <c r="G35" s="722" t="str">
        <f>"["&amp;IronSteel_CokeOven!$H$33&amp;"]"</f>
        <v>[ktoe]</v>
      </c>
      <c r="AA35" s="20">
        <v>26</v>
      </c>
      <c r="AB35" s="241" t="str">
        <f>"From "&amp; TEXT(AE35,"0%") &amp; " to " &amp; TEXT(AF35, "0%") &amp; " (" &amp; TEXT(AG35, "0%") &amp; ")"</f>
        <v>From 80% to 37% (-54%)</v>
      </c>
      <c r="AC35" s="20" t="str">
        <f>"С "&amp; TEXT(AE35,"0%") &amp; " до " &amp; TEXT(AF35, "0%") &amp; " (" &amp; TEXT(AG35, "0%") &amp; ")"</f>
        <v>С 80% до 37% (-54%)</v>
      </c>
      <c r="AE35" s="1241">
        <v>0.8</v>
      </c>
      <c r="AF35" s="1242">
        <v>0.37</v>
      </c>
      <c r="AG35" s="1243">
        <f>(AF35-AE35)/AE35</f>
        <v>-0.53749999999999998</v>
      </c>
    </row>
    <row r="36" spans="1:33" s="20" customFormat="1" ht="21.75" customHeight="1" x14ac:dyDescent="0.2">
      <c r="A36" s="1296" t="str">
        <f>IronSteel_CokeOven!A37</f>
        <v>Output(s)</v>
      </c>
      <c r="C36" s="1164">
        <v>0</v>
      </c>
      <c r="D36" s="1063">
        <f>ROUND(C36*GWh_to_ktoe,2)</f>
        <v>0</v>
      </c>
      <c r="E36" s="730" t="s">
        <v>8335</v>
      </c>
      <c r="F36" s="1164">
        <v>0</v>
      </c>
      <c r="G36" s="1064">
        <f>ROUND(F36*TJ_to_ktoe,2)</f>
        <v>0</v>
      </c>
      <c r="I36" s="2464" t="str">
        <f>IFERROR((D36+G36)/G39,"..")</f>
        <v>..</v>
      </c>
      <c r="J36" s="2472" t="str">
        <f>IF(AND(ISTEXT(I36)=FALSE,I36&gt;100%),"Too high!","")</f>
        <v/>
      </c>
      <c r="AA36" s="20">
        <v>27</v>
      </c>
    </row>
    <row r="37" spans="1:33" s="20" customFormat="1" ht="4.5" customHeight="1" thickBot="1" x14ac:dyDescent="0.25">
      <c r="A37" s="732"/>
      <c r="B37" s="2462" t="s">
        <v>8130</v>
      </c>
      <c r="C37" s="731"/>
      <c r="D37" s="731"/>
      <c r="E37" s="731"/>
      <c r="F37" s="731"/>
      <c r="G37" s="731"/>
      <c r="H37" s="2462" t="s">
        <v>8130</v>
      </c>
      <c r="I37" s="2465"/>
      <c r="J37" s="2472"/>
      <c r="AA37" s="20">
        <v>28</v>
      </c>
    </row>
    <row r="38" spans="1:33" s="20" customFormat="1" ht="4.5" customHeight="1" thickTop="1" x14ac:dyDescent="0.2">
      <c r="A38" s="373"/>
      <c r="B38" s="2463"/>
      <c r="C38" s="20">
        <v>0</v>
      </c>
      <c r="H38" s="2463"/>
      <c r="I38" s="2465"/>
      <c r="J38" s="2472"/>
      <c r="AA38" s="20">
        <v>29</v>
      </c>
      <c r="AB38" s="241"/>
    </row>
    <row r="39" spans="1:33" s="20" customFormat="1" ht="21.75" customHeight="1" x14ac:dyDescent="0.2">
      <c r="A39" s="1296" t="str">
        <f>IronSteel_CokeOven!$A$33</f>
        <v>Input(s)</v>
      </c>
      <c r="B39" s="1297" t="str">
        <f>IronSteel_CokeOven!$C$32</f>
        <v>Physical quantity</v>
      </c>
      <c r="C39" s="1165">
        <v>0</v>
      </c>
      <c r="D39" s="834" t="s">
        <v>8336</v>
      </c>
      <c r="E39" s="2473" t="str">
        <f>HLOOKUP(LangChoice,$AB$9:$AD$39,$AA24+1,FALSE)</f>
        <v>kilotonnes; cubic metres; barrels…</v>
      </c>
      <c r="F39" s="2474"/>
      <c r="G39" s="832">
        <f>C39*C40*C41*C42*C43*C44</f>
        <v>0</v>
      </c>
      <c r="H39" s="682"/>
      <c r="I39" s="2466"/>
      <c r="J39" s="2472"/>
      <c r="AA39" s="20">
        <v>30</v>
      </c>
    </row>
    <row r="40" spans="1:33" s="20" customFormat="1" ht="12.75" customHeight="1" x14ac:dyDescent="0.2">
      <c r="B40" s="1290" t="str">
        <f>HLOOKUP(LangChoice,$AB$9:$AD$39,$AA19+1,FALSE)</f>
        <v>Density (only for liquids)</v>
      </c>
      <c r="C40" s="735">
        <v>1</v>
      </c>
      <c r="D40" s="605"/>
      <c r="E40" s="2475" t="str">
        <f>HLOOKUP(LangChoice,$AB$9:$AD$39,$AA25+1,FALSE)</f>
        <v>bbl/ton; kg/m3…</v>
      </c>
      <c r="F40" s="2476"/>
      <c r="G40" s="824" t="str">
        <f>"["&amp;IronSteel_CokeOven!$H$33&amp;"]"</f>
        <v>[ktoe]</v>
      </c>
      <c r="J40" s="259" t="str">
        <f>IF(J36="Too high!","Check:","")</f>
        <v/>
      </c>
    </row>
    <row r="41" spans="1:33" s="20" customFormat="1" ht="12.75" customHeight="1" x14ac:dyDescent="0.2">
      <c r="B41" s="1290" t="str">
        <f>HLOOKUP(LangChoice,$AB$9:$AD$39,$AA20+1,FALSE)</f>
        <v>Calorific value</v>
      </c>
      <c r="C41" s="737">
        <v>38800</v>
      </c>
      <c r="D41" s="605" t="s">
        <v>8337</v>
      </c>
      <c r="E41" s="1291" t="str">
        <f>HLOOKUP(LangChoice,$AB$9:$AD$39,$AA26+1,FALSE)</f>
        <v>kt to kg; kJ to TJ…</v>
      </c>
      <c r="F41" s="1292"/>
      <c r="G41" s="460"/>
      <c r="J41" s="564" t="str">
        <f>IF(J36="Too high!","- "&amp;B42,"")</f>
        <v/>
      </c>
    </row>
    <row r="42" spans="1:33" s="20" customFormat="1" ht="12.75" customHeight="1" x14ac:dyDescent="0.2">
      <c r="B42" s="1290" t="str">
        <f>HLOOKUP(LangChoice,$AB$9:$AD$39,$AA21+1,FALSE)</f>
        <v>Adjustment for zeros</v>
      </c>
      <c r="C42" s="736">
        <v>1</v>
      </c>
      <c r="E42" s="1291" t="str">
        <f>HLOOKUP(LangChoice,$AB$9:$AD$39,$AA27+1,FALSE)</f>
        <v>kJ/m3; kJ/kg; Gcal/t…</v>
      </c>
      <c r="F42" s="1293"/>
      <c r="G42" s="460"/>
      <c r="J42" s="1065" t="str">
        <f>IF(J36="Too high!","- Units","")</f>
        <v/>
      </c>
    </row>
    <row r="43" spans="1:33" s="20" customFormat="1" ht="12.75" customHeight="1" x14ac:dyDescent="0.2">
      <c r="B43" s="1290" t="str">
        <f>HLOOKUP(LangChoice,$AB$9:$AD$39,$AA22+1,FALSE)</f>
        <v>Net-to-gross ratio (only for gases)</v>
      </c>
      <c r="C43" s="1066">
        <v>0.9</v>
      </c>
      <c r="D43" s="605"/>
      <c r="E43" s="1291" t="s">
        <v>8338</v>
      </c>
      <c r="F43" s="1292"/>
      <c r="G43" s="460"/>
    </row>
    <row r="44" spans="1:33" s="20" customFormat="1" ht="12.75" customHeight="1" x14ac:dyDescent="0.2">
      <c r="B44" s="1269" t="str">
        <f>HLOOKUP(LangChoice,$AB$9:$AD$39,$AA23+1,FALSE)</f>
        <v>Convert from TJ to ktoe</v>
      </c>
      <c r="C44" s="738">
        <f>TJ_to_ktoe</f>
        <v>2.3884589662749593E-2</v>
      </c>
      <c r="D44" s="460"/>
      <c r="E44" s="1294" t="str">
        <f>HLOOKUP(LangChoice,$AB$9:$AD$39,$AA28+1,FALSE)</f>
        <v>From kJ; TJ; Gcal…</v>
      </c>
      <c r="F44" s="1295"/>
      <c r="G44" s="460"/>
    </row>
    <row r="45" spans="1:33" s="20" customFormat="1" ht="11.25" x14ac:dyDescent="0.2">
      <c r="B45" s="733" t="str">
        <f>IronSteel_CokeOven!G32</f>
        <v>Energy quantity</v>
      </c>
      <c r="C45" s="734">
        <f>C39*C40*C41*C42*C43*C44</f>
        <v>0</v>
      </c>
      <c r="D45" s="605" t="str">
        <f>IronSteel_CokeOven!$H$33</f>
        <v>ktoe</v>
      </c>
      <c r="F45" s="460"/>
      <c r="G45" s="460"/>
    </row>
    <row r="46" spans="1:33" s="20" customFormat="1" ht="11.25" x14ac:dyDescent="0.2">
      <c r="F46" s="460"/>
      <c r="G46" s="460"/>
    </row>
    <row r="47" spans="1:33" s="20" customFormat="1" ht="5.0999999999999996" customHeight="1" x14ac:dyDescent="0.2">
      <c r="C47" s="460"/>
      <c r="D47" s="460"/>
      <c r="E47" s="460"/>
      <c r="F47" s="460"/>
      <c r="G47" s="460"/>
    </row>
    <row r="48" spans="1:33" s="20" customFormat="1" ht="68.25" customHeight="1" x14ac:dyDescent="0.2">
      <c r="B48" s="577" t="str">
        <f>HLOOKUP(LangChoice,$AB$9:$AD$39,$AA29+1,FALSE)&amp;" 1:"</f>
        <v>Example 1:</v>
      </c>
      <c r="C48" s="2469" t="str">
        <f>HLOOKUP(LangChoice,$AB$9:$AD$39,$AA30+1,FALSE)</f>
        <v>In Statisland, 0.5 bcm of natural gas is used annually to generate electricity and heat in CHP-plants. The gross calorific value (GCV) of the gas is 38 800 kJ/m3. The net-to-gross ratio for natural gas is 90%. Annual electricity output is 1800 GWh and heat output 7500 TJ.
Calculate the generation efficiency for the CHP plants.</v>
      </c>
      <c r="D48" s="2470"/>
      <c r="E48" s="2470"/>
      <c r="F48" s="2470"/>
      <c r="G48" s="2470"/>
      <c r="H48" s="2470"/>
      <c r="I48" s="2471"/>
      <c r="J48" s="1061" t="str">
        <f>HLOOKUP(LangChoice,$AB$9:$AD$39,$AA34+1,FALSE)&amp;": 80%"</f>
        <v>Answer: 80%</v>
      </c>
    </row>
    <row r="49" spans="2:10" s="20" customFormat="1" ht="5.0999999999999996" customHeight="1" x14ac:dyDescent="0.2">
      <c r="C49" s="460"/>
      <c r="D49" s="460"/>
      <c r="E49" s="460"/>
      <c r="F49" s="460"/>
      <c r="G49" s="460"/>
    </row>
    <row r="50" spans="2:10" s="20" customFormat="1" ht="54.75" customHeight="1" x14ac:dyDescent="0.2">
      <c r="B50" s="577" t="str">
        <f>HLOOKUP(LangChoice,$AB$9:$AD$39,$AA29+1,FALSE)&amp;" 2:"</f>
        <v>Example 2:</v>
      </c>
      <c r="C50" s="2469" t="str">
        <f>HLOOKUP(LangChoice,$AB$9:$AD$39,$AA31+1,FALSE)</f>
        <v>Statisland consumes 50 kt of bituminous coal to generate electricity. The electricity company reports that the annual electricity output is 122 GWh, and the generation efficiency is 35%.
What is the calorific value of the used coal?</v>
      </c>
      <c r="D50" s="2470"/>
      <c r="E50" s="2470"/>
      <c r="F50" s="2470"/>
      <c r="G50" s="2470"/>
      <c r="H50" s="2470"/>
      <c r="I50" s="2471"/>
      <c r="J50" s="1061" t="str">
        <f>HLOOKUP(LangChoice,$AB$9:$AD$39,$AA34+1,FALSE)&amp;": 25000 kJ/kg"</f>
        <v>Answer: 25000 kJ/kg</v>
      </c>
    </row>
    <row r="51" spans="2:10" ht="5.0999999999999996" customHeight="1" x14ac:dyDescent="0.2"/>
    <row r="52" spans="2:10" ht="39" customHeight="1" x14ac:dyDescent="0.2">
      <c r="B52" s="577" t="str">
        <f>HLOOKUP(LangChoice,$AB$9:$AD$39,$AA29+1,FALSE)&amp;" 3:"</f>
        <v>Example 3:</v>
      </c>
      <c r="C52" s="2469" t="str">
        <f>HLOOKUP(LangChoice,$AB$9:$AD$39,$AA33+1,FALSE)</f>
        <v>The plant from example 1 is converted to an electricity-only plant (produces 0 TJ heat). How much does the efficiency change?</v>
      </c>
      <c r="D52" s="2470"/>
      <c r="E52" s="2470"/>
      <c r="F52" s="2470"/>
      <c r="G52" s="2470"/>
      <c r="H52" s="2470"/>
      <c r="I52" s="2471"/>
      <c r="J52" s="1068" t="str">
        <f>HLOOKUP(LangChoice,$AB$9:$AD$39,$AA34+1,FALSE)&amp;": "&amp;HLOOKUP(LangChoice,$AB$9:$AD$39,$AA35+1,FALSE)</f>
        <v>Answer: From 80% to 37% (-54%)</v>
      </c>
    </row>
    <row r="53" spans="2:10" ht="5.0999999999999996" customHeight="1" x14ac:dyDescent="0.2"/>
    <row r="55" spans="2:10" x14ac:dyDescent="0.2">
      <c r="J55" s="1067"/>
    </row>
  </sheetData>
  <mergeCells count="12">
    <mergeCell ref="C50:I50"/>
    <mergeCell ref="C52:I52"/>
    <mergeCell ref="J36:J39"/>
    <mergeCell ref="E39:F39"/>
    <mergeCell ref="E40:F40"/>
    <mergeCell ref="C48:I48"/>
    <mergeCell ref="A8:J8"/>
    <mergeCell ref="H37:H38"/>
    <mergeCell ref="I36:I39"/>
    <mergeCell ref="B37:B38"/>
    <mergeCell ref="C21:F21"/>
    <mergeCell ref="G22:H22"/>
  </mergeCells>
  <conditionalFormatting sqref="J36">
    <cfRule type="cellIs" dxfId="0" priority="1" operator="equal">
      <formula>"Too high!"</formula>
    </cfRule>
  </conditionalFormatting>
  <dataValidations disablePrompts="1" count="2">
    <dataValidation allowBlank="1" showInputMessage="1" showErrorMessage="1" promptTitle="Note:" prompt="Applicable only for liquids, otherwise insert value 1!" sqref="C40" xr:uid="{00000000-0002-0000-2900-000000000000}"/>
    <dataValidation allowBlank="1" showInputMessage="1" showErrorMessage="1" promptTitle="Note:" prompt="Applicable only for gases, otherwise insert value 1!" sqref="C43" xr:uid="{00000000-0002-0000-2900-000001000000}"/>
  </dataValidations>
  <hyperlinks>
    <hyperlink ref="D3" r:id="rId1" xr:uid="{00000000-0004-0000-2900-000000000000}"/>
  </hyperlinks>
  <pageMargins left="0.70866141732283472" right="0.70866141732283472" top="0.74803149606299213" bottom="0.74803149606299213" header="0.31496062992125984" footer="0.31496062992125984"/>
  <pageSetup paperSize="9" orientation="landscape" r:id="rId2"/>
  <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
    <tabColor theme="0"/>
  </sheetPr>
  <dimension ref="A1:C46"/>
  <sheetViews>
    <sheetView showGridLines="0" topLeftCell="A33" zoomScaleNormal="100" workbookViewId="0">
      <selection activeCell="I43" sqref="I43"/>
    </sheetView>
  </sheetViews>
  <sheetFormatPr defaultRowHeight="12.75" x14ac:dyDescent="0.2"/>
  <cols>
    <col min="1" max="1" width="8.5703125" customWidth="1"/>
    <col min="2" max="2" width="72.5703125" customWidth="1"/>
    <col min="3" max="3" width="6" bestFit="1" customWidth="1"/>
  </cols>
  <sheetData>
    <row r="1" spans="1:3" ht="30.75" customHeight="1" x14ac:dyDescent="0.2">
      <c r="A1" s="2130" t="s">
        <v>8339</v>
      </c>
      <c r="B1" s="2130"/>
      <c r="C1" s="2130"/>
    </row>
    <row r="2" spans="1:3" ht="15" x14ac:dyDescent="0.25">
      <c r="A2" s="2071" t="s">
        <v>161</v>
      </c>
      <c r="B2" s="2071" t="s">
        <v>8340</v>
      </c>
      <c r="C2" s="2072" t="s">
        <v>8341</v>
      </c>
    </row>
    <row r="3" spans="1:3" x14ac:dyDescent="0.2">
      <c r="A3" s="1373" t="s">
        <v>8342</v>
      </c>
      <c r="B3" s="2074"/>
      <c r="C3" s="1374"/>
    </row>
    <row r="4" spans="1:3" x14ac:dyDescent="0.2">
      <c r="A4" s="1375"/>
      <c r="B4" s="2075" t="s">
        <v>8343</v>
      </c>
      <c r="C4" s="1376"/>
    </row>
    <row r="5" spans="1:3" x14ac:dyDescent="0.2">
      <c r="A5" s="1377"/>
      <c r="B5" s="2075" t="s">
        <v>8344</v>
      </c>
      <c r="C5" s="1376"/>
    </row>
    <row r="6" spans="1:3" x14ac:dyDescent="0.2">
      <c r="A6" s="1377"/>
      <c r="B6" s="2076" t="s">
        <v>8345</v>
      </c>
      <c r="C6" s="1378"/>
    </row>
    <row r="7" spans="1:3" x14ac:dyDescent="0.2">
      <c r="A7" s="1377"/>
      <c r="B7" s="2076" t="s">
        <v>8346</v>
      </c>
      <c r="C7" s="1378"/>
    </row>
    <row r="8" spans="1:3" x14ac:dyDescent="0.2">
      <c r="A8" s="1377"/>
      <c r="B8" s="2075" t="s">
        <v>8347</v>
      </c>
      <c r="C8" s="1376"/>
    </row>
    <row r="9" spans="1:3" x14ac:dyDescent="0.2">
      <c r="A9" s="1379"/>
      <c r="B9" s="2077"/>
      <c r="C9" s="1380"/>
    </row>
    <row r="10" spans="1:3" x14ac:dyDescent="0.2">
      <c r="A10" s="1373" t="s">
        <v>8348</v>
      </c>
      <c r="B10" s="2074"/>
      <c r="C10" s="1374"/>
    </row>
    <row r="11" spans="1:3" x14ac:dyDescent="0.2">
      <c r="A11" s="1377"/>
      <c r="B11" s="2075" t="s">
        <v>8349</v>
      </c>
      <c r="C11" s="1376"/>
    </row>
    <row r="12" spans="1:3" x14ac:dyDescent="0.2">
      <c r="A12" s="1377"/>
      <c r="B12" s="2075" t="s">
        <v>8350</v>
      </c>
      <c r="C12" s="1376"/>
    </row>
    <row r="13" spans="1:3" x14ac:dyDescent="0.2">
      <c r="A13" s="1377"/>
      <c r="B13" s="2075" t="s">
        <v>8351</v>
      </c>
      <c r="C13" s="1376"/>
    </row>
    <row r="14" spans="1:3" x14ac:dyDescent="0.2">
      <c r="A14" s="1377"/>
      <c r="B14" s="2075" t="s">
        <v>8352</v>
      </c>
      <c r="C14" s="1376"/>
    </row>
    <row r="15" spans="1:3" x14ac:dyDescent="0.2">
      <c r="A15" s="1377"/>
      <c r="B15" s="984"/>
      <c r="C15" s="860"/>
    </row>
    <row r="16" spans="1:3" x14ac:dyDescent="0.2">
      <c r="A16" s="1373" t="s">
        <v>8353</v>
      </c>
      <c r="B16" s="2074"/>
      <c r="C16" s="1374"/>
    </row>
    <row r="17" spans="1:3" ht="38.25" x14ac:dyDescent="0.2">
      <c r="A17" s="1377"/>
      <c r="B17" s="2078" t="s">
        <v>8354</v>
      </c>
      <c r="C17" s="2088" t="s">
        <v>7244</v>
      </c>
    </row>
    <row r="18" spans="1:3" x14ac:dyDescent="0.2">
      <c r="A18" s="1377"/>
      <c r="B18" s="2075"/>
      <c r="C18" s="1376"/>
    </row>
    <row r="19" spans="1:3" x14ac:dyDescent="0.2">
      <c r="A19" s="1373" t="s">
        <v>8355</v>
      </c>
      <c r="B19" s="2074"/>
      <c r="C19" s="1374"/>
    </row>
    <row r="20" spans="1:3" x14ac:dyDescent="0.2">
      <c r="A20" s="1377"/>
      <c r="B20" s="2075" t="s">
        <v>8356</v>
      </c>
      <c r="C20" s="2084" t="s">
        <v>7244</v>
      </c>
    </row>
    <row r="21" spans="1:3" x14ac:dyDescent="0.2">
      <c r="A21" s="1377"/>
      <c r="B21" s="2075" t="s">
        <v>8357</v>
      </c>
      <c r="C21" s="2084" t="s">
        <v>7632</v>
      </c>
    </row>
    <row r="22" spans="1:3" x14ac:dyDescent="0.2">
      <c r="A22" s="860"/>
      <c r="B22" s="2075" t="s">
        <v>8358</v>
      </c>
      <c r="C22" s="2084" t="s">
        <v>7244</v>
      </c>
    </row>
    <row r="23" spans="1:3" x14ac:dyDescent="0.2">
      <c r="A23" s="860"/>
      <c r="B23" s="2075"/>
      <c r="C23" s="1376"/>
    </row>
    <row r="24" spans="1:3" x14ac:dyDescent="0.2">
      <c r="A24" s="1373" t="s">
        <v>8359</v>
      </c>
      <c r="B24" s="2079"/>
      <c r="C24" s="1373"/>
    </row>
    <row r="25" spans="1:3" x14ac:dyDescent="0.2">
      <c r="A25" s="1377"/>
      <c r="B25" s="2080" t="s">
        <v>8360</v>
      </c>
      <c r="C25" s="2084" t="s">
        <v>7244</v>
      </c>
    </row>
    <row r="26" spans="1:3" x14ac:dyDescent="0.2">
      <c r="A26" s="1377"/>
      <c r="B26" s="2080"/>
      <c r="C26" s="1377"/>
    </row>
    <row r="27" spans="1:3" x14ac:dyDescent="0.2">
      <c r="A27" s="1373" t="s">
        <v>8361</v>
      </c>
      <c r="B27" s="2079"/>
      <c r="C27" s="1373"/>
    </row>
    <row r="28" spans="1:3" x14ac:dyDescent="0.2">
      <c r="A28" s="1377"/>
      <c r="B28" s="2081" t="s">
        <v>8362</v>
      </c>
      <c r="C28" s="2084" t="s">
        <v>7244</v>
      </c>
    </row>
    <row r="29" spans="1:3" x14ac:dyDescent="0.2">
      <c r="A29" s="1377"/>
      <c r="B29" s="2081" t="s">
        <v>8363</v>
      </c>
      <c r="C29" s="2084" t="s">
        <v>7244</v>
      </c>
    </row>
    <row r="30" spans="1:3" x14ac:dyDescent="0.2">
      <c r="A30" s="1377"/>
      <c r="B30" s="2081"/>
      <c r="C30" s="2067"/>
    </row>
    <row r="31" spans="1:3" x14ac:dyDescent="0.2">
      <c r="A31" s="1373" t="s">
        <v>8364</v>
      </c>
      <c r="B31" s="2079"/>
      <c r="C31" s="1373"/>
    </row>
    <row r="32" spans="1:3" ht="25.5" x14ac:dyDescent="0.2">
      <c r="A32" s="1377"/>
      <c r="B32" s="2078" t="s">
        <v>8365</v>
      </c>
      <c r="C32" s="2085" t="s">
        <v>7244</v>
      </c>
    </row>
    <row r="33" spans="1:3" x14ac:dyDescent="0.2">
      <c r="A33" s="1377"/>
      <c r="B33" s="2082"/>
      <c r="C33" s="2073"/>
    </row>
    <row r="34" spans="1:3" x14ac:dyDescent="0.2">
      <c r="A34" s="1373" t="s">
        <v>8366</v>
      </c>
      <c r="B34" s="2140"/>
      <c r="C34" s="2141"/>
    </row>
    <row r="35" spans="1:3" ht="25.5" x14ac:dyDescent="0.2">
      <c r="A35" s="1377"/>
      <c r="B35" s="2144" t="s">
        <v>8367</v>
      </c>
      <c r="C35" s="2145" t="s">
        <v>7632</v>
      </c>
    </row>
    <row r="36" spans="1:3" x14ac:dyDescent="0.2">
      <c r="A36" s="1377"/>
      <c r="B36" s="2142"/>
      <c r="C36" s="2143"/>
    </row>
    <row r="37" spans="1:3" x14ac:dyDescent="0.2">
      <c r="A37" s="1373" t="s">
        <v>8368</v>
      </c>
      <c r="B37" s="2140"/>
      <c r="C37" s="2141"/>
    </row>
    <row r="38" spans="1:3" x14ac:dyDescent="0.2">
      <c r="A38" s="1377"/>
      <c r="B38" s="2144" t="s">
        <v>8369</v>
      </c>
      <c r="C38" s="2145" t="s">
        <v>7632</v>
      </c>
    </row>
    <row r="39" spans="1:3" x14ac:dyDescent="0.2">
      <c r="A39" s="1377"/>
      <c r="B39" s="2241" t="s">
        <v>8370</v>
      </c>
      <c r="C39" s="2242" t="s">
        <v>7632</v>
      </c>
    </row>
    <row r="40" spans="1:3" x14ac:dyDescent="0.2">
      <c r="A40" s="860"/>
      <c r="B40" s="1376" t="s">
        <v>8371</v>
      </c>
      <c r="C40" s="2242" t="s">
        <v>7244</v>
      </c>
    </row>
    <row r="41" spans="1:3" x14ac:dyDescent="0.2">
      <c r="A41" s="860"/>
      <c r="B41" s="1376" t="s">
        <v>8372</v>
      </c>
      <c r="C41" s="2242" t="s">
        <v>7244</v>
      </c>
    </row>
    <row r="42" spans="1:3" x14ac:dyDescent="0.2">
      <c r="A42" s="860"/>
      <c r="B42" s="1376" t="s">
        <v>8373</v>
      </c>
      <c r="C42" s="2242" t="s">
        <v>7244</v>
      </c>
    </row>
    <row r="43" spans="1:3" x14ac:dyDescent="0.2">
      <c r="A43" s="2070" t="s">
        <v>8374</v>
      </c>
      <c r="B43" s="2083"/>
      <c r="C43" s="2068"/>
    </row>
    <row r="44" spans="1:3" x14ac:dyDescent="0.2">
      <c r="A44" s="2069"/>
      <c r="B44" s="2086" t="s">
        <v>8375</v>
      </c>
      <c r="C44" s="2087" t="s">
        <v>7632</v>
      </c>
    </row>
    <row r="45" spans="1:3" x14ac:dyDescent="0.2">
      <c r="B45" s="8" t="s">
        <v>8376</v>
      </c>
      <c r="C45" s="2243" t="s">
        <v>7244</v>
      </c>
    </row>
    <row r="46" spans="1:3" x14ac:dyDescent="0.2">
      <c r="A46" s="673"/>
      <c r="B46" s="2244" t="s">
        <v>8377</v>
      </c>
      <c r="C46" s="2245" t="s">
        <v>7244</v>
      </c>
    </row>
  </sheetData>
  <sheetProtection algorithmName="SHA-512" hashValue="pYczARFYGHo15AfkSSzcBQoJEzZBF9QrXVQAzyDuhQRQ6tdHR66QVKT+jPljGdo84sh1UIgPSDu+bpcgcwWaSg==" saltValue="LNWVLfKAGvxiukC8WE+bKA==" spinCount="100000" sheet="1" objects="1" scenarios="1"/>
  <pageMargins left="0.7" right="0.7" top="0.75" bottom="0.75" header="0.3" footer="0.3"/>
  <pageSetup paperSize="9" orientation="portrait" verticalDpi="0"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x3">
    <tabColor theme="1"/>
  </sheetPr>
  <dimension ref="A1:Q77"/>
  <sheetViews>
    <sheetView workbookViewId="0">
      <pane xSplit="1" ySplit="2" topLeftCell="B3" activePane="bottomRight" state="frozen"/>
      <selection pane="topRight" activeCell="E33" sqref="E33"/>
      <selection pane="bottomLeft" activeCell="E33" sqref="E33"/>
      <selection pane="bottomRight" activeCell="D51" sqref="D51"/>
    </sheetView>
  </sheetViews>
  <sheetFormatPr defaultRowHeight="12.75" x14ac:dyDescent="0.2"/>
  <cols>
    <col min="1" max="1" width="3" bestFit="1" customWidth="1"/>
    <col min="2" max="2" width="13.7109375" bestFit="1" customWidth="1"/>
    <col min="3" max="3" width="48.7109375" bestFit="1" customWidth="1"/>
    <col min="4" max="4" width="18.42578125" customWidth="1"/>
    <col min="5" max="5" width="16.85546875" bestFit="1" customWidth="1"/>
    <col min="6" max="6" width="31.140625" customWidth="1"/>
    <col min="7" max="7" width="21" customWidth="1"/>
    <col min="8" max="8" width="16.42578125" bestFit="1" customWidth="1"/>
    <col min="9" max="9" width="14.140625" customWidth="1"/>
    <col min="10" max="10" width="9.85546875" bestFit="1" customWidth="1"/>
    <col min="11" max="11" width="12.7109375" bestFit="1" customWidth="1"/>
    <col min="12" max="12" width="16.42578125" customWidth="1"/>
    <col min="13" max="13" width="3" bestFit="1" customWidth="1"/>
    <col min="14" max="15" width="18.5703125" customWidth="1"/>
    <col min="16" max="16" width="16.42578125" bestFit="1" customWidth="1"/>
    <col min="17" max="17" width="33" customWidth="1"/>
  </cols>
  <sheetData>
    <row r="1" spans="1:17" x14ac:dyDescent="0.2">
      <c r="C1" s="530" t="s">
        <v>307</v>
      </c>
      <c r="D1" s="531"/>
      <c r="E1" s="531"/>
      <c r="F1" s="532" t="s">
        <v>308</v>
      </c>
      <c r="G1" s="533"/>
      <c r="H1" s="533"/>
      <c r="I1" s="551" t="s">
        <v>309</v>
      </c>
      <c r="J1" s="552"/>
      <c r="K1" s="552"/>
      <c r="L1" s="15"/>
      <c r="N1" s="551" t="s">
        <v>310</v>
      </c>
      <c r="O1" s="552"/>
      <c r="P1" s="552"/>
    </row>
    <row r="2" spans="1:17" x14ac:dyDescent="0.2">
      <c r="C2" s="530" t="s">
        <v>7</v>
      </c>
      <c r="D2" s="530" t="s">
        <v>8</v>
      </c>
      <c r="E2" s="530" t="s">
        <v>9</v>
      </c>
      <c r="F2" s="532" t="str">
        <f>C2</f>
        <v>English</v>
      </c>
      <c r="G2" s="532" t="str">
        <f>D2</f>
        <v>Pусский</v>
      </c>
      <c r="H2" s="532" t="str">
        <f>E2</f>
        <v>中文</v>
      </c>
      <c r="I2" s="551" t="s">
        <v>7</v>
      </c>
      <c r="J2" s="551" t="s">
        <v>8</v>
      </c>
      <c r="K2" s="551" t="s">
        <v>9</v>
      </c>
      <c r="L2" s="15"/>
      <c r="N2" s="551" t="s">
        <v>7</v>
      </c>
      <c r="O2" s="551" t="s">
        <v>8</v>
      </c>
      <c r="P2" s="551" t="s">
        <v>9</v>
      </c>
      <c r="Q2" s="551" t="s">
        <v>311</v>
      </c>
    </row>
    <row r="3" spans="1:17" x14ac:dyDescent="0.2">
      <c r="A3">
        <v>1</v>
      </c>
      <c r="B3" s="847"/>
      <c r="C3" s="13" t="s">
        <v>312</v>
      </c>
      <c r="D3" s="13" t="s">
        <v>313</v>
      </c>
      <c r="E3" s="13" t="s">
        <v>314</v>
      </c>
      <c r="F3" s="848"/>
      <c r="G3" s="848"/>
      <c r="H3" s="848"/>
      <c r="I3" s="848"/>
      <c r="J3" s="848"/>
      <c r="K3" s="848"/>
      <c r="L3" s="15"/>
      <c r="M3">
        <v>1</v>
      </c>
      <c r="N3" s="67" t="s">
        <v>315</v>
      </c>
      <c r="O3" s="844" t="s">
        <v>316</v>
      </c>
      <c r="P3" s="67" t="s">
        <v>317</v>
      </c>
      <c r="Q3" s="15" t="s">
        <v>318</v>
      </c>
    </row>
    <row r="4" spans="1:17" x14ac:dyDescent="0.2">
      <c r="A4" s="520">
        <v>2</v>
      </c>
      <c r="B4" s="846"/>
      <c r="C4" s="849" t="s">
        <v>319</v>
      </c>
      <c r="D4" s="850" t="s">
        <v>320</v>
      </c>
      <c r="E4" s="520" t="s">
        <v>321</v>
      </c>
      <c r="F4" s="853" t="s">
        <v>322</v>
      </c>
      <c r="G4" s="720"/>
      <c r="H4" s="720"/>
      <c r="I4" s="720"/>
      <c r="J4" s="720"/>
      <c r="K4" s="720"/>
      <c r="L4" s="15"/>
      <c r="M4">
        <v>2</v>
      </c>
      <c r="N4" s="15" t="s">
        <v>209</v>
      </c>
      <c r="O4" t="s">
        <v>323</v>
      </c>
      <c r="P4" s="15" t="s">
        <v>324</v>
      </c>
      <c r="Q4" s="15" t="s">
        <v>318</v>
      </c>
    </row>
    <row r="5" spans="1:17" x14ac:dyDescent="0.2">
      <c r="A5">
        <v>3</v>
      </c>
      <c r="B5" s="33" t="s">
        <v>325</v>
      </c>
      <c r="C5" t="s">
        <v>326</v>
      </c>
      <c r="D5" s="15" t="s">
        <v>327</v>
      </c>
      <c r="E5" s="15" t="s">
        <v>328</v>
      </c>
      <c r="F5" t="s">
        <v>329</v>
      </c>
      <c r="G5" s="15" t="s">
        <v>330</v>
      </c>
      <c r="H5" s="15" t="s">
        <v>331</v>
      </c>
      <c r="I5" s="15" t="s">
        <v>332</v>
      </c>
      <c r="J5" s="15" t="s">
        <v>333</v>
      </c>
      <c r="K5" t="s">
        <v>334</v>
      </c>
      <c r="L5" s="15"/>
      <c r="M5">
        <v>3</v>
      </c>
      <c r="N5" t="s">
        <v>212</v>
      </c>
      <c r="O5" s="15" t="s">
        <v>335</v>
      </c>
      <c r="P5" s="15" t="s">
        <v>336</v>
      </c>
      <c r="Q5" s="15" t="s">
        <v>337</v>
      </c>
    </row>
    <row r="6" spans="1:17" x14ac:dyDescent="0.2">
      <c r="A6">
        <v>4</v>
      </c>
      <c r="B6" s="33" t="s">
        <v>338</v>
      </c>
      <c r="C6" t="s">
        <v>339</v>
      </c>
      <c r="D6" t="s">
        <v>340</v>
      </c>
      <c r="E6" s="15" t="s">
        <v>341</v>
      </c>
      <c r="F6" s="15" t="s">
        <v>342</v>
      </c>
      <c r="G6" s="15" t="s">
        <v>343</v>
      </c>
      <c r="H6" s="15" t="s">
        <v>344</v>
      </c>
      <c r="I6" s="15" t="s">
        <v>332</v>
      </c>
      <c r="J6" s="15" t="s">
        <v>333</v>
      </c>
      <c r="K6" t="s">
        <v>334</v>
      </c>
      <c r="L6" s="15"/>
      <c r="M6">
        <v>4</v>
      </c>
      <c r="N6" s="15" t="s">
        <v>345</v>
      </c>
      <c r="O6" s="15" t="s">
        <v>346</v>
      </c>
      <c r="P6" s="15" t="s">
        <v>347</v>
      </c>
      <c r="Q6" s="15" t="s">
        <v>337</v>
      </c>
    </row>
    <row r="7" spans="1:17" x14ac:dyDescent="0.2">
      <c r="A7">
        <v>5</v>
      </c>
      <c r="B7" s="33" t="s">
        <v>348</v>
      </c>
      <c r="C7" t="s">
        <v>349</v>
      </c>
      <c r="D7" t="s">
        <v>350</v>
      </c>
      <c r="E7" s="15" t="s">
        <v>351</v>
      </c>
      <c r="F7" t="s">
        <v>352</v>
      </c>
      <c r="G7" s="15" t="s">
        <v>353</v>
      </c>
      <c r="H7" s="15" t="s">
        <v>354</v>
      </c>
      <c r="I7" s="15" t="s">
        <v>332</v>
      </c>
      <c r="J7" s="15" t="s">
        <v>333</v>
      </c>
      <c r="K7" t="s">
        <v>334</v>
      </c>
      <c r="L7" s="15"/>
      <c r="M7">
        <v>5</v>
      </c>
      <c r="N7" s="15" t="s">
        <v>355</v>
      </c>
      <c r="O7" s="15" t="s">
        <v>356</v>
      </c>
      <c r="P7" s="15" t="s">
        <v>357</v>
      </c>
      <c r="Q7" s="15" t="s">
        <v>337</v>
      </c>
    </row>
    <row r="8" spans="1:17" x14ac:dyDescent="0.2">
      <c r="A8">
        <v>6</v>
      </c>
      <c r="B8" s="33" t="s">
        <v>358</v>
      </c>
      <c r="C8" t="s">
        <v>359</v>
      </c>
      <c r="D8" t="s">
        <v>360</v>
      </c>
      <c r="E8" s="15" t="s">
        <v>361</v>
      </c>
      <c r="F8" t="s">
        <v>362</v>
      </c>
      <c r="G8" s="15" t="s">
        <v>363</v>
      </c>
      <c r="H8" s="15" t="s">
        <v>364</v>
      </c>
      <c r="I8" s="15" t="s">
        <v>332</v>
      </c>
      <c r="J8" s="15" t="s">
        <v>333</v>
      </c>
      <c r="K8" t="s">
        <v>334</v>
      </c>
      <c r="L8" s="15"/>
      <c r="M8">
        <v>6</v>
      </c>
      <c r="N8" s="15" t="s">
        <v>215</v>
      </c>
      <c r="O8" s="15" t="s">
        <v>365</v>
      </c>
      <c r="P8" t="s">
        <v>366</v>
      </c>
      <c r="Q8" s="15" t="s">
        <v>367</v>
      </c>
    </row>
    <row r="9" spans="1:17" x14ac:dyDescent="0.2">
      <c r="A9">
        <v>7</v>
      </c>
      <c r="B9" s="33" t="s">
        <v>368</v>
      </c>
      <c r="C9" t="s">
        <v>369</v>
      </c>
      <c r="D9" t="s">
        <v>370</v>
      </c>
      <c r="E9" s="15" t="s">
        <v>371</v>
      </c>
      <c r="F9" t="s">
        <v>372</v>
      </c>
      <c r="G9" s="15" t="s">
        <v>373</v>
      </c>
      <c r="H9" s="15" t="s">
        <v>374</v>
      </c>
      <c r="I9" s="15" t="s">
        <v>332</v>
      </c>
      <c r="J9" s="15" t="s">
        <v>333</v>
      </c>
      <c r="K9" t="s">
        <v>334</v>
      </c>
      <c r="L9" s="15"/>
      <c r="M9">
        <v>7</v>
      </c>
      <c r="N9" s="15" t="s">
        <v>375</v>
      </c>
      <c r="O9" s="15" t="s">
        <v>376</v>
      </c>
      <c r="P9" t="s">
        <v>347</v>
      </c>
      <c r="Q9" s="15" t="s">
        <v>367</v>
      </c>
    </row>
    <row r="10" spans="1:17" x14ac:dyDescent="0.2">
      <c r="A10">
        <v>8</v>
      </c>
      <c r="B10" s="33" t="s">
        <v>377</v>
      </c>
      <c r="C10" t="s">
        <v>378</v>
      </c>
      <c r="D10" t="s">
        <v>379</v>
      </c>
      <c r="E10" s="15" t="s">
        <v>380</v>
      </c>
      <c r="F10" t="s">
        <v>381</v>
      </c>
      <c r="G10" s="15" t="s">
        <v>382</v>
      </c>
      <c r="H10" s="15" t="s">
        <v>383</v>
      </c>
      <c r="I10" s="15" t="s">
        <v>332</v>
      </c>
      <c r="J10" s="15" t="s">
        <v>333</v>
      </c>
      <c r="K10" t="s">
        <v>334</v>
      </c>
      <c r="L10" s="15"/>
      <c r="M10">
        <v>8</v>
      </c>
      <c r="N10" s="15" t="s">
        <v>384</v>
      </c>
      <c r="O10" s="15" t="s">
        <v>385</v>
      </c>
      <c r="P10" s="15" t="s">
        <v>386</v>
      </c>
      <c r="Q10" s="15" t="s">
        <v>367</v>
      </c>
    </row>
    <row r="11" spans="1:17" x14ac:dyDescent="0.2">
      <c r="A11">
        <v>9</v>
      </c>
      <c r="B11" s="33" t="s">
        <v>387</v>
      </c>
      <c r="C11" t="s">
        <v>388</v>
      </c>
      <c r="D11" t="s">
        <v>389</v>
      </c>
      <c r="E11" s="15" t="s">
        <v>390</v>
      </c>
      <c r="F11" t="s">
        <v>391</v>
      </c>
      <c r="G11" s="15" t="s">
        <v>392</v>
      </c>
      <c r="H11" s="15" t="s">
        <v>393</v>
      </c>
      <c r="I11" s="15" t="s">
        <v>332</v>
      </c>
      <c r="J11" s="15" t="s">
        <v>333</v>
      </c>
      <c r="K11" t="s">
        <v>334</v>
      </c>
      <c r="L11" s="15"/>
      <c r="M11">
        <v>9</v>
      </c>
      <c r="N11" s="15" t="s">
        <v>394</v>
      </c>
      <c r="O11" s="15" t="s">
        <v>395</v>
      </c>
      <c r="P11" s="15" t="s">
        <v>396</v>
      </c>
      <c r="Q11" s="15" t="s">
        <v>367</v>
      </c>
    </row>
    <row r="12" spans="1:17" x14ac:dyDescent="0.2">
      <c r="A12">
        <v>10</v>
      </c>
      <c r="B12" s="33" t="s">
        <v>397</v>
      </c>
      <c r="C12" t="s">
        <v>398</v>
      </c>
      <c r="D12" s="15" t="s">
        <v>399</v>
      </c>
      <c r="E12" s="15" t="s">
        <v>400</v>
      </c>
      <c r="F12" t="s">
        <v>401</v>
      </c>
      <c r="G12" s="15" t="s">
        <v>402</v>
      </c>
      <c r="H12" s="15" t="s">
        <v>403</v>
      </c>
      <c r="I12" s="15" t="s">
        <v>332</v>
      </c>
      <c r="J12" s="15" t="s">
        <v>333</v>
      </c>
      <c r="K12" t="s">
        <v>334</v>
      </c>
      <c r="L12" s="15"/>
      <c r="M12">
        <v>10</v>
      </c>
      <c r="N12" s="15" t="s">
        <v>404</v>
      </c>
      <c r="O12" s="15" t="s">
        <v>405</v>
      </c>
      <c r="P12" t="s">
        <v>406</v>
      </c>
      <c r="Q12" s="15" t="s">
        <v>367</v>
      </c>
    </row>
    <row r="13" spans="1:17" x14ac:dyDescent="0.2">
      <c r="A13">
        <v>11</v>
      </c>
      <c r="B13" s="33" t="s">
        <v>407</v>
      </c>
      <c r="C13" t="s">
        <v>408</v>
      </c>
      <c r="D13" t="s">
        <v>409</v>
      </c>
      <c r="E13" s="15" t="s">
        <v>410</v>
      </c>
      <c r="F13" t="s">
        <v>411</v>
      </c>
      <c r="G13" s="15" t="s">
        <v>412</v>
      </c>
      <c r="H13" s="15" t="s">
        <v>413</v>
      </c>
      <c r="I13" s="15" t="s">
        <v>332</v>
      </c>
      <c r="J13" s="15" t="s">
        <v>333</v>
      </c>
      <c r="K13" t="s">
        <v>334</v>
      </c>
      <c r="L13" s="15"/>
      <c r="M13">
        <v>11</v>
      </c>
      <c r="N13" s="15" t="s">
        <v>414</v>
      </c>
      <c r="O13" s="15" t="s">
        <v>415</v>
      </c>
      <c r="P13" t="s">
        <v>416</v>
      </c>
      <c r="Q13" s="15" t="s">
        <v>417</v>
      </c>
    </row>
    <row r="14" spans="1:17" x14ac:dyDescent="0.2">
      <c r="A14">
        <v>12</v>
      </c>
      <c r="B14" s="33" t="s">
        <v>418</v>
      </c>
      <c r="C14" t="s">
        <v>419</v>
      </c>
      <c r="D14" t="s">
        <v>420</v>
      </c>
      <c r="E14" s="15" t="s">
        <v>421</v>
      </c>
      <c r="F14" t="s">
        <v>422</v>
      </c>
      <c r="G14" s="15" t="s">
        <v>423</v>
      </c>
      <c r="H14" s="15" t="s">
        <v>424</v>
      </c>
      <c r="I14" s="15" t="s">
        <v>332</v>
      </c>
      <c r="J14" s="15" t="s">
        <v>333</v>
      </c>
      <c r="K14" t="s">
        <v>334</v>
      </c>
      <c r="L14" s="15"/>
      <c r="M14">
        <v>12</v>
      </c>
      <c r="N14" s="15" t="s">
        <v>425</v>
      </c>
      <c r="O14" s="15" t="s">
        <v>426</v>
      </c>
      <c r="P14" s="15" t="s">
        <v>427</v>
      </c>
      <c r="Q14" s="15" t="s">
        <v>417</v>
      </c>
    </row>
    <row r="15" spans="1:17" x14ac:dyDescent="0.2">
      <c r="A15">
        <v>13</v>
      </c>
      <c r="B15" s="33" t="s">
        <v>428</v>
      </c>
      <c r="C15" t="s">
        <v>429</v>
      </c>
      <c r="D15" t="s">
        <v>430</v>
      </c>
      <c r="E15" s="15" t="s">
        <v>431</v>
      </c>
      <c r="F15" t="s">
        <v>432</v>
      </c>
      <c r="G15" s="15" t="s">
        <v>433</v>
      </c>
      <c r="H15" s="15" t="s">
        <v>434</v>
      </c>
      <c r="I15" s="15" t="s">
        <v>435</v>
      </c>
      <c r="J15" t="s">
        <v>436</v>
      </c>
      <c r="K15" s="15" t="s">
        <v>437</v>
      </c>
      <c r="L15" s="15"/>
      <c r="M15">
        <v>13</v>
      </c>
      <c r="N15" s="15" t="s">
        <v>438</v>
      </c>
      <c r="O15" s="15" t="s">
        <v>439</v>
      </c>
      <c r="P15" s="653" t="s">
        <v>440</v>
      </c>
      <c r="Q15" s="15" t="s">
        <v>337</v>
      </c>
    </row>
    <row r="16" spans="1:17" x14ac:dyDescent="0.2">
      <c r="A16">
        <v>14</v>
      </c>
      <c r="B16" s="33" t="s">
        <v>441</v>
      </c>
      <c r="C16" t="s">
        <v>442</v>
      </c>
      <c r="D16" t="s">
        <v>443</v>
      </c>
      <c r="E16" s="15" t="s">
        <v>444</v>
      </c>
      <c r="F16" t="s">
        <v>445</v>
      </c>
      <c r="G16" s="15" t="s">
        <v>446</v>
      </c>
      <c r="H16" s="15" t="s">
        <v>447</v>
      </c>
      <c r="I16" s="15" t="s">
        <v>435</v>
      </c>
      <c r="J16" t="s">
        <v>436</v>
      </c>
      <c r="K16" s="15" t="s">
        <v>437</v>
      </c>
      <c r="L16" s="15"/>
      <c r="M16">
        <v>14</v>
      </c>
    </row>
    <row r="17" spans="1:13" x14ac:dyDescent="0.2">
      <c r="A17">
        <v>15</v>
      </c>
      <c r="B17" s="33" t="s">
        <v>448</v>
      </c>
      <c r="C17" t="s">
        <v>449</v>
      </c>
      <c r="D17" t="s">
        <v>450</v>
      </c>
      <c r="E17" s="15" t="s">
        <v>451</v>
      </c>
      <c r="F17" t="s">
        <v>452</v>
      </c>
      <c r="G17" s="15" t="s">
        <v>453</v>
      </c>
      <c r="H17" s="15" t="s">
        <v>454</v>
      </c>
      <c r="I17" s="15" t="s">
        <v>435</v>
      </c>
      <c r="J17" t="s">
        <v>436</v>
      </c>
      <c r="K17" s="15" t="s">
        <v>437</v>
      </c>
      <c r="L17" s="15"/>
      <c r="M17">
        <v>15</v>
      </c>
    </row>
    <row r="18" spans="1:13" x14ac:dyDescent="0.2">
      <c r="A18">
        <v>16</v>
      </c>
      <c r="B18" s="556" t="s">
        <v>455</v>
      </c>
      <c r="C18" s="15" t="s">
        <v>456</v>
      </c>
      <c r="D18" t="s">
        <v>457</v>
      </c>
      <c r="E18" s="15" t="s">
        <v>458</v>
      </c>
      <c r="F18" t="s">
        <v>459</v>
      </c>
      <c r="G18" s="15" t="s">
        <v>460</v>
      </c>
      <c r="H18" s="15" t="s">
        <v>461</v>
      </c>
      <c r="I18" s="15" t="s">
        <v>435</v>
      </c>
      <c r="J18" t="s">
        <v>436</v>
      </c>
      <c r="K18" s="15" t="s">
        <v>437</v>
      </c>
      <c r="L18" s="15"/>
      <c r="M18">
        <v>16</v>
      </c>
    </row>
    <row r="19" spans="1:13" x14ac:dyDescent="0.2">
      <c r="A19">
        <v>17</v>
      </c>
      <c r="B19" s="556" t="s">
        <v>462</v>
      </c>
      <c r="C19" s="15" t="s">
        <v>463</v>
      </c>
      <c r="D19" s="15" t="s">
        <v>464</v>
      </c>
      <c r="E19" s="15" t="s">
        <v>465</v>
      </c>
      <c r="F19" t="s">
        <v>466</v>
      </c>
      <c r="G19" s="15" t="s">
        <v>467</v>
      </c>
      <c r="H19" s="15" t="s">
        <v>468</v>
      </c>
      <c r="I19" s="15" t="s">
        <v>435</v>
      </c>
      <c r="J19" t="s">
        <v>436</v>
      </c>
      <c r="K19" s="15" t="s">
        <v>437</v>
      </c>
      <c r="L19" s="15"/>
      <c r="M19">
        <v>17</v>
      </c>
    </row>
    <row r="20" spans="1:13" x14ac:dyDescent="0.2">
      <c r="A20">
        <v>18</v>
      </c>
      <c r="B20" s="33" t="s">
        <v>469</v>
      </c>
      <c r="C20" t="s">
        <v>470</v>
      </c>
      <c r="D20" s="15" t="s">
        <v>471</v>
      </c>
      <c r="E20" s="15" t="s">
        <v>472</v>
      </c>
      <c r="F20" t="s">
        <v>473</v>
      </c>
      <c r="G20" s="15" t="s">
        <v>474</v>
      </c>
      <c r="H20" s="15" t="s">
        <v>475</v>
      </c>
      <c r="I20" s="15" t="s">
        <v>332</v>
      </c>
      <c r="J20" s="15" t="s">
        <v>333</v>
      </c>
      <c r="K20" s="15" t="s">
        <v>334</v>
      </c>
      <c r="L20" s="15"/>
      <c r="M20">
        <v>18</v>
      </c>
    </row>
    <row r="21" spans="1:13" x14ac:dyDescent="0.2">
      <c r="A21">
        <v>19</v>
      </c>
      <c r="B21" s="33" t="s">
        <v>476</v>
      </c>
      <c r="C21" t="s">
        <v>477</v>
      </c>
      <c r="D21" t="s">
        <v>478</v>
      </c>
      <c r="E21" s="15" t="s">
        <v>479</v>
      </c>
      <c r="F21" t="s">
        <v>480</v>
      </c>
      <c r="G21" s="15" t="s">
        <v>481</v>
      </c>
      <c r="H21" s="15" t="s">
        <v>482</v>
      </c>
      <c r="I21" s="15" t="s">
        <v>332</v>
      </c>
      <c r="J21" s="15" t="s">
        <v>333</v>
      </c>
      <c r="K21" s="15" t="s">
        <v>334</v>
      </c>
      <c r="L21" s="15"/>
      <c r="M21">
        <v>19</v>
      </c>
    </row>
    <row r="22" spans="1:13" x14ac:dyDescent="0.2">
      <c r="A22">
        <v>20</v>
      </c>
      <c r="B22" s="33" t="s">
        <v>483</v>
      </c>
      <c r="C22" t="s">
        <v>484</v>
      </c>
      <c r="D22" t="s">
        <v>485</v>
      </c>
      <c r="E22" s="15" t="s">
        <v>486</v>
      </c>
      <c r="F22" t="s">
        <v>487</v>
      </c>
      <c r="G22" s="15" t="s">
        <v>488</v>
      </c>
      <c r="H22" s="15" t="s">
        <v>489</v>
      </c>
      <c r="I22" s="15" t="s">
        <v>332</v>
      </c>
      <c r="J22" s="15" t="s">
        <v>333</v>
      </c>
      <c r="K22" s="15" t="s">
        <v>334</v>
      </c>
      <c r="L22" s="15"/>
      <c r="M22">
        <v>20</v>
      </c>
    </row>
    <row r="23" spans="1:13" x14ac:dyDescent="0.2">
      <c r="A23" s="520">
        <v>21</v>
      </c>
      <c r="B23" s="845"/>
      <c r="C23" s="849" t="s">
        <v>490</v>
      </c>
      <c r="D23" s="850" t="s">
        <v>491</v>
      </c>
      <c r="E23" s="520" t="s">
        <v>492</v>
      </c>
      <c r="F23" s="853" t="s">
        <v>322</v>
      </c>
      <c r="G23" s="720"/>
      <c r="H23" s="720"/>
      <c r="I23" s="520" t="s">
        <v>332</v>
      </c>
      <c r="J23" s="520" t="s">
        <v>333</v>
      </c>
      <c r="K23" s="520"/>
      <c r="M23">
        <v>21</v>
      </c>
    </row>
    <row r="24" spans="1:13" x14ac:dyDescent="0.2">
      <c r="A24">
        <v>22</v>
      </c>
      <c r="B24" s="33" t="s">
        <v>493</v>
      </c>
      <c r="C24" t="s">
        <v>494</v>
      </c>
      <c r="D24" t="s">
        <v>495</v>
      </c>
      <c r="E24" t="s">
        <v>496</v>
      </c>
      <c r="F24" t="s">
        <v>497</v>
      </c>
      <c r="G24" s="15" t="s">
        <v>498</v>
      </c>
      <c r="H24" s="15" t="s">
        <v>499</v>
      </c>
      <c r="I24" s="15" t="s">
        <v>332</v>
      </c>
      <c r="J24" s="15" t="s">
        <v>333</v>
      </c>
      <c r="K24" s="15" t="s">
        <v>334</v>
      </c>
      <c r="L24" s="15"/>
      <c r="M24">
        <v>22</v>
      </c>
    </row>
    <row r="25" spans="1:13" x14ac:dyDescent="0.2">
      <c r="A25">
        <v>23</v>
      </c>
      <c r="B25" s="33" t="s">
        <v>500</v>
      </c>
      <c r="C25" t="s">
        <v>501</v>
      </c>
      <c r="D25" s="15" t="s">
        <v>502</v>
      </c>
      <c r="E25" t="s">
        <v>503</v>
      </c>
      <c r="F25" t="s">
        <v>504</v>
      </c>
      <c r="G25" s="15" t="s">
        <v>505</v>
      </c>
      <c r="H25" s="15" t="s">
        <v>506</v>
      </c>
      <c r="I25" s="15" t="s">
        <v>332</v>
      </c>
      <c r="J25" s="15" t="s">
        <v>333</v>
      </c>
      <c r="K25" s="15" t="s">
        <v>334</v>
      </c>
      <c r="L25" s="15"/>
    </row>
    <row r="26" spans="1:13" x14ac:dyDescent="0.2">
      <c r="A26">
        <v>24</v>
      </c>
      <c r="B26" s="33" t="s">
        <v>507</v>
      </c>
      <c r="C26" t="s">
        <v>508</v>
      </c>
      <c r="D26" s="15" t="s">
        <v>509</v>
      </c>
      <c r="E26" t="s">
        <v>510</v>
      </c>
      <c r="F26" t="s">
        <v>511</v>
      </c>
      <c r="G26" s="15" t="s">
        <v>512</v>
      </c>
      <c r="H26" s="15" t="s">
        <v>513</v>
      </c>
      <c r="I26" s="15" t="s">
        <v>332</v>
      </c>
      <c r="J26" s="15" t="s">
        <v>333</v>
      </c>
      <c r="K26" s="15" t="s">
        <v>334</v>
      </c>
      <c r="L26" s="15"/>
    </row>
    <row r="27" spans="1:13" x14ac:dyDescent="0.2">
      <c r="A27">
        <v>25</v>
      </c>
      <c r="B27" s="556" t="s">
        <v>514</v>
      </c>
      <c r="C27" s="15" t="s">
        <v>515</v>
      </c>
      <c r="D27" s="15" t="s">
        <v>516</v>
      </c>
      <c r="E27" t="s">
        <v>517</v>
      </c>
      <c r="F27" s="15" t="s">
        <v>518</v>
      </c>
      <c r="G27" s="15" t="s">
        <v>519</v>
      </c>
      <c r="H27" s="15" t="s">
        <v>520</v>
      </c>
      <c r="I27" s="15" t="s">
        <v>332</v>
      </c>
      <c r="J27" s="15" t="s">
        <v>333</v>
      </c>
      <c r="K27" s="15" t="s">
        <v>334</v>
      </c>
      <c r="L27" s="15"/>
    </row>
    <row r="28" spans="1:13" x14ac:dyDescent="0.2">
      <c r="A28">
        <v>26</v>
      </c>
      <c r="B28" s="33" t="s">
        <v>521</v>
      </c>
      <c r="C28" s="15" t="s">
        <v>522</v>
      </c>
      <c r="D28" s="15" t="s">
        <v>523</v>
      </c>
      <c r="E28" t="s">
        <v>524</v>
      </c>
      <c r="F28" t="s">
        <v>525</v>
      </c>
      <c r="G28" s="15" t="s">
        <v>526</v>
      </c>
      <c r="H28" s="15" t="s">
        <v>527</v>
      </c>
      <c r="I28" s="15" t="s">
        <v>332</v>
      </c>
      <c r="J28" s="15" t="s">
        <v>333</v>
      </c>
      <c r="K28" s="15" t="s">
        <v>334</v>
      </c>
      <c r="L28" s="15"/>
    </row>
    <row r="29" spans="1:13" x14ac:dyDescent="0.2">
      <c r="A29" s="520">
        <v>27</v>
      </c>
      <c r="B29" s="845"/>
      <c r="C29" s="849" t="s">
        <v>528</v>
      </c>
      <c r="D29" s="850" t="s">
        <v>529</v>
      </c>
      <c r="E29" s="520" t="s">
        <v>530</v>
      </c>
      <c r="F29" s="853" t="s">
        <v>322</v>
      </c>
      <c r="G29" s="720"/>
      <c r="H29" s="720"/>
      <c r="I29" s="520" t="s">
        <v>332</v>
      </c>
      <c r="J29" s="520" t="s">
        <v>333</v>
      </c>
      <c r="K29" s="520"/>
    </row>
    <row r="30" spans="1:13" x14ac:dyDescent="0.2">
      <c r="A30">
        <v>28</v>
      </c>
      <c r="B30" s="33" t="s">
        <v>531</v>
      </c>
      <c r="C30" t="s">
        <v>532</v>
      </c>
      <c r="D30" t="s">
        <v>533</v>
      </c>
      <c r="E30" t="s">
        <v>534</v>
      </c>
      <c r="F30" t="s">
        <v>535</v>
      </c>
      <c r="G30" s="15" t="s">
        <v>536</v>
      </c>
      <c r="H30" s="15" t="s">
        <v>537</v>
      </c>
      <c r="I30" s="15" t="s">
        <v>332</v>
      </c>
      <c r="J30" s="15" t="s">
        <v>333</v>
      </c>
      <c r="K30" s="15" t="s">
        <v>334</v>
      </c>
      <c r="L30" s="15"/>
    </row>
    <row r="31" spans="1:13" x14ac:dyDescent="0.2">
      <c r="A31">
        <v>29</v>
      </c>
      <c r="B31" s="33" t="s">
        <v>538</v>
      </c>
      <c r="C31" t="s">
        <v>539</v>
      </c>
      <c r="D31" s="15" t="s">
        <v>540</v>
      </c>
      <c r="E31" t="s">
        <v>541</v>
      </c>
      <c r="F31" t="s">
        <v>542</v>
      </c>
      <c r="G31" s="15" t="s">
        <v>543</v>
      </c>
      <c r="H31" s="15" t="s">
        <v>544</v>
      </c>
      <c r="I31" s="15" t="s">
        <v>332</v>
      </c>
      <c r="J31" s="15" t="s">
        <v>333</v>
      </c>
      <c r="K31" s="15" t="s">
        <v>334</v>
      </c>
      <c r="L31" s="15"/>
    </row>
    <row r="32" spans="1:13" x14ac:dyDescent="0.2">
      <c r="A32">
        <v>30</v>
      </c>
      <c r="B32" s="33" t="s">
        <v>545</v>
      </c>
      <c r="C32" t="s">
        <v>546</v>
      </c>
      <c r="D32" s="15" t="s">
        <v>547</v>
      </c>
      <c r="E32" t="s">
        <v>548</v>
      </c>
      <c r="F32" t="s">
        <v>549</v>
      </c>
      <c r="G32" s="15" t="s">
        <v>550</v>
      </c>
      <c r="H32" s="15" t="s">
        <v>551</v>
      </c>
      <c r="I32" s="15" t="s">
        <v>332</v>
      </c>
      <c r="J32" s="15" t="s">
        <v>333</v>
      </c>
      <c r="K32" s="15" t="s">
        <v>334</v>
      </c>
      <c r="L32" s="15"/>
    </row>
    <row r="33" spans="1:12" x14ac:dyDescent="0.2">
      <c r="A33">
        <v>31</v>
      </c>
      <c r="B33" s="556" t="s">
        <v>552</v>
      </c>
      <c r="C33" s="15" t="s">
        <v>553</v>
      </c>
      <c r="D33" s="15" t="s">
        <v>554</v>
      </c>
      <c r="E33" t="s">
        <v>555</v>
      </c>
      <c r="F33" t="s">
        <v>556</v>
      </c>
      <c r="G33" s="15" t="s">
        <v>557</v>
      </c>
      <c r="H33" s="15" t="s">
        <v>558</v>
      </c>
      <c r="I33" s="15" t="s">
        <v>332</v>
      </c>
      <c r="J33" s="15" t="s">
        <v>333</v>
      </c>
      <c r="K33" s="15" t="s">
        <v>334</v>
      </c>
      <c r="L33" s="15"/>
    </row>
    <row r="34" spans="1:12" x14ac:dyDescent="0.2">
      <c r="A34">
        <v>32</v>
      </c>
      <c r="B34" s="33" t="s">
        <v>559</v>
      </c>
      <c r="C34" t="s">
        <v>560</v>
      </c>
      <c r="D34" s="15" t="s">
        <v>561</v>
      </c>
      <c r="E34" t="s">
        <v>562</v>
      </c>
      <c r="F34" t="s">
        <v>563</v>
      </c>
      <c r="G34" s="15" t="s">
        <v>564</v>
      </c>
      <c r="H34" s="15" t="s">
        <v>565</v>
      </c>
      <c r="I34" s="15" t="s">
        <v>332</v>
      </c>
      <c r="J34" s="15" t="s">
        <v>333</v>
      </c>
      <c r="K34" s="15" t="s">
        <v>334</v>
      </c>
      <c r="L34" s="15"/>
    </row>
    <row r="35" spans="1:12" x14ac:dyDescent="0.2">
      <c r="A35">
        <v>33</v>
      </c>
      <c r="B35" s="33" t="s">
        <v>566</v>
      </c>
      <c r="C35" t="s">
        <v>567</v>
      </c>
      <c r="D35" s="15" t="s">
        <v>568</v>
      </c>
      <c r="E35" t="s">
        <v>569</v>
      </c>
      <c r="F35" t="s">
        <v>570</v>
      </c>
      <c r="G35" s="15" t="s">
        <v>571</v>
      </c>
      <c r="H35" s="15" t="s">
        <v>572</v>
      </c>
      <c r="I35" s="15" t="s">
        <v>332</v>
      </c>
      <c r="J35" s="15" t="s">
        <v>333</v>
      </c>
      <c r="K35" s="15" t="s">
        <v>334</v>
      </c>
      <c r="L35" s="15"/>
    </row>
    <row r="36" spans="1:12" x14ac:dyDescent="0.2">
      <c r="A36">
        <v>34</v>
      </c>
      <c r="B36" s="556" t="s">
        <v>573</v>
      </c>
      <c r="C36" s="15" t="s">
        <v>574</v>
      </c>
      <c r="D36" s="15" t="s">
        <v>575</v>
      </c>
      <c r="E36" t="s">
        <v>576</v>
      </c>
      <c r="F36" t="s">
        <v>577</v>
      </c>
      <c r="G36" s="15" t="s">
        <v>578</v>
      </c>
      <c r="H36" s="15" t="s">
        <v>579</v>
      </c>
      <c r="I36" s="15" t="s">
        <v>332</v>
      </c>
      <c r="J36" s="15" t="s">
        <v>333</v>
      </c>
      <c r="K36" s="15" t="s">
        <v>334</v>
      </c>
      <c r="L36" s="15"/>
    </row>
    <row r="37" spans="1:12" x14ac:dyDescent="0.2">
      <c r="A37">
        <v>35</v>
      </c>
      <c r="B37" s="33" t="s">
        <v>580</v>
      </c>
      <c r="C37" t="s">
        <v>581</v>
      </c>
      <c r="D37" s="15" t="s">
        <v>582</v>
      </c>
      <c r="E37" t="s">
        <v>583</v>
      </c>
      <c r="F37" t="s">
        <v>584</v>
      </c>
      <c r="G37" s="15" t="s">
        <v>585</v>
      </c>
      <c r="H37" s="15" t="s">
        <v>586</v>
      </c>
      <c r="I37" s="15" t="s">
        <v>332</v>
      </c>
      <c r="J37" s="15" t="s">
        <v>333</v>
      </c>
      <c r="K37" s="15" t="s">
        <v>334</v>
      </c>
      <c r="L37" s="15"/>
    </row>
    <row r="38" spans="1:12" x14ac:dyDescent="0.2">
      <c r="A38">
        <v>36</v>
      </c>
      <c r="B38" s="556" t="s">
        <v>587</v>
      </c>
      <c r="C38" s="15" t="s">
        <v>588</v>
      </c>
      <c r="D38" s="15" t="s">
        <v>589</v>
      </c>
      <c r="E38" t="s">
        <v>590</v>
      </c>
      <c r="F38" t="s">
        <v>591</v>
      </c>
      <c r="G38" s="15" t="s">
        <v>592</v>
      </c>
      <c r="H38" s="15" t="s">
        <v>593</v>
      </c>
      <c r="I38" s="15" t="s">
        <v>332</v>
      </c>
      <c r="J38" s="15" t="s">
        <v>333</v>
      </c>
      <c r="K38" s="15" t="s">
        <v>334</v>
      </c>
      <c r="L38" s="15"/>
    </row>
    <row r="39" spans="1:12" x14ac:dyDescent="0.2">
      <c r="A39">
        <v>37</v>
      </c>
      <c r="B39" s="556" t="s">
        <v>594</v>
      </c>
      <c r="C39" s="15" t="s">
        <v>595</v>
      </c>
      <c r="D39" s="15" t="s">
        <v>596</v>
      </c>
      <c r="E39" t="s">
        <v>597</v>
      </c>
      <c r="F39" t="s">
        <v>598</v>
      </c>
      <c r="G39" s="15" t="s">
        <v>599</v>
      </c>
      <c r="H39" s="15" t="s">
        <v>600</v>
      </c>
      <c r="I39" s="15" t="s">
        <v>332</v>
      </c>
      <c r="J39" s="15" t="s">
        <v>333</v>
      </c>
      <c r="K39" s="15" t="s">
        <v>334</v>
      </c>
      <c r="L39" s="15"/>
    </row>
    <row r="40" spans="1:12" x14ac:dyDescent="0.2">
      <c r="A40">
        <v>38</v>
      </c>
      <c r="B40" s="33" t="s">
        <v>601</v>
      </c>
      <c r="C40" t="s">
        <v>602</v>
      </c>
      <c r="D40" s="15" t="s">
        <v>603</v>
      </c>
      <c r="E40" t="s">
        <v>604</v>
      </c>
      <c r="F40" t="s">
        <v>605</v>
      </c>
      <c r="G40" s="15" t="s">
        <v>606</v>
      </c>
      <c r="H40" s="15" t="s">
        <v>607</v>
      </c>
      <c r="I40" s="15" t="s">
        <v>332</v>
      </c>
      <c r="J40" s="15" t="s">
        <v>333</v>
      </c>
      <c r="K40" s="15" t="s">
        <v>334</v>
      </c>
      <c r="L40" s="15"/>
    </row>
    <row r="41" spans="1:12" x14ac:dyDescent="0.2">
      <c r="A41">
        <v>39</v>
      </c>
      <c r="B41" s="33" t="s">
        <v>608</v>
      </c>
      <c r="C41" t="s">
        <v>609</v>
      </c>
      <c r="D41" s="15" t="s">
        <v>610</v>
      </c>
      <c r="E41" t="s">
        <v>611</v>
      </c>
      <c r="F41" s="15" t="s">
        <v>612</v>
      </c>
      <c r="G41" s="15" t="s">
        <v>613</v>
      </c>
      <c r="H41" s="15" t="s">
        <v>614</v>
      </c>
      <c r="I41" s="15" t="s">
        <v>332</v>
      </c>
      <c r="J41" s="15" t="s">
        <v>333</v>
      </c>
      <c r="K41" s="15" t="s">
        <v>334</v>
      </c>
      <c r="L41" s="15"/>
    </row>
    <row r="42" spans="1:12" x14ac:dyDescent="0.2">
      <c r="A42">
        <v>40</v>
      </c>
      <c r="B42" s="33" t="s">
        <v>615</v>
      </c>
      <c r="C42" t="s">
        <v>616</v>
      </c>
      <c r="D42" s="15" t="s">
        <v>617</v>
      </c>
      <c r="E42" t="s">
        <v>618</v>
      </c>
      <c r="F42" t="s">
        <v>619</v>
      </c>
      <c r="G42" s="15" t="s">
        <v>620</v>
      </c>
      <c r="H42" s="15" t="s">
        <v>621</v>
      </c>
      <c r="I42" s="15" t="s">
        <v>332</v>
      </c>
      <c r="J42" s="15" t="s">
        <v>333</v>
      </c>
      <c r="K42" s="15" t="s">
        <v>334</v>
      </c>
      <c r="L42" s="15"/>
    </row>
    <row r="43" spans="1:12" x14ac:dyDescent="0.2">
      <c r="A43">
        <v>41</v>
      </c>
      <c r="B43" s="33" t="s">
        <v>622</v>
      </c>
      <c r="C43" t="s">
        <v>623</v>
      </c>
      <c r="D43" s="15" t="s">
        <v>624</v>
      </c>
      <c r="E43" t="s">
        <v>625</v>
      </c>
      <c r="F43" t="s">
        <v>626</v>
      </c>
      <c r="G43" s="15" t="s">
        <v>627</v>
      </c>
      <c r="H43" s="15" t="s">
        <v>628</v>
      </c>
      <c r="I43" s="15" t="s">
        <v>332</v>
      </c>
      <c r="J43" s="15" t="s">
        <v>333</v>
      </c>
      <c r="K43" s="15" t="s">
        <v>334</v>
      </c>
      <c r="L43" s="15"/>
    </row>
    <row r="44" spans="1:12" x14ac:dyDescent="0.2">
      <c r="A44">
        <v>42</v>
      </c>
      <c r="B44" s="33" t="s">
        <v>629</v>
      </c>
      <c r="C44" t="s">
        <v>630</v>
      </c>
      <c r="D44" s="15" t="s">
        <v>631</v>
      </c>
      <c r="E44" t="s">
        <v>632</v>
      </c>
      <c r="F44" t="s">
        <v>633</v>
      </c>
      <c r="G44" s="15" t="s">
        <v>634</v>
      </c>
      <c r="H44" s="15" t="s">
        <v>635</v>
      </c>
      <c r="I44" s="15" t="s">
        <v>332</v>
      </c>
      <c r="J44" s="15" t="s">
        <v>333</v>
      </c>
      <c r="K44" s="15" t="s">
        <v>334</v>
      </c>
      <c r="L44" s="15"/>
    </row>
    <row r="45" spans="1:12" x14ac:dyDescent="0.2">
      <c r="A45">
        <v>43</v>
      </c>
      <c r="B45" s="33" t="s">
        <v>636</v>
      </c>
      <c r="C45" t="s">
        <v>637</v>
      </c>
      <c r="D45" s="15" t="s">
        <v>638</v>
      </c>
      <c r="E45" t="s">
        <v>639</v>
      </c>
      <c r="F45" t="s">
        <v>640</v>
      </c>
      <c r="G45" s="15" t="s">
        <v>641</v>
      </c>
      <c r="H45" s="15" t="s">
        <v>642</v>
      </c>
      <c r="I45" s="15" t="s">
        <v>332</v>
      </c>
      <c r="J45" s="15" t="s">
        <v>333</v>
      </c>
      <c r="K45" s="15" t="s">
        <v>334</v>
      </c>
      <c r="L45" s="15"/>
    </row>
    <row r="46" spans="1:12" x14ac:dyDescent="0.2">
      <c r="A46">
        <v>44</v>
      </c>
      <c r="B46" s="556" t="s">
        <v>643</v>
      </c>
      <c r="C46" s="15" t="s">
        <v>644</v>
      </c>
      <c r="D46" s="15" t="s">
        <v>645</v>
      </c>
      <c r="E46" t="s">
        <v>646</v>
      </c>
      <c r="F46" t="s">
        <v>647</v>
      </c>
      <c r="G46" s="15" t="s">
        <v>648</v>
      </c>
      <c r="H46" s="15" t="s">
        <v>649</v>
      </c>
      <c r="I46" s="15" t="s">
        <v>332</v>
      </c>
      <c r="J46" s="15" t="s">
        <v>333</v>
      </c>
      <c r="K46" s="15" t="s">
        <v>334</v>
      </c>
      <c r="L46" s="15"/>
    </row>
    <row r="47" spans="1:12" x14ac:dyDescent="0.2">
      <c r="A47" s="520">
        <v>45</v>
      </c>
      <c r="B47" s="845"/>
      <c r="C47" s="849" t="s">
        <v>650</v>
      </c>
      <c r="D47" s="850" t="s">
        <v>651</v>
      </c>
      <c r="E47" s="520" t="s">
        <v>652</v>
      </c>
      <c r="F47" s="720"/>
      <c r="G47" s="720"/>
      <c r="H47" s="720"/>
      <c r="I47" s="853"/>
      <c r="J47" s="720"/>
      <c r="K47" s="720"/>
      <c r="L47" s="15"/>
    </row>
    <row r="48" spans="1:12" x14ac:dyDescent="0.2">
      <c r="A48">
        <v>46</v>
      </c>
      <c r="B48" s="33" t="s">
        <v>653</v>
      </c>
      <c r="C48" t="s">
        <v>650</v>
      </c>
      <c r="D48" s="15" t="s">
        <v>651</v>
      </c>
      <c r="E48" t="s">
        <v>652</v>
      </c>
      <c r="F48" t="s">
        <v>654</v>
      </c>
      <c r="G48" s="15" t="s">
        <v>655</v>
      </c>
      <c r="H48" s="15" t="s">
        <v>656</v>
      </c>
      <c r="I48" s="15" t="s">
        <v>435</v>
      </c>
      <c r="J48" s="15" t="s">
        <v>436</v>
      </c>
      <c r="K48" s="15" t="s">
        <v>437</v>
      </c>
      <c r="L48" s="15"/>
    </row>
    <row r="49" spans="1:12" x14ac:dyDescent="0.2">
      <c r="A49" s="520">
        <v>47</v>
      </c>
      <c r="B49" s="845"/>
      <c r="C49" s="849" t="s">
        <v>657</v>
      </c>
      <c r="D49" s="850" t="s">
        <v>658</v>
      </c>
      <c r="E49" s="520" t="s">
        <v>386</v>
      </c>
      <c r="F49" s="720"/>
      <c r="G49" s="720"/>
      <c r="H49" s="720"/>
      <c r="I49" s="720"/>
      <c r="J49" s="720"/>
      <c r="K49" s="720"/>
      <c r="L49" s="15"/>
    </row>
    <row r="50" spans="1:12" x14ac:dyDescent="0.2">
      <c r="A50">
        <v>48</v>
      </c>
      <c r="B50" s="33" t="s">
        <v>659</v>
      </c>
      <c r="C50" t="s">
        <v>660</v>
      </c>
      <c r="D50" s="15" t="s">
        <v>661</v>
      </c>
      <c r="E50" t="s">
        <v>662</v>
      </c>
      <c r="F50" t="s">
        <v>663</v>
      </c>
      <c r="G50" s="15" t="s">
        <v>664</v>
      </c>
      <c r="H50" s="15" t="s">
        <v>665</v>
      </c>
      <c r="I50" s="15" t="s">
        <v>666</v>
      </c>
      <c r="J50" s="15" t="s">
        <v>667</v>
      </c>
      <c r="K50" s="15" t="s">
        <v>668</v>
      </c>
      <c r="L50" s="15"/>
    </row>
    <row r="51" spans="1:12" x14ac:dyDescent="0.2">
      <c r="A51">
        <v>49</v>
      </c>
      <c r="B51" s="556" t="s">
        <v>669</v>
      </c>
      <c r="C51" s="15" t="s">
        <v>670</v>
      </c>
      <c r="D51" s="15" t="s">
        <v>671</v>
      </c>
      <c r="E51" t="s">
        <v>672</v>
      </c>
      <c r="F51" t="s">
        <v>673</v>
      </c>
      <c r="G51" s="15" t="s">
        <v>674</v>
      </c>
      <c r="H51" s="15" t="s">
        <v>675</v>
      </c>
      <c r="I51" s="15" t="s">
        <v>666</v>
      </c>
      <c r="J51" s="15" t="s">
        <v>667</v>
      </c>
      <c r="K51" s="15" t="s">
        <v>668</v>
      </c>
      <c r="L51" s="15"/>
    </row>
    <row r="52" spans="1:12" x14ac:dyDescent="0.2">
      <c r="A52">
        <v>50</v>
      </c>
      <c r="B52" s="556" t="s">
        <v>676</v>
      </c>
      <c r="C52" s="15" t="s">
        <v>677</v>
      </c>
      <c r="D52" s="15" t="s">
        <v>678</v>
      </c>
      <c r="E52" t="s">
        <v>679</v>
      </c>
      <c r="F52" t="s">
        <v>680</v>
      </c>
      <c r="G52" s="15" t="s">
        <v>681</v>
      </c>
      <c r="H52" s="15" t="s">
        <v>675</v>
      </c>
      <c r="I52" s="15" t="s">
        <v>666</v>
      </c>
      <c r="J52" s="15" t="s">
        <v>667</v>
      </c>
      <c r="K52" s="15" t="s">
        <v>668</v>
      </c>
      <c r="L52" s="15"/>
    </row>
    <row r="53" spans="1:12" x14ac:dyDescent="0.2">
      <c r="A53">
        <v>51</v>
      </c>
      <c r="B53" s="33" t="s">
        <v>682</v>
      </c>
      <c r="C53" t="s">
        <v>683</v>
      </c>
      <c r="D53" s="15" t="s">
        <v>684</v>
      </c>
      <c r="E53" t="s">
        <v>685</v>
      </c>
      <c r="F53" t="s">
        <v>686</v>
      </c>
      <c r="G53" s="15" t="s">
        <v>687</v>
      </c>
      <c r="H53" s="15" t="s">
        <v>688</v>
      </c>
      <c r="I53" s="15" t="s">
        <v>666</v>
      </c>
      <c r="J53" s="15" t="s">
        <v>667</v>
      </c>
      <c r="K53" s="15" t="s">
        <v>668</v>
      </c>
      <c r="L53" s="15"/>
    </row>
    <row r="54" spans="1:12" x14ac:dyDescent="0.2">
      <c r="A54">
        <v>52</v>
      </c>
      <c r="B54" s="33" t="s">
        <v>689</v>
      </c>
      <c r="C54" t="s">
        <v>690</v>
      </c>
      <c r="D54" s="15" t="s">
        <v>691</v>
      </c>
      <c r="E54" t="s">
        <v>692</v>
      </c>
      <c r="F54" t="s">
        <v>693</v>
      </c>
      <c r="G54" s="15" t="s">
        <v>694</v>
      </c>
      <c r="H54" s="15" t="s">
        <v>695</v>
      </c>
      <c r="I54" s="15" t="s">
        <v>666</v>
      </c>
      <c r="J54" s="15" t="s">
        <v>667</v>
      </c>
      <c r="K54" s="15" t="s">
        <v>668</v>
      </c>
      <c r="L54" s="15"/>
    </row>
    <row r="55" spans="1:12" x14ac:dyDescent="0.2">
      <c r="A55">
        <v>53</v>
      </c>
      <c r="B55" s="33" t="s">
        <v>696</v>
      </c>
      <c r="C55" t="s">
        <v>697</v>
      </c>
      <c r="D55" s="15" t="s">
        <v>698</v>
      </c>
      <c r="E55" t="s">
        <v>699</v>
      </c>
      <c r="F55" t="s">
        <v>700</v>
      </c>
      <c r="G55" s="15" t="s">
        <v>701</v>
      </c>
      <c r="H55" s="15" t="s">
        <v>702</v>
      </c>
      <c r="I55" s="15" t="s">
        <v>332</v>
      </c>
      <c r="J55" s="15" t="s">
        <v>333</v>
      </c>
      <c r="K55" s="15" t="s">
        <v>334</v>
      </c>
      <c r="L55" s="15"/>
    </row>
    <row r="56" spans="1:12" x14ac:dyDescent="0.2">
      <c r="A56">
        <v>54</v>
      </c>
      <c r="B56" s="33" t="s">
        <v>703</v>
      </c>
      <c r="C56" t="s">
        <v>704</v>
      </c>
      <c r="D56" s="15" t="s">
        <v>705</v>
      </c>
      <c r="E56" t="s">
        <v>706</v>
      </c>
      <c r="F56" t="s">
        <v>707</v>
      </c>
      <c r="G56" s="15" t="s">
        <v>708</v>
      </c>
      <c r="H56" s="15" t="s">
        <v>709</v>
      </c>
      <c r="I56" s="15" t="s">
        <v>332</v>
      </c>
      <c r="J56" s="15" t="s">
        <v>333</v>
      </c>
      <c r="K56" s="15" t="s">
        <v>334</v>
      </c>
      <c r="L56" s="15"/>
    </row>
    <row r="57" spans="1:12" x14ac:dyDescent="0.2">
      <c r="A57">
        <v>55</v>
      </c>
      <c r="B57" s="33" t="s">
        <v>710</v>
      </c>
      <c r="C57" t="s">
        <v>711</v>
      </c>
      <c r="D57" s="15" t="s">
        <v>712</v>
      </c>
      <c r="E57" t="s">
        <v>713</v>
      </c>
      <c r="F57" t="s">
        <v>714</v>
      </c>
      <c r="G57" s="15" t="s">
        <v>715</v>
      </c>
      <c r="H57" s="15" t="s">
        <v>716</v>
      </c>
      <c r="I57" s="15" t="s">
        <v>332</v>
      </c>
      <c r="J57" s="15" t="s">
        <v>333</v>
      </c>
      <c r="K57" s="15" t="s">
        <v>334</v>
      </c>
      <c r="L57" s="15"/>
    </row>
    <row r="58" spans="1:12" x14ac:dyDescent="0.2">
      <c r="A58">
        <v>56</v>
      </c>
      <c r="B58" s="33" t="s">
        <v>717</v>
      </c>
      <c r="C58" t="s">
        <v>718</v>
      </c>
      <c r="D58" s="15" t="s">
        <v>719</v>
      </c>
      <c r="E58" t="s">
        <v>720</v>
      </c>
      <c r="F58" t="s">
        <v>721</v>
      </c>
      <c r="G58" s="15" t="s">
        <v>722</v>
      </c>
      <c r="H58" s="15" t="s">
        <v>723</v>
      </c>
      <c r="I58" s="15" t="s">
        <v>332</v>
      </c>
      <c r="J58" s="15" t="s">
        <v>333</v>
      </c>
      <c r="K58" s="15" t="s">
        <v>334</v>
      </c>
      <c r="L58" s="15"/>
    </row>
    <row r="59" spans="1:12" x14ac:dyDescent="0.2">
      <c r="A59">
        <v>57</v>
      </c>
      <c r="B59" s="33" t="s">
        <v>724</v>
      </c>
      <c r="C59" s="15" t="s">
        <v>725</v>
      </c>
      <c r="D59" s="15" t="s">
        <v>726</v>
      </c>
      <c r="E59" t="s">
        <v>727</v>
      </c>
      <c r="F59" t="s">
        <v>728</v>
      </c>
      <c r="G59" s="15" t="s">
        <v>729</v>
      </c>
      <c r="H59" s="15" t="s">
        <v>730</v>
      </c>
      <c r="I59" s="15" t="s">
        <v>666</v>
      </c>
      <c r="J59" s="15" t="s">
        <v>667</v>
      </c>
      <c r="K59" s="15" t="s">
        <v>668</v>
      </c>
      <c r="L59" s="15"/>
    </row>
    <row r="60" spans="1:12" x14ac:dyDescent="0.2">
      <c r="A60">
        <v>58</v>
      </c>
      <c r="B60" s="33" t="s">
        <v>731</v>
      </c>
      <c r="C60" t="s">
        <v>732</v>
      </c>
      <c r="D60" s="15" t="s">
        <v>733</v>
      </c>
      <c r="E60" t="s">
        <v>734</v>
      </c>
      <c r="F60" t="s">
        <v>735</v>
      </c>
      <c r="G60" s="15" t="s">
        <v>736</v>
      </c>
      <c r="H60" s="15" t="s">
        <v>737</v>
      </c>
      <c r="I60" s="15" t="s">
        <v>332</v>
      </c>
      <c r="J60" s="15" t="s">
        <v>333</v>
      </c>
      <c r="K60" s="15" t="s">
        <v>334</v>
      </c>
      <c r="L60" s="15"/>
    </row>
    <row r="61" spans="1:12" x14ac:dyDescent="0.2">
      <c r="A61" s="520">
        <v>59</v>
      </c>
      <c r="B61" s="845"/>
      <c r="C61" s="849" t="s">
        <v>173</v>
      </c>
      <c r="D61" s="850" t="s">
        <v>738</v>
      </c>
      <c r="E61" s="520" t="s">
        <v>739</v>
      </c>
      <c r="F61" s="720"/>
      <c r="G61" s="720"/>
      <c r="H61" s="720"/>
      <c r="I61" s="720"/>
      <c r="J61" s="720"/>
      <c r="K61" s="720"/>
      <c r="L61" s="15"/>
    </row>
    <row r="62" spans="1:12" x14ac:dyDescent="0.2">
      <c r="A62">
        <v>60</v>
      </c>
      <c r="B62" s="33" t="s">
        <v>740</v>
      </c>
      <c r="C62" t="s">
        <v>741</v>
      </c>
      <c r="D62" t="s">
        <v>742</v>
      </c>
      <c r="E62" t="s">
        <v>743</v>
      </c>
      <c r="F62" t="s">
        <v>744</v>
      </c>
      <c r="G62" s="15" t="s">
        <v>745</v>
      </c>
      <c r="H62" s="15" t="s">
        <v>746</v>
      </c>
      <c r="I62" s="15" t="s">
        <v>747</v>
      </c>
      <c r="J62" s="15" t="s">
        <v>748</v>
      </c>
      <c r="K62" s="15" t="s">
        <v>749</v>
      </c>
    </row>
    <row r="63" spans="1:12" x14ac:dyDescent="0.2">
      <c r="A63">
        <v>61</v>
      </c>
      <c r="B63" s="33" t="s">
        <v>750</v>
      </c>
      <c r="C63" t="s">
        <v>751</v>
      </c>
      <c r="D63" t="s">
        <v>752</v>
      </c>
      <c r="E63" t="s">
        <v>753</v>
      </c>
      <c r="F63" t="s">
        <v>754</v>
      </c>
      <c r="G63" s="15" t="s">
        <v>755</v>
      </c>
      <c r="H63" s="15" t="s">
        <v>756</v>
      </c>
      <c r="I63" s="15" t="s">
        <v>747</v>
      </c>
      <c r="J63" s="15" t="s">
        <v>748</v>
      </c>
      <c r="K63" s="15" t="s">
        <v>749</v>
      </c>
    </row>
    <row r="64" spans="1:12" x14ac:dyDescent="0.2">
      <c r="A64">
        <v>62</v>
      </c>
      <c r="B64" s="33" t="s">
        <v>757</v>
      </c>
      <c r="C64" t="s">
        <v>758</v>
      </c>
      <c r="D64" t="s">
        <v>759</v>
      </c>
      <c r="E64" t="s">
        <v>760</v>
      </c>
      <c r="F64" t="s">
        <v>761</v>
      </c>
      <c r="G64" s="15" t="s">
        <v>762</v>
      </c>
      <c r="H64" s="15" t="s">
        <v>763</v>
      </c>
      <c r="I64" s="15" t="s">
        <v>764</v>
      </c>
      <c r="J64" s="15" t="s">
        <v>765</v>
      </c>
      <c r="K64" s="15" t="s">
        <v>766</v>
      </c>
    </row>
    <row r="65" spans="1:12" x14ac:dyDescent="0.2">
      <c r="A65">
        <v>63</v>
      </c>
      <c r="B65" s="33" t="s">
        <v>767</v>
      </c>
      <c r="C65" t="s">
        <v>768</v>
      </c>
      <c r="D65" s="15" t="s">
        <v>769</v>
      </c>
      <c r="E65" t="s">
        <v>770</v>
      </c>
      <c r="F65" t="s">
        <v>771</v>
      </c>
      <c r="G65" s="15" t="s">
        <v>772</v>
      </c>
      <c r="H65" s="15" t="s">
        <v>773</v>
      </c>
      <c r="I65" s="15" t="s">
        <v>747</v>
      </c>
      <c r="J65" s="15" t="s">
        <v>748</v>
      </c>
      <c r="K65" s="15" t="s">
        <v>749</v>
      </c>
    </row>
    <row r="66" spans="1:12" x14ac:dyDescent="0.2">
      <c r="A66">
        <v>64</v>
      </c>
      <c r="B66" s="33" t="s">
        <v>774</v>
      </c>
      <c r="C66" t="s">
        <v>775</v>
      </c>
      <c r="D66" t="s">
        <v>776</v>
      </c>
      <c r="E66" t="s">
        <v>777</v>
      </c>
      <c r="F66" t="s">
        <v>778</v>
      </c>
      <c r="G66" s="15" t="s">
        <v>779</v>
      </c>
      <c r="H66" s="15" t="s">
        <v>780</v>
      </c>
      <c r="I66" s="15" t="s">
        <v>764</v>
      </c>
      <c r="J66" s="15" t="s">
        <v>765</v>
      </c>
      <c r="K66" s="15" t="s">
        <v>766</v>
      </c>
      <c r="L66" s="15"/>
    </row>
    <row r="67" spans="1:12" x14ac:dyDescent="0.2">
      <c r="A67">
        <v>65</v>
      </c>
      <c r="B67" s="33" t="s">
        <v>781</v>
      </c>
      <c r="C67" s="15" t="s">
        <v>782</v>
      </c>
      <c r="D67" s="15" t="s">
        <v>783</v>
      </c>
      <c r="E67" t="s">
        <v>784</v>
      </c>
      <c r="F67" t="s">
        <v>785</v>
      </c>
      <c r="G67" s="15" t="s">
        <v>786</v>
      </c>
      <c r="H67" s="15" t="s">
        <v>787</v>
      </c>
      <c r="I67" s="15" t="s">
        <v>747</v>
      </c>
      <c r="J67" s="15" t="s">
        <v>748</v>
      </c>
      <c r="K67" s="15" t="s">
        <v>749</v>
      </c>
      <c r="L67" s="15"/>
    </row>
    <row r="68" spans="1:12" x14ac:dyDescent="0.2">
      <c r="A68">
        <v>66</v>
      </c>
      <c r="B68" s="33" t="s">
        <v>788</v>
      </c>
      <c r="C68" t="s">
        <v>789</v>
      </c>
      <c r="D68" t="s">
        <v>790</v>
      </c>
      <c r="E68" t="s">
        <v>791</v>
      </c>
      <c r="F68" t="s">
        <v>792</v>
      </c>
      <c r="G68" s="15" t="s">
        <v>793</v>
      </c>
      <c r="H68" s="15" t="s">
        <v>794</v>
      </c>
      <c r="I68" s="15" t="s">
        <v>747</v>
      </c>
      <c r="J68" s="15" t="s">
        <v>748</v>
      </c>
      <c r="K68" s="15" t="s">
        <v>749</v>
      </c>
      <c r="L68" s="15"/>
    </row>
    <row r="69" spans="1:12" x14ac:dyDescent="0.2">
      <c r="A69">
        <v>67</v>
      </c>
      <c r="B69" s="33" t="s">
        <v>795</v>
      </c>
      <c r="C69" t="s">
        <v>796</v>
      </c>
      <c r="D69" t="s">
        <v>797</v>
      </c>
      <c r="E69" t="s">
        <v>798</v>
      </c>
      <c r="F69" t="s">
        <v>799</v>
      </c>
      <c r="G69" s="15" t="s">
        <v>800</v>
      </c>
      <c r="H69" s="15" t="s">
        <v>801</v>
      </c>
      <c r="I69" s="15" t="s">
        <v>764</v>
      </c>
      <c r="J69" s="15" t="s">
        <v>765</v>
      </c>
      <c r="K69" s="15" t="s">
        <v>766</v>
      </c>
      <c r="L69" s="15"/>
    </row>
    <row r="70" spans="1:12" x14ac:dyDescent="0.2">
      <c r="A70">
        <v>68</v>
      </c>
      <c r="B70" s="33" t="s">
        <v>802</v>
      </c>
      <c r="C70" t="s">
        <v>803</v>
      </c>
      <c r="D70" t="s">
        <v>804</v>
      </c>
      <c r="E70" t="s">
        <v>805</v>
      </c>
      <c r="F70" t="s">
        <v>806</v>
      </c>
      <c r="G70" s="15" t="s">
        <v>807</v>
      </c>
      <c r="H70" s="15" t="s">
        <v>808</v>
      </c>
      <c r="I70" s="15" t="s">
        <v>764</v>
      </c>
      <c r="J70" s="15" t="s">
        <v>765</v>
      </c>
      <c r="K70" s="15" t="s">
        <v>766</v>
      </c>
      <c r="L70" s="15"/>
    </row>
    <row r="71" spans="1:12" x14ac:dyDescent="0.2">
      <c r="A71">
        <v>69</v>
      </c>
      <c r="B71" s="33" t="s">
        <v>809</v>
      </c>
      <c r="C71" t="s">
        <v>810</v>
      </c>
      <c r="D71" s="15" t="s">
        <v>811</v>
      </c>
      <c r="E71" t="s">
        <v>812</v>
      </c>
      <c r="F71" t="s">
        <v>813</v>
      </c>
      <c r="G71" s="15" t="s">
        <v>814</v>
      </c>
      <c r="H71" s="15" t="s">
        <v>815</v>
      </c>
      <c r="I71" s="15" t="s">
        <v>764</v>
      </c>
      <c r="J71" s="15" t="s">
        <v>765</v>
      </c>
      <c r="K71" s="15" t="s">
        <v>766</v>
      </c>
      <c r="L71" s="15"/>
    </row>
    <row r="72" spans="1:12" x14ac:dyDescent="0.2">
      <c r="A72">
        <v>70</v>
      </c>
      <c r="B72" s="33" t="s">
        <v>816</v>
      </c>
      <c r="C72" t="s">
        <v>817</v>
      </c>
      <c r="D72" s="15" t="s">
        <v>818</v>
      </c>
      <c r="E72" t="s">
        <v>819</v>
      </c>
      <c r="F72" t="s">
        <v>820</v>
      </c>
      <c r="G72" s="15" t="s">
        <v>821</v>
      </c>
      <c r="H72" s="15" t="s">
        <v>822</v>
      </c>
      <c r="I72" s="15" t="s">
        <v>747</v>
      </c>
      <c r="J72" s="15" t="s">
        <v>748</v>
      </c>
      <c r="K72" s="15" t="s">
        <v>749</v>
      </c>
      <c r="L72" s="15"/>
    </row>
    <row r="73" spans="1:12" x14ac:dyDescent="0.2">
      <c r="A73">
        <v>71</v>
      </c>
      <c r="B73" s="33" t="s">
        <v>823</v>
      </c>
      <c r="C73" t="s">
        <v>824</v>
      </c>
      <c r="D73" s="15" t="s">
        <v>825</v>
      </c>
      <c r="E73" t="s">
        <v>826</v>
      </c>
      <c r="F73" t="s">
        <v>827</v>
      </c>
      <c r="G73" s="15" t="s">
        <v>828</v>
      </c>
      <c r="H73" s="15" t="s">
        <v>829</v>
      </c>
      <c r="I73" s="15" t="s">
        <v>747</v>
      </c>
      <c r="J73" s="15" t="s">
        <v>748</v>
      </c>
      <c r="K73" s="15" t="s">
        <v>749</v>
      </c>
      <c r="L73" s="15"/>
    </row>
    <row r="74" spans="1:12" x14ac:dyDescent="0.2">
      <c r="A74">
        <v>72</v>
      </c>
      <c r="B74" s="33" t="s">
        <v>830</v>
      </c>
      <c r="C74" t="s">
        <v>831</v>
      </c>
      <c r="D74" s="15" t="s">
        <v>832</v>
      </c>
      <c r="E74" t="s">
        <v>833</v>
      </c>
      <c r="F74" t="s">
        <v>834</v>
      </c>
      <c r="G74" s="15" t="s">
        <v>835</v>
      </c>
      <c r="H74" s="15" t="s">
        <v>836</v>
      </c>
      <c r="I74" s="15" t="s">
        <v>764</v>
      </c>
      <c r="J74" s="15" t="s">
        <v>765</v>
      </c>
      <c r="K74" s="15" t="s">
        <v>766</v>
      </c>
      <c r="L74" s="15"/>
    </row>
    <row r="75" spans="1:12" x14ac:dyDescent="0.2">
      <c r="A75">
        <v>73</v>
      </c>
      <c r="B75" s="33" t="s">
        <v>837</v>
      </c>
      <c r="C75" t="s">
        <v>838</v>
      </c>
      <c r="D75" s="15" t="s">
        <v>839</v>
      </c>
      <c r="E75" t="s">
        <v>840</v>
      </c>
      <c r="F75" t="s">
        <v>841</v>
      </c>
      <c r="G75" s="15" t="s">
        <v>842</v>
      </c>
      <c r="H75" s="15" t="s">
        <v>843</v>
      </c>
      <c r="I75" s="15" t="s">
        <v>764</v>
      </c>
      <c r="J75" s="15" t="s">
        <v>765</v>
      </c>
      <c r="K75" s="15" t="s">
        <v>766</v>
      </c>
      <c r="L75" s="15"/>
    </row>
    <row r="76" spans="1:12" x14ac:dyDescent="0.2">
      <c r="A76" s="844">
        <v>74</v>
      </c>
      <c r="B76" s="851"/>
      <c r="C76" s="1232"/>
      <c r="D76" s="851"/>
      <c r="E76" s="851"/>
      <c r="F76" s="851"/>
      <c r="G76" s="851"/>
      <c r="H76" s="851"/>
      <c r="I76" s="851"/>
      <c r="J76" s="851"/>
      <c r="K76" s="851"/>
      <c r="L76" s="15"/>
    </row>
    <row r="77" spans="1:12" x14ac:dyDescent="0.2">
      <c r="A77">
        <v>75</v>
      </c>
      <c r="C77" s="15"/>
    </row>
  </sheetData>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theme="1"/>
  </sheetPr>
  <dimension ref="A1:I112"/>
  <sheetViews>
    <sheetView workbookViewId="0">
      <pane xSplit="1" ySplit="2" topLeftCell="B3" activePane="bottomRight" state="frozen"/>
      <selection pane="topRight" activeCell="E33" sqref="E33"/>
      <selection pane="bottomLeft" activeCell="E33" sqref="E33"/>
      <selection pane="bottomRight" activeCell="D109" sqref="D109:D112"/>
    </sheetView>
  </sheetViews>
  <sheetFormatPr defaultRowHeight="12.75" x14ac:dyDescent="0.2"/>
  <cols>
    <col min="1" max="1" width="4" bestFit="1" customWidth="1"/>
    <col min="2" max="2" width="12.85546875" bestFit="1" customWidth="1"/>
    <col min="3" max="3" width="42.5703125" customWidth="1"/>
    <col min="4" max="4" width="37.5703125" customWidth="1"/>
    <col min="5" max="5" width="16.42578125" bestFit="1" customWidth="1"/>
    <col min="6" max="6" width="32.42578125" customWidth="1"/>
    <col min="7" max="7" width="32" customWidth="1"/>
    <col min="8" max="8" width="16.42578125" bestFit="1" customWidth="1"/>
    <col min="9" max="9" width="13.85546875" customWidth="1"/>
  </cols>
  <sheetData>
    <row r="1" spans="1:9" x14ac:dyDescent="0.2">
      <c r="C1" s="530" t="s">
        <v>844</v>
      </c>
      <c r="D1" s="530"/>
      <c r="E1" s="530"/>
      <c r="F1" s="532" t="s">
        <v>845</v>
      </c>
      <c r="G1" s="532"/>
      <c r="H1" s="532"/>
    </row>
    <row r="2" spans="1:9" x14ac:dyDescent="0.2">
      <c r="C2" s="530" t="s">
        <v>7</v>
      </c>
      <c r="D2" s="530" t="s">
        <v>8</v>
      </c>
      <c r="E2" s="530" t="s">
        <v>9</v>
      </c>
      <c r="F2" s="532" t="str">
        <f>C2</f>
        <v>English</v>
      </c>
      <c r="G2" s="532" t="str">
        <f>D2</f>
        <v>Pусский</v>
      </c>
      <c r="H2" s="532" t="str">
        <f>E2</f>
        <v>中文</v>
      </c>
    </row>
    <row r="3" spans="1:9" x14ac:dyDescent="0.2">
      <c r="A3" s="13">
        <v>1</v>
      </c>
      <c r="B3" s="13"/>
      <c r="C3" s="13" t="s">
        <v>846</v>
      </c>
      <c r="D3" s="13" t="s">
        <v>847</v>
      </c>
      <c r="E3" s="15" t="s">
        <v>848</v>
      </c>
      <c r="F3" s="848" t="s">
        <v>322</v>
      </c>
      <c r="G3" s="861"/>
      <c r="H3" s="861"/>
      <c r="I3" s="15" t="s">
        <v>322</v>
      </c>
    </row>
    <row r="4" spans="1:9" x14ac:dyDescent="0.2">
      <c r="A4" s="520">
        <v>2</v>
      </c>
      <c r="B4" s="520"/>
      <c r="C4" s="520" t="s">
        <v>849</v>
      </c>
      <c r="D4" s="520" t="s">
        <v>850</v>
      </c>
      <c r="E4" s="520" t="s">
        <v>851</v>
      </c>
      <c r="F4" s="720" t="s">
        <v>322</v>
      </c>
      <c r="G4" s="720"/>
      <c r="H4" s="720"/>
      <c r="I4" s="15" t="s">
        <v>322</v>
      </c>
    </row>
    <row r="5" spans="1:9" x14ac:dyDescent="0.2">
      <c r="A5">
        <v>3</v>
      </c>
      <c r="B5" t="s">
        <v>852</v>
      </c>
      <c r="C5" t="s">
        <v>853</v>
      </c>
      <c r="D5" t="s">
        <v>854</v>
      </c>
      <c r="E5" t="s">
        <v>855</v>
      </c>
      <c r="F5" t="s">
        <v>856</v>
      </c>
      <c r="G5" s="660" t="s">
        <v>857</v>
      </c>
      <c r="H5" s="15" t="s">
        <v>858</v>
      </c>
      <c r="I5" s="15" t="s">
        <v>322</v>
      </c>
    </row>
    <row r="6" spans="1:9" x14ac:dyDescent="0.2">
      <c r="A6">
        <v>4</v>
      </c>
      <c r="C6" t="s">
        <v>859</v>
      </c>
      <c r="D6" s="15" t="s">
        <v>860</v>
      </c>
      <c r="E6" t="s">
        <v>819</v>
      </c>
      <c r="F6" t="s">
        <v>861</v>
      </c>
      <c r="G6" s="660" t="s">
        <v>857</v>
      </c>
      <c r="H6" s="15" t="s">
        <v>862</v>
      </c>
      <c r="I6" s="15" t="s">
        <v>322</v>
      </c>
    </row>
    <row r="7" spans="1:9" x14ac:dyDescent="0.2">
      <c r="A7">
        <v>5</v>
      </c>
      <c r="B7" t="s">
        <v>863</v>
      </c>
      <c r="C7" t="s">
        <v>864</v>
      </c>
      <c r="D7" s="15" t="s">
        <v>865</v>
      </c>
      <c r="E7" s="653" t="s">
        <v>440</v>
      </c>
      <c r="F7" s="860"/>
      <c r="G7" s="861"/>
      <c r="H7" s="861"/>
      <c r="I7" s="15" t="s">
        <v>322</v>
      </c>
    </row>
    <row r="8" spans="1:9" x14ac:dyDescent="0.2">
      <c r="A8">
        <v>6</v>
      </c>
      <c r="B8" t="s">
        <v>866</v>
      </c>
      <c r="C8" t="s">
        <v>867</v>
      </c>
      <c r="D8" s="15" t="s">
        <v>868</v>
      </c>
      <c r="E8" s="653" t="s">
        <v>440</v>
      </c>
      <c r="F8" s="860"/>
      <c r="G8" s="861"/>
      <c r="H8" s="861"/>
      <c r="I8" s="15" t="s">
        <v>322</v>
      </c>
    </row>
    <row r="9" spans="1:9" x14ac:dyDescent="0.2">
      <c r="A9">
        <v>7</v>
      </c>
      <c r="B9" t="s">
        <v>869</v>
      </c>
      <c r="C9" t="s">
        <v>870</v>
      </c>
      <c r="D9" s="15" t="s">
        <v>871</v>
      </c>
      <c r="E9" s="653" t="s">
        <v>440</v>
      </c>
      <c r="F9" s="860"/>
      <c r="G9" s="861"/>
      <c r="H9" s="861"/>
      <c r="I9" s="15" t="s">
        <v>322</v>
      </c>
    </row>
    <row r="10" spans="1:9" x14ac:dyDescent="0.2">
      <c r="A10">
        <v>8</v>
      </c>
      <c r="B10" t="s">
        <v>872</v>
      </c>
      <c r="C10" t="s">
        <v>873</v>
      </c>
      <c r="D10" s="15" t="s">
        <v>874</v>
      </c>
      <c r="E10" s="653" t="s">
        <v>440</v>
      </c>
      <c r="F10" s="860"/>
      <c r="G10" s="861"/>
      <c r="H10" s="861"/>
      <c r="I10" s="15" t="s">
        <v>322</v>
      </c>
    </row>
    <row r="11" spans="1:9" x14ac:dyDescent="0.2">
      <c r="A11">
        <v>9</v>
      </c>
      <c r="B11" t="s">
        <v>875</v>
      </c>
      <c r="C11" t="s">
        <v>876</v>
      </c>
      <c r="D11" s="15" t="s">
        <v>877</v>
      </c>
      <c r="E11" s="653" t="s">
        <v>440</v>
      </c>
      <c r="F11" s="860"/>
      <c r="G11" s="861"/>
      <c r="H11" s="861"/>
      <c r="I11" s="15" t="s">
        <v>322</v>
      </c>
    </row>
    <row r="12" spans="1:9" x14ac:dyDescent="0.2">
      <c r="A12">
        <v>10</v>
      </c>
      <c r="B12" t="s">
        <v>878</v>
      </c>
      <c r="C12" t="s">
        <v>879</v>
      </c>
      <c r="D12" t="s">
        <v>880</v>
      </c>
      <c r="E12" t="s">
        <v>881</v>
      </c>
      <c r="F12" t="s">
        <v>882</v>
      </c>
      <c r="G12" s="660" t="s">
        <v>857</v>
      </c>
      <c r="H12" s="15" t="s">
        <v>883</v>
      </c>
      <c r="I12" s="15" t="s">
        <v>322</v>
      </c>
    </row>
    <row r="13" spans="1:9" x14ac:dyDescent="0.2">
      <c r="A13">
        <v>11</v>
      </c>
      <c r="B13" t="s">
        <v>884</v>
      </c>
      <c r="C13" t="s">
        <v>885</v>
      </c>
      <c r="D13" t="s">
        <v>886</v>
      </c>
      <c r="E13" t="s">
        <v>887</v>
      </c>
      <c r="F13" s="15" t="s">
        <v>888</v>
      </c>
      <c r="G13" s="660" t="s">
        <v>857</v>
      </c>
      <c r="H13" s="15" t="s">
        <v>889</v>
      </c>
      <c r="I13" s="15" t="s">
        <v>322</v>
      </c>
    </row>
    <row r="14" spans="1:9" x14ac:dyDescent="0.2">
      <c r="A14">
        <v>12</v>
      </c>
      <c r="B14" t="s">
        <v>890</v>
      </c>
      <c r="C14" t="s">
        <v>891</v>
      </c>
      <c r="D14" t="s">
        <v>892</v>
      </c>
      <c r="E14" t="s">
        <v>893</v>
      </c>
      <c r="F14" s="15" t="s">
        <v>894</v>
      </c>
      <c r="G14" s="15" t="s">
        <v>895</v>
      </c>
      <c r="H14" s="15" t="s">
        <v>896</v>
      </c>
      <c r="I14" s="15" t="s">
        <v>322</v>
      </c>
    </row>
    <row r="15" spans="1:9" x14ac:dyDescent="0.2">
      <c r="A15">
        <v>13</v>
      </c>
      <c r="B15" t="s">
        <v>897</v>
      </c>
      <c r="C15" t="s">
        <v>898</v>
      </c>
      <c r="D15" t="s">
        <v>899</v>
      </c>
      <c r="E15" t="s">
        <v>900</v>
      </c>
      <c r="F15" t="s">
        <v>901</v>
      </c>
      <c r="G15" s="15" t="s">
        <v>902</v>
      </c>
      <c r="H15" s="15" t="s">
        <v>903</v>
      </c>
      <c r="I15" s="15" t="s">
        <v>322</v>
      </c>
    </row>
    <row r="16" spans="1:9" x14ac:dyDescent="0.2">
      <c r="A16">
        <v>14</v>
      </c>
      <c r="B16" t="s">
        <v>904</v>
      </c>
      <c r="C16" t="s">
        <v>905</v>
      </c>
      <c r="D16" t="s">
        <v>906</v>
      </c>
      <c r="E16" t="s">
        <v>907</v>
      </c>
      <c r="F16" t="s">
        <v>908</v>
      </c>
      <c r="G16" s="15" t="s">
        <v>909</v>
      </c>
      <c r="H16" s="15" t="s">
        <v>910</v>
      </c>
      <c r="I16" s="15" t="s">
        <v>322</v>
      </c>
    </row>
    <row r="17" spans="1:9" x14ac:dyDescent="0.2">
      <c r="A17" s="520">
        <v>15</v>
      </c>
      <c r="B17" s="520"/>
      <c r="C17" s="520" t="s">
        <v>911</v>
      </c>
      <c r="D17" s="520" t="s">
        <v>912</v>
      </c>
      <c r="E17" s="520" t="s">
        <v>913</v>
      </c>
      <c r="F17" s="520" t="s">
        <v>914</v>
      </c>
      <c r="G17" s="862" t="s">
        <v>857</v>
      </c>
      <c r="H17" s="850" t="s">
        <v>915</v>
      </c>
      <c r="I17" s="15" t="s">
        <v>322</v>
      </c>
    </row>
    <row r="18" spans="1:9" x14ac:dyDescent="0.2">
      <c r="A18" s="844">
        <v>16</v>
      </c>
      <c r="B18" s="844" t="s">
        <v>916</v>
      </c>
      <c r="C18" s="67" t="s">
        <v>917</v>
      </c>
      <c r="D18" s="844" t="s">
        <v>918</v>
      </c>
      <c r="E18" s="844" t="s">
        <v>919</v>
      </c>
      <c r="F18" s="67" t="s">
        <v>920</v>
      </c>
      <c r="G18" s="1228" t="s">
        <v>857</v>
      </c>
      <c r="H18" s="67" t="s">
        <v>921</v>
      </c>
      <c r="I18" s="15" t="s">
        <v>322</v>
      </c>
    </row>
    <row r="19" spans="1:9" x14ac:dyDescent="0.2">
      <c r="A19">
        <v>17</v>
      </c>
      <c r="B19" t="s">
        <v>922</v>
      </c>
      <c r="C19" t="s">
        <v>923</v>
      </c>
      <c r="D19" t="s">
        <v>924</v>
      </c>
      <c r="E19" t="s">
        <v>925</v>
      </c>
      <c r="F19" t="s">
        <v>926</v>
      </c>
      <c r="G19" s="660" t="s">
        <v>857</v>
      </c>
      <c r="H19" s="15" t="s">
        <v>927</v>
      </c>
      <c r="I19" s="15" t="s">
        <v>322</v>
      </c>
    </row>
    <row r="20" spans="1:9" x14ac:dyDescent="0.2">
      <c r="A20">
        <v>18</v>
      </c>
      <c r="B20" t="s">
        <v>198</v>
      </c>
      <c r="C20" t="s">
        <v>197</v>
      </c>
      <c r="D20" t="s">
        <v>928</v>
      </c>
      <c r="E20" t="s">
        <v>929</v>
      </c>
      <c r="F20" t="s">
        <v>930</v>
      </c>
      <c r="G20" s="15" t="s">
        <v>931</v>
      </c>
      <c r="H20" s="15" t="s">
        <v>932</v>
      </c>
      <c r="I20" s="15" t="s">
        <v>322</v>
      </c>
    </row>
    <row r="21" spans="1:9" x14ac:dyDescent="0.2">
      <c r="A21" s="520">
        <v>19</v>
      </c>
      <c r="B21" s="520"/>
      <c r="C21" s="520" t="s">
        <v>933</v>
      </c>
      <c r="D21" s="520" t="s">
        <v>934</v>
      </c>
      <c r="E21" s="520" t="s">
        <v>935</v>
      </c>
      <c r="F21" s="720" t="s">
        <v>322</v>
      </c>
      <c r="G21" s="853"/>
      <c r="H21" s="853"/>
      <c r="I21" s="15" t="s">
        <v>322</v>
      </c>
    </row>
    <row r="22" spans="1:9" x14ac:dyDescent="0.2">
      <c r="A22">
        <v>20</v>
      </c>
      <c r="B22" t="s">
        <v>936</v>
      </c>
      <c r="C22" t="s">
        <v>933</v>
      </c>
      <c r="D22" t="s">
        <v>934</v>
      </c>
      <c r="E22" t="s">
        <v>935</v>
      </c>
      <c r="F22" t="s">
        <v>937</v>
      </c>
      <c r="G22" s="15" t="s">
        <v>938</v>
      </c>
      <c r="H22" s="15" t="s">
        <v>939</v>
      </c>
      <c r="I22" s="15" t="s">
        <v>322</v>
      </c>
    </row>
    <row r="23" spans="1:9" x14ac:dyDescent="0.2">
      <c r="A23">
        <v>21</v>
      </c>
      <c r="B23" t="s">
        <v>940</v>
      </c>
      <c r="C23" t="s">
        <v>941</v>
      </c>
      <c r="D23" t="s">
        <v>942</v>
      </c>
      <c r="E23" t="s">
        <v>943</v>
      </c>
      <c r="F23" t="s">
        <v>944</v>
      </c>
      <c r="G23" s="15" t="s">
        <v>945</v>
      </c>
      <c r="H23" s="15" t="s">
        <v>946</v>
      </c>
      <c r="I23" s="15" t="s">
        <v>322</v>
      </c>
    </row>
    <row r="24" spans="1:9" x14ac:dyDescent="0.2">
      <c r="A24">
        <v>22</v>
      </c>
      <c r="B24" t="s">
        <v>947</v>
      </c>
      <c r="C24" t="s">
        <v>948</v>
      </c>
      <c r="D24" t="s">
        <v>949</v>
      </c>
      <c r="E24" t="s">
        <v>950</v>
      </c>
      <c r="F24" t="s">
        <v>951</v>
      </c>
      <c r="G24" s="15" t="s">
        <v>952</v>
      </c>
      <c r="H24" s="15" t="s">
        <v>953</v>
      </c>
      <c r="I24" s="15" t="s">
        <v>322</v>
      </c>
    </row>
    <row r="25" spans="1:9" x14ac:dyDescent="0.2">
      <c r="A25">
        <v>23</v>
      </c>
      <c r="B25" t="s">
        <v>954</v>
      </c>
      <c r="C25" t="s">
        <v>955</v>
      </c>
      <c r="D25" t="s">
        <v>956</v>
      </c>
      <c r="E25" t="s">
        <v>957</v>
      </c>
      <c r="F25" t="s">
        <v>958</v>
      </c>
      <c r="G25" s="15" t="s">
        <v>959</v>
      </c>
      <c r="H25" s="15" t="s">
        <v>960</v>
      </c>
      <c r="I25" s="15" t="s">
        <v>322</v>
      </c>
    </row>
    <row r="26" spans="1:9" x14ac:dyDescent="0.2">
      <c r="A26">
        <v>24</v>
      </c>
      <c r="B26" t="s">
        <v>961</v>
      </c>
      <c r="C26" t="s">
        <v>962</v>
      </c>
      <c r="D26" t="s">
        <v>963</v>
      </c>
      <c r="E26" t="s">
        <v>964</v>
      </c>
      <c r="F26" t="s">
        <v>965</v>
      </c>
      <c r="G26" s="15" t="s">
        <v>966</v>
      </c>
      <c r="H26" s="15" t="s">
        <v>967</v>
      </c>
      <c r="I26" s="15" t="s">
        <v>322</v>
      </c>
    </row>
    <row r="27" spans="1:9" x14ac:dyDescent="0.2">
      <c r="A27">
        <v>25</v>
      </c>
      <c r="B27" t="s">
        <v>968</v>
      </c>
      <c r="C27" t="s">
        <v>969</v>
      </c>
      <c r="D27" t="s">
        <v>970</v>
      </c>
      <c r="E27" t="s">
        <v>971</v>
      </c>
      <c r="F27" t="s">
        <v>972</v>
      </c>
      <c r="G27" s="15" t="s">
        <v>973</v>
      </c>
      <c r="H27" s="15" t="s">
        <v>974</v>
      </c>
      <c r="I27" s="15" t="s">
        <v>322</v>
      </c>
    </row>
    <row r="28" spans="1:9" x14ac:dyDescent="0.2">
      <c r="A28">
        <v>26</v>
      </c>
      <c r="B28" t="s">
        <v>975</v>
      </c>
      <c r="C28" t="s">
        <v>976</v>
      </c>
      <c r="D28" t="s">
        <v>977</v>
      </c>
      <c r="E28" t="s">
        <v>978</v>
      </c>
      <c r="F28" t="s">
        <v>979</v>
      </c>
      <c r="G28" s="15" t="s">
        <v>980</v>
      </c>
      <c r="H28" s="15" t="s">
        <v>981</v>
      </c>
      <c r="I28" s="15" t="s">
        <v>322</v>
      </c>
    </row>
    <row r="29" spans="1:9" x14ac:dyDescent="0.2">
      <c r="A29">
        <v>27</v>
      </c>
      <c r="B29" t="s">
        <v>982</v>
      </c>
      <c r="C29" t="s">
        <v>796</v>
      </c>
      <c r="D29" t="s">
        <v>983</v>
      </c>
      <c r="E29" t="s">
        <v>798</v>
      </c>
      <c r="F29" t="s">
        <v>984</v>
      </c>
      <c r="G29" s="15" t="s">
        <v>800</v>
      </c>
      <c r="H29" s="15" t="s">
        <v>985</v>
      </c>
      <c r="I29" s="15" t="s">
        <v>322</v>
      </c>
    </row>
    <row r="30" spans="1:9" x14ac:dyDescent="0.2">
      <c r="A30">
        <v>28</v>
      </c>
      <c r="B30" t="s">
        <v>986</v>
      </c>
      <c r="C30" t="s">
        <v>803</v>
      </c>
      <c r="D30" t="s">
        <v>987</v>
      </c>
      <c r="E30" t="s">
        <v>805</v>
      </c>
      <c r="F30" t="s">
        <v>988</v>
      </c>
      <c r="G30" s="15" t="s">
        <v>989</v>
      </c>
      <c r="H30" s="15" t="s">
        <v>990</v>
      </c>
      <c r="I30" s="15" t="s">
        <v>322</v>
      </c>
    </row>
    <row r="31" spans="1:9" x14ac:dyDescent="0.2">
      <c r="A31">
        <v>29</v>
      </c>
      <c r="B31" t="s">
        <v>991</v>
      </c>
      <c r="C31" t="s">
        <v>992</v>
      </c>
      <c r="D31" t="s">
        <v>993</v>
      </c>
      <c r="E31" t="s">
        <v>994</v>
      </c>
      <c r="F31" s="15" t="s">
        <v>813</v>
      </c>
      <c r="G31" s="15" t="s">
        <v>814</v>
      </c>
      <c r="H31" s="15" t="s">
        <v>995</v>
      </c>
      <c r="I31" s="15" t="s">
        <v>322</v>
      </c>
    </row>
    <row r="32" spans="1:9" x14ac:dyDescent="0.2">
      <c r="A32">
        <v>30</v>
      </c>
      <c r="B32" t="s">
        <v>996</v>
      </c>
      <c r="C32" t="s">
        <v>997</v>
      </c>
      <c r="D32" t="s">
        <v>998</v>
      </c>
      <c r="E32" t="s">
        <v>999</v>
      </c>
      <c r="F32" t="s">
        <v>1000</v>
      </c>
      <c r="G32" s="15" t="s">
        <v>1001</v>
      </c>
      <c r="H32" s="15" t="s">
        <v>1002</v>
      </c>
      <c r="I32" s="15" t="s">
        <v>322</v>
      </c>
    </row>
    <row r="33" spans="1:9" x14ac:dyDescent="0.2">
      <c r="A33">
        <v>31</v>
      </c>
      <c r="B33" t="s">
        <v>1003</v>
      </c>
      <c r="C33" t="s">
        <v>1004</v>
      </c>
      <c r="D33" t="s">
        <v>1005</v>
      </c>
      <c r="E33" t="s">
        <v>1006</v>
      </c>
      <c r="F33" t="s">
        <v>1007</v>
      </c>
      <c r="G33" s="15" t="s">
        <v>1008</v>
      </c>
      <c r="H33" s="15" t="s">
        <v>1009</v>
      </c>
      <c r="I33" s="15" t="s">
        <v>322</v>
      </c>
    </row>
    <row r="34" spans="1:9" x14ac:dyDescent="0.2">
      <c r="A34">
        <v>32</v>
      </c>
      <c r="B34" t="s">
        <v>1010</v>
      </c>
      <c r="C34" t="s">
        <v>1011</v>
      </c>
      <c r="D34" t="s">
        <v>1012</v>
      </c>
      <c r="E34" t="s">
        <v>1013</v>
      </c>
      <c r="F34" t="s">
        <v>1014</v>
      </c>
      <c r="G34" s="15" t="s">
        <v>1015</v>
      </c>
      <c r="H34" s="15" t="s">
        <v>1016</v>
      </c>
      <c r="I34" s="15" t="s">
        <v>322</v>
      </c>
    </row>
    <row r="35" spans="1:9" x14ac:dyDescent="0.2">
      <c r="A35">
        <v>33</v>
      </c>
      <c r="B35" t="s">
        <v>1017</v>
      </c>
      <c r="C35" t="s">
        <v>1018</v>
      </c>
      <c r="D35" t="s">
        <v>1019</v>
      </c>
      <c r="E35" t="s">
        <v>1020</v>
      </c>
      <c r="F35" t="s">
        <v>1021</v>
      </c>
      <c r="G35" s="15" t="s">
        <v>1022</v>
      </c>
      <c r="H35" s="15" t="s">
        <v>1023</v>
      </c>
      <c r="I35" s="15" t="s">
        <v>322</v>
      </c>
    </row>
    <row r="36" spans="1:9" x14ac:dyDescent="0.2">
      <c r="A36">
        <v>34</v>
      </c>
      <c r="B36" t="s">
        <v>1024</v>
      </c>
      <c r="C36" t="s">
        <v>1025</v>
      </c>
      <c r="D36" t="s">
        <v>1026</v>
      </c>
      <c r="E36" t="s">
        <v>1027</v>
      </c>
      <c r="F36" t="s">
        <v>1028</v>
      </c>
      <c r="G36" s="660" t="s">
        <v>857</v>
      </c>
      <c r="H36" s="15" t="s">
        <v>1029</v>
      </c>
      <c r="I36" s="15" t="s">
        <v>322</v>
      </c>
    </row>
    <row r="37" spans="1:9" x14ac:dyDescent="0.2">
      <c r="A37">
        <v>35</v>
      </c>
      <c r="B37" t="s">
        <v>1030</v>
      </c>
      <c r="C37" t="s">
        <v>1031</v>
      </c>
      <c r="D37" s="15" t="s">
        <v>1032</v>
      </c>
      <c r="E37" t="s">
        <v>1033</v>
      </c>
      <c r="F37" t="s">
        <v>1034</v>
      </c>
      <c r="G37" s="15" t="s">
        <v>1035</v>
      </c>
      <c r="H37" s="15" t="s">
        <v>1036</v>
      </c>
      <c r="I37" s="15" t="s">
        <v>322</v>
      </c>
    </row>
    <row r="38" spans="1:9" x14ac:dyDescent="0.2">
      <c r="A38">
        <v>36</v>
      </c>
      <c r="B38" t="s">
        <v>1037</v>
      </c>
      <c r="C38" t="s">
        <v>1038</v>
      </c>
      <c r="D38" t="s">
        <v>1039</v>
      </c>
      <c r="E38" t="s">
        <v>1040</v>
      </c>
      <c r="F38" t="s">
        <v>1041</v>
      </c>
      <c r="G38" s="15" t="s">
        <v>1042</v>
      </c>
      <c r="H38" s="15" t="s">
        <v>1043</v>
      </c>
      <c r="I38" s="15" t="s">
        <v>322</v>
      </c>
    </row>
    <row r="39" spans="1:9" x14ac:dyDescent="0.2">
      <c r="A39">
        <v>37</v>
      </c>
      <c r="B39" t="s">
        <v>1044</v>
      </c>
      <c r="C39" t="s">
        <v>1045</v>
      </c>
      <c r="D39" s="15" t="s">
        <v>1046</v>
      </c>
      <c r="E39" t="s">
        <v>1047</v>
      </c>
      <c r="F39" t="s">
        <v>1048</v>
      </c>
      <c r="G39" s="15" t="s">
        <v>1049</v>
      </c>
      <c r="H39" s="15" t="s">
        <v>1050</v>
      </c>
      <c r="I39" s="15" t="s">
        <v>322</v>
      </c>
    </row>
    <row r="40" spans="1:9" x14ac:dyDescent="0.2">
      <c r="A40">
        <v>38</v>
      </c>
      <c r="B40" t="s">
        <v>1051</v>
      </c>
      <c r="C40" t="s">
        <v>1052</v>
      </c>
      <c r="D40" t="s">
        <v>1053</v>
      </c>
      <c r="E40" t="s">
        <v>1054</v>
      </c>
      <c r="F40" t="s">
        <v>1055</v>
      </c>
      <c r="G40" s="15" t="s">
        <v>1056</v>
      </c>
      <c r="H40" s="15" t="s">
        <v>1057</v>
      </c>
      <c r="I40" s="15" t="s">
        <v>322</v>
      </c>
    </row>
    <row r="41" spans="1:9" x14ac:dyDescent="0.2">
      <c r="A41">
        <v>39</v>
      </c>
      <c r="B41" t="s">
        <v>1058</v>
      </c>
      <c r="C41" t="s">
        <v>1059</v>
      </c>
      <c r="D41" t="s">
        <v>1060</v>
      </c>
      <c r="E41" t="s">
        <v>1061</v>
      </c>
      <c r="F41" t="s">
        <v>1062</v>
      </c>
      <c r="G41" s="15" t="s">
        <v>1063</v>
      </c>
      <c r="H41" s="15" t="s">
        <v>1064</v>
      </c>
      <c r="I41" s="15" t="s">
        <v>322</v>
      </c>
    </row>
    <row r="42" spans="1:9" x14ac:dyDescent="0.2">
      <c r="A42">
        <v>40</v>
      </c>
      <c r="B42" t="s">
        <v>1065</v>
      </c>
      <c r="C42" t="s">
        <v>1066</v>
      </c>
      <c r="D42" t="s">
        <v>1067</v>
      </c>
      <c r="E42" t="s">
        <v>1068</v>
      </c>
      <c r="F42" t="s">
        <v>1069</v>
      </c>
      <c r="G42" s="15" t="s">
        <v>1070</v>
      </c>
      <c r="H42" s="15" t="s">
        <v>1071</v>
      </c>
      <c r="I42" s="15" t="s">
        <v>322</v>
      </c>
    </row>
    <row r="43" spans="1:9" x14ac:dyDescent="0.2">
      <c r="A43">
        <v>41</v>
      </c>
      <c r="B43" t="s">
        <v>1072</v>
      </c>
      <c r="C43" t="s">
        <v>1073</v>
      </c>
      <c r="D43" t="s">
        <v>1074</v>
      </c>
      <c r="E43" s="15" t="s">
        <v>1075</v>
      </c>
      <c r="F43" t="s">
        <v>1076</v>
      </c>
      <c r="G43" s="15" t="s">
        <v>1077</v>
      </c>
      <c r="H43" s="15" t="s">
        <v>1078</v>
      </c>
      <c r="I43" s="15" t="s">
        <v>322</v>
      </c>
    </row>
    <row r="44" spans="1:9" x14ac:dyDescent="0.2">
      <c r="A44" s="520">
        <v>42</v>
      </c>
      <c r="B44" s="520"/>
      <c r="C44" s="520" t="s">
        <v>1079</v>
      </c>
      <c r="D44" s="520" t="s">
        <v>1080</v>
      </c>
      <c r="E44" s="520" t="s">
        <v>1081</v>
      </c>
      <c r="F44" s="720" t="s">
        <v>322</v>
      </c>
      <c r="G44" s="853"/>
      <c r="H44" s="853"/>
      <c r="I44" s="15" t="s">
        <v>322</v>
      </c>
    </row>
    <row r="45" spans="1:9" x14ac:dyDescent="0.2">
      <c r="A45">
        <v>43</v>
      </c>
      <c r="B45" t="s">
        <v>1082</v>
      </c>
      <c r="C45" t="s">
        <v>1083</v>
      </c>
      <c r="D45" t="s">
        <v>1084</v>
      </c>
      <c r="E45" t="s">
        <v>1085</v>
      </c>
      <c r="F45" t="s">
        <v>1086</v>
      </c>
      <c r="G45" s="15" t="s">
        <v>1087</v>
      </c>
      <c r="H45" s="15" t="s">
        <v>1088</v>
      </c>
      <c r="I45" s="15" t="s">
        <v>322</v>
      </c>
    </row>
    <row r="46" spans="1:9" x14ac:dyDescent="0.2">
      <c r="A46">
        <v>44</v>
      </c>
      <c r="B46" t="s">
        <v>1089</v>
      </c>
      <c r="C46" t="s">
        <v>1090</v>
      </c>
      <c r="D46" t="s">
        <v>1091</v>
      </c>
      <c r="E46" t="s">
        <v>1092</v>
      </c>
      <c r="F46" t="s">
        <v>1093</v>
      </c>
      <c r="G46" s="15" t="s">
        <v>1094</v>
      </c>
      <c r="H46" s="15" t="s">
        <v>1095</v>
      </c>
      <c r="I46" s="15" t="s">
        <v>322</v>
      </c>
    </row>
    <row r="47" spans="1:9" x14ac:dyDescent="0.2">
      <c r="A47">
        <v>45</v>
      </c>
      <c r="B47" t="s">
        <v>1096</v>
      </c>
      <c r="C47" t="s">
        <v>1097</v>
      </c>
      <c r="D47" t="s">
        <v>1098</v>
      </c>
      <c r="E47" t="s">
        <v>1099</v>
      </c>
      <c r="F47" t="s">
        <v>1100</v>
      </c>
      <c r="G47" s="15" t="s">
        <v>1101</v>
      </c>
      <c r="H47" s="15" t="s">
        <v>1102</v>
      </c>
      <c r="I47" s="15" t="s">
        <v>322</v>
      </c>
    </row>
    <row r="48" spans="1:9" x14ac:dyDescent="0.2">
      <c r="A48">
        <v>46</v>
      </c>
      <c r="B48" t="s">
        <v>1103</v>
      </c>
      <c r="C48" t="s">
        <v>997</v>
      </c>
      <c r="D48" t="s">
        <v>998</v>
      </c>
      <c r="E48" t="s">
        <v>999</v>
      </c>
      <c r="F48" t="s">
        <v>1104</v>
      </c>
      <c r="G48" s="15" t="s">
        <v>1105</v>
      </c>
      <c r="H48" s="15" t="s">
        <v>1106</v>
      </c>
      <c r="I48" s="15" t="s">
        <v>322</v>
      </c>
    </row>
    <row r="49" spans="1:9" x14ac:dyDescent="0.2">
      <c r="A49">
        <v>47</v>
      </c>
      <c r="B49" t="s">
        <v>1107</v>
      </c>
      <c r="C49" t="s">
        <v>1004</v>
      </c>
      <c r="D49" t="s">
        <v>1005</v>
      </c>
      <c r="E49" t="s">
        <v>1006</v>
      </c>
      <c r="F49" t="s">
        <v>1108</v>
      </c>
      <c r="G49" s="15" t="s">
        <v>1109</v>
      </c>
      <c r="H49" s="15" t="s">
        <v>1110</v>
      </c>
      <c r="I49" s="15" t="s">
        <v>322</v>
      </c>
    </row>
    <row r="50" spans="1:9" x14ac:dyDescent="0.2">
      <c r="A50">
        <v>48</v>
      </c>
      <c r="B50" t="s">
        <v>1111</v>
      </c>
      <c r="C50" t="s">
        <v>1011</v>
      </c>
      <c r="D50" t="s">
        <v>1112</v>
      </c>
      <c r="E50" t="s">
        <v>1013</v>
      </c>
      <c r="F50" t="s">
        <v>1113</v>
      </c>
      <c r="G50" s="15" t="s">
        <v>1114</v>
      </c>
      <c r="H50" s="15" t="s">
        <v>1115</v>
      </c>
      <c r="I50" s="15" t="s">
        <v>322</v>
      </c>
    </row>
    <row r="51" spans="1:9" x14ac:dyDescent="0.2">
      <c r="A51">
        <v>49</v>
      </c>
      <c r="B51" t="s">
        <v>1116</v>
      </c>
      <c r="C51" t="s">
        <v>1117</v>
      </c>
      <c r="D51" t="s">
        <v>1118</v>
      </c>
      <c r="E51" t="s">
        <v>1119</v>
      </c>
      <c r="F51" t="s">
        <v>1120</v>
      </c>
      <c r="G51" s="15" t="s">
        <v>1121</v>
      </c>
      <c r="H51" s="15" t="s">
        <v>1122</v>
      </c>
      <c r="I51" s="15" t="s">
        <v>322</v>
      </c>
    </row>
    <row r="52" spans="1:9" x14ac:dyDescent="0.2">
      <c r="A52">
        <v>50</v>
      </c>
      <c r="B52" t="s">
        <v>1123</v>
      </c>
      <c r="C52" t="s">
        <v>1018</v>
      </c>
      <c r="D52" t="s">
        <v>1019</v>
      </c>
      <c r="E52" t="s">
        <v>1020</v>
      </c>
      <c r="F52" t="s">
        <v>1124</v>
      </c>
      <c r="G52" s="15" t="s">
        <v>1125</v>
      </c>
      <c r="H52" s="15" t="s">
        <v>1126</v>
      </c>
      <c r="I52" s="15" t="s">
        <v>322</v>
      </c>
    </row>
    <row r="53" spans="1:9" x14ac:dyDescent="0.2">
      <c r="A53">
        <v>51</v>
      </c>
      <c r="B53" t="s">
        <v>1127</v>
      </c>
      <c r="C53" t="s">
        <v>1031</v>
      </c>
      <c r="D53" t="s">
        <v>1032</v>
      </c>
      <c r="E53" t="s">
        <v>1128</v>
      </c>
      <c r="F53" t="s">
        <v>1129</v>
      </c>
      <c r="G53" s="15" t="s">
        <v>1130</v>
      </c>
      <c r="H53" s="15" t="s">
        <v>1131</v>
      </c>
      <c r="I53" s="15" t="s">
        <v>322</v>
      </c>
    </row>
    <row r="54" spans="1:9" x14ac:dyDescent="0.2">
      <c r="A54">
        <v>52</v>
      </c>
      <c r="B54" t="s">
        <v>1132</v>
      </c>
      <c r="C54" t="s">
        <v>1038</v>
      </c>
      <c r="D54" t="s">
        <v>1133</v>
      </c>
      <c r="E54" t="s">
        <v>1040</v>
      </c>
      <c r="F54" t="s">
        <v>1134</v>
      </c>
      <c r="G54" s="15" t="s">
        <v>1135</v>
      </c>
      <c r="H54" s="15" t="s">
        <v>1136</v>
      </c>
      <c r="I54" s="15" t="s">
        <v>322</v>
      </c>
    </row>
    <row r="55" spans="1:9" x14ac:dyDescent="0.2">
      <c r="A55">
        <v>53</v>
      </c>
      <c r="B55" t="s">
        <v>1137</v>
      </c>
      <c r="C55" t="s">
        <v>1045</v>
      </c>
      <c r="D55" t="s">
        <v>1138</v>
      </c>
      <c r="E55" t="s">
        <v>1139</v>
      </c>
      <c r="F55" t="s">
        <v>1140</v>
      </c>
      <c r="G55" s="15" t="s">
        <v>1141</v>
      </c>
      <c r="H55" s="15" t="s">
        <v>1142</v>
      </c>
      <c r="I55" s="15" t="s">
        <v>322</v>
      </c>
    </row>
    <row r="56" spans="1:9" x14ac:dyDescent="0.2">
      <c r="A56">
        <v>54</v>
      </c>
      <c r="B56" t="s">
        <v>1143</v>
      </c>
      <c r="C56" t="s">
        <v>1144</v>
      </c>
      <c r="D56" t="s">
        <v>1145</v>
      </c>
      <c r="E56" t="s">
        <v>1146</v>
      </c>
      <c r="F56" t="s">
        <v>1147</v>
      </c>
      <c r="G56" s="15" t="s">
        <v>1148</v>
      </c>
      <c r="H56" s="15" t="s">
        <v>1149</v>
      </c>
      <c r="I56" s="15" t="s">
        <v>322</v>
      </c>
    </row>
    <row r="57" spans="1:9" x14ac:dyDescent="0.2">
      <c r="A57">
        <v>55</v>
      </c>
      <c r="B57" t="s">
        <v>1150</v>
      </c>
      <c r="C57" t="s">
        <v>1052</v>
      </c>
      <c r="D57" t="s">
        <v>1053</v>
      </c>
      <c r="E57" t="s">
        <v>1151</v>
      </c>
      <c r="F57" t="s">
        <v>1152</v>
      </c>
      <c r="G57" s="15" t="s">
        <v>1153</v>
      </c>
      <c r="H57" s="15" t="s">
        <v>1154</v>
      </c>
      <c r="I57" s="15" t="s">
        <v>322</v>
      </c>
    </row>
    <row r="58" spans="1:9" x14ac:dyDescent="0.2">
      <c r="A58">
        <v>56</v>
      </c>
      <c r="B58" t="s">
        <v>1155</v>
      </c>
      <c r="C58" t="s">
        <v>1156</v>
      </c>
      <c r="D58" t="s">
        <v>1157</v>
      </c>
      <c r="E58" t="s">
        <v>1158</v>
      </c>
      <c r="F58" t="s">
        <v>1159</v>
      </c>
      <c r="G58" s="15" t="s">
        <v>1160</v>
      </c>
      <c r="H58" s="15" t="s">
        <v>1161</v>
      </c>
      <c r="I58" s="15" t="s">
        <v>322</v>
      </c>
    </row>
    <row r="59" spans="1:9" x14ac:dyDescent="0.2">
      <c r="A59">
        <v>57</v>
      </c>
      <c r="B59" t="s">
        <v>1162</v>
      </c>
      <c r="C59" t="s">
        <v>1163</v>
      </c>
      <c r="D59" s="15" t="s">
        <v>1164</v>
      </c>
      <c r="E59" t="s">
        <v>1165</v>
      </c>
      <c r="F59" t="s">
        <v>1166</v>
      </c>
      <c r="G59" s="15" t="s">
        <v>1167</v>
      </c>
      <c r="H59" s="15" t="s">
        <v>1168</v>
      </c>
      <c r="I59" s="15" t="s">
        <v>322</v>
      </c>
    </row>
    <row r="60" spans="1:9" x14ac:dyDescent="0.2">
      <c r="A60" s="15">
        <v>58</v>
      </c>
      <c r="B60" s="15" t="s">
        <v>1169</v>
      </c>
      <c r="C60" s="15" t="s">
        <v>1170</v>
      </c>
      <c r="D60" t="s">
        <v>1171</v>
      </c>
      <c r="E60" t="s">
        <v>1172</v>
      </c>
      <c r="F60" t="s">
        <v>1173</v>
      </c>
      <c r="G60" s="15" t="s">
        <v>1174</v>
      </c>
      <c r="H60" s="15" t="s">
        <v>1175</v>
      </c>
      <c r="I60" s="15" t="s">
        <v>322</v>
      </c>
    </row>
    <row r="61" spans="1:9" x14ac:dyDescent="0.2">
      <c r="A61">
        <v>59</v>
      </c>
      <c r="B61" t="s">
        <v>1176</v>
      </c>
      <c r="C61" t="s">
        <v>1066</v>
      </c>
      <c r="D61" t="s">
        <v>1067</v>
      </c>
      <c r="E61" t="s">
        <v>1068</v>
      </c>
      <c r="F61" t="s">
        <v>1177</v>
      </c>
      <c r="G61" s="15" t="s">
        <v>1178</v>
      </c>
      <c r="H61" s="15" t="s">
        <v>1179</v>
      </c>
      <c r="I61" s="15" t="s">
        <v>322</v>
      </c>
    </row>
    <row r="62" spans="1:9" x14ac:dyDescent="0.2">
      <c r="A62" s="15">
        <v>60</v>
      </c>
      <c r="B62" s="15" t="s">
        <v>1180</v>
      </c>
      <c r="C62" s="15" t="s">
        <v>1181</v>
      </c>
      <c r="D62" t="s">
        <v>1182</v>
      </c>
      <c r="E62" t="s">
        <v>1183</v>
      </c>
      <c r="F62" t="s">
        <v>1184</v>
      </c>
      <c r="G62" s="15" t="s">
        <v>1185</v>
      </c>
      <c r="H62" s="15" t="s">
        <v>1186</v>
      </c>
      <c r="I62" s="15" t="s">
        <v>322</v>
      </c>
    </row>
    <row r="63" spans="1:9" x14ac:dyDescent="0.2">
      <c r="A63">
        <v>61</v>
      </c>
      <c r="B63" t="s">
        <v>1187</v>
      </c>
      <c r="C63" t="s">
        <v>1188</v>
      </c>
      <c r="D63" t="s">
        <v>1189</v>
      </c>
      <c r="E63" t="s">
        <v>1190</v>
      </c>
      <c r="F63" t="s">
        <v>1191</v>
      </c>
      <c r="G63" s="15" t="s">
        <v>1192</v>
      </c>
      <c r="H63" s="15" t="s">
        <v>1193</v>
      </c>
      <c r="I63" s="15" t="s">
        <v>322</v>
      </c>
    </row>
    <row r="64" spans="1:9" x14ac:dyDescent="0.2">
      <c r="A64" s="520">
        <v>62</v>
      </c>
      <c r="B64" s="520"/>
      <c r="C64" s="520" t="s">
        <v>1194</v>
      </c>
      <c r="D64" s="520" t="s">
        <v>1195</v>
      </c>
      <c r="E64" s="1229" t="s">
        <v>440</v>
      </c>
      <c r="F64" s="720" t="s">
        <v>322</v>
      </c>
      <c r="G64" s="853"/>
      <c r="H64" s="853"/>
      <c r="I64" s="15" t="s">
        <v>322</v>
      </c>
    </row>
    <row r="65" spans="1:9" x14ac:dyDescent="0.2">
      <c r="A65" s="520">
        <v>63</v>
      </c>
      <c r="B65" s="520" t="s">
        <v>1196</v>
      </c>
      <c r="C65" t="s">
        <v>1194</v>
      </c>
      <c r="D65" t="s">
        <v>1195</v>
      </c>
      <c r="E65" t="s">
        <v>1197</v>
      </c>
      <c r="F65" t="s">
        <v>1198</v>
      </c>
      <c r="G65" s="660" t="s">
        <v>857</v>
      </c>
      <c r="H65" s="660" t="s">
        <v>440</v>
      </c>
      <c r="I65" s="15" t="s">
        <v>322</v>
      </c>
    </row>
    <row r="66" spans="1:9" x14ac:dyDescent="0.2">
      <c r="A66" s="520">
        <v>64</v>
      </c>
      <c r="B66" s="520" t="s">
        <v>1199</v>
      </c>
      <c r="C66" s="520" t="s">
        <v>1200</v>
      </c>
      <c r="D66" s="520" t="s">
        <v>1201</v>
      </c>
      <c r="E66" s="520" t="s">
        <v>1202</v>
      </c>
      <c r="F66" s="850" t="s">
        <v>1203</v>
      </c>
      <c r="G66" s="850" t="s">
        <v>1204</v>
      </c>
      <c r="H66" s="850" t="s">
        <v>1205</v>
      </c>
      <c r="I66" s="15" t="s">
        <v>322</v>
      </c>
    </row>
    <row r="67" spans="1:9" x14ac:dyDescent="0.2">
      <c r="A67">
        <v>65</v>
      </c>
      <c r="B67" t="s">
        <v>1206</v>
      </c>
      <c r="C67" t="s">
        <v>1207</v>
      </c>
      <c r="D67" t="s">
        <v>1208</v>
      </c>
      <c r="E67" t="s">
        <v>1209</v>
      </c>
      <c r="F67" s="15" t="s">
        <v>1210</v>
      </c>
      <c r="G67" s="15" t="s">
        <v>1211</v>
      </c>
      <c r="H67" s="15" t="s">
        <v>1212</v>
      </c>
      <c r="I67" s="15" t="s">
        <v>322</v>
      </c>
    </row>
    <row r="68" spans="1:9" x14ac:dyDescent="0.2">
      <c r="A68">
        <v>66</v>
      </c>
      <c r="B68" t="s">
        <v>1213</v>
      </c>
      <c r="C68" t="s">
        <v>1214</v>
      </c>
      <c r="D68" t="s">
        <v>1215</v>
      </c>
      <c r="E68" t="s">
        <v>1216</v>
      </c>
      <c r="F68" s="15" t="s">
        <v>1217</v>
      </c>
      <c r="G68" s="15" t="s">
        <v>1218</v>
      </c>
      <c r="H68" s="15" t="s">
        <v>1219</v>
      </c>
      <c r="I68" s="15" t="s">
        <v>322</v>
      </c>
    </row>
    <row r="69" spans="1:9" x14ac:dyDescent="0.2">
      <c r="A69">
        <v>67</v>
      </c>
      <c r="B69" t="s">
        <v>1220</v>
      </c>
      <c r="C69" t="s">
        <v>1221</v>
      </c>
      <c r="D69" t="s">
        <v>1222</v>
      </c>
      <c r="E69" t="s">
        <v>1223</v>
      </c>
      <c r="F69" s="15" t="s">
        <v>1224</v>
      </c>
      <c r="G69" s="15" t="s">
        <v>1225</v>
      </c>
      <c r="H69" s="15" t="s">
        <v>1226</v>
      </c>
      <c r="I69" s="15" t="s">
        <v>322</v>
      </c>
    </row>
    <row r="70" spans="1:9" x14ac:dyDescent="0.2">
      <c r="A70">
        <v>68</v>
      </c>
      <c r="B70" t="s">
        <v>1227</v>
      </c>
      <c r="C70" t="s">
        <v>1228</v>
      </c>
      <c r="D70" t="s">
        <v>1229</v>
      </c>
      <c r="E70" t="s">
        <v>1230</v>
      </c>
      <c r="F70" s="15" t="s">
        <v>1231</v>
      </c>
      <c r="G70" s="15" t="s">
        <v>1232</v>
      </c>
      <c r="H70" s="15" t="s">
        <v>1233</v>
      </c>
      <c r="I70" s="15" t="s">
        <v>322</v>
      </c>
    </row>
    <row r="71" spans="1:9" x14ac:dyDescent="0.2">
      <c r="A71">
        <v>69</v>
      </c>
      <c r="B71" t="s">
        <v>1234</v>
      </c>
      <c r="C71" t="s">
        <v>1235</v>
      </c>
      <c r="D71" t="s">
        <v>1236</v>
      </c>
      <c r="E71" t="s">
        <v>1237</v>
      </c>
      <c r="F71" s="15" t="s">
        <v>1238</v>
      </c>
      <c r="G71" s="15" t="s">
        <v>1239</v>
      </c>
      <c r="H71" s="15" t="s">
        <v>1240</v>
      </c>
      <c r="I71" s="15" t="s">
        <v>322</v>
      </c>
    </row>
    <row r="72" spans="1:9" x14ac:dyDescent="0.2">
      <c r="A72">
        <v>70</v>
      </c>
      <c r="B72" t="s">
        <v>1241</v>
      </c>
      <c r="C72" t="s">
        <v>1242</v>
      </c>
      <c r="D72" t="s">
        <v>1243</v>
      </c>
      <c r="E72" t="s">
        <v>1244</v>
      </c>
      <c r="F72" s="15" t="s">
        <v>1245</v>
      </c>
      <c r="G72" s="15" t="s">
        <v>1246</v>
      </c>
      <c r="H72" s="15" t="s">
        <v>1247</v>
      </c>
      <c r="I72" s="15" t="s">
        <v>322</v>
      </c>
    </row>
    <row r="73" spans="1:9" x14ac:dyDescent="0.2">
      <c r="A73">
        <v>71</v>
      </c>
      <c r="B73" t="s">
        <v>1248</v>
      </c>
      <c r="C73" t="s">
        <v>1249</v>
      </c>
      <c r="D73" t="s">
        <v>1250</v>
      </c>
      <c r="E73" t="s">
        <v>1251</v>
      </c>
      <c r="F73" s="15" t="s">
        <v>1252</v>
      </c>
      <c r="G73" s="15" t="s">
        <v>1253</v>
      </c>
      <c r="H73" s="15" t="s">
        <v>1254</v>
      </c>
      <c r="I73" s="15" t="s">
        <v>322</v>
      </c>
    </row>
    <row r="74" spans="1:9" x14ac:dyDescent="0.2">
      <c r="A74">
        <v>72</v>
      </c>
      <c r="B74" t="s">
        <v>1255</v>
      </c>
      <c r="C74" t="s">
        <v>1256</v>
      </c>
      <c r="D74" t="s">
        <v>1257</v>
      </c>
      <c r="E74" t="s">
        <v>1258</v>
      </c>
      <c r="F74" s="15" t="s">
        <v>1259</v>
      </c>
      <c r="G74" s="15" t="s">
        <v>1260</v>
      </c>
      <c r="H74" s="15" t="s">
        <v>1261</v>
      </c>
      <c r="I74" s="15" t="s">
        <v>322</v>
      </c>
    </row>
    <row r="75" spans="1:9" x14ac:dyDescent="0.2">
      <c r="A75">
        <v>73</v>
      </c>
      <c r="B75" t="s">
        <v>1262</v>
      </c>
      <c r="C75" t="s">
        <v>1263</v>
      </c>
      <c r="D75" t="s">
        <v>1264</v>
      </c>
      <c r="E75" t="s">
        <v>1265</v>
      </c>
      <c r="F75" s="15" t="s">
        <v>1266</v>
      </c>
      <c r="G75" s="15" t="s">
        <v>1267</v>
      </c>
      <c r="H75" s="15" t="s">
        <v>1268</v>
      </c>
      <c r="I75" s="15" t="s">
        <v>322</v>
      </c>
    </row>
    <row r="76" spans="1:9" x14ac:dyDescent="0.2">
      <c r="A76">
        <v>74</v>
      </c>
      <c r="B76" t="s">
        <v>1269</v>
      </c>
      <c r="C76" t="s">
        <v>1270</v>
      </c>
      <c r="D76" s="15" t="s">
        <v>1271</v>
      </c>
      <c r="E76" t="s">
        <v>1272</v>
      </c>
      <c r="F76" s="15" t="s">
        <v>1273</v>
      </c>
      <c r="G76" s="15" t="s">
        <v>1274</v>
      </c>
      <c r="H76" s="15" t="s">
        <v>1275</v>
      </c>
      <c r="I76" s="15" t="s">
        <v>322</v>
      </c>
    </row>
    <row r="77" spans="1:9" x14ac:dyDescent="0.2">
      <c r="A77">
        <v>75</v>
      </c>
      <c r="B77" t="s">
        <v>1276</v>
      </c>
      <c r="C77" t="s">
        <v>1277</v>
      </c>
      <c r="D77" t="s">
        <v>1278</v>
      </c>
      <c r="E77" t="s">
        <v>1279</v>
      </c>
      <c r="F77" s="15" t="s">
        <v>1280</v>
      </c>
      <c r="G77" s="15" t="s">
        <v>1281</v>
      </c>
      <c r="H77" s="15" t="s">
        <v>1282</v>
      </c>
      <c r="I77" s="15" t="s">
        <v>322</v>
      </c>
    </row>
    <row r="78" spans="1:9" x14ac:dyDescent="0.2">
      <c r="A78">
        <v>76</v>
      </c>
      <c r="B78" t="s">
        <v>1283</v>
      </c>
      <c r="C78" t="s">
        <v>1284</v>
      </c>
      <c r="D78" t="s">
        <v>1285</v>
      </c>
      <c r="E78" t="s">
        <v>1286</v>
      </c>
      <c r="F78" s="15" t="s">
        <v>1287</v>
      </c>
      <c r="G78" s="15" t="s">
        <v>1288</v>
      </c>
      <c r="H78" s="15" t="s">
        <v>1289</v>
      </c>
      <c r="I78" s="15" t="s">
        <v>322</v>
      </c>
    </row>
    <row r="79" spans="1:9" x14ac:dyDescent="0.2">
      <c r="A79" s="15">
        <v>77</v>
      </c>
      <c r="B79" s="15" t="s">
        <v>1290</v>
      </c>
      <c r="C79" s="15" t="s">
        <v>1291</v>
      </c>
      <c r="D79" t="s">
        <v>1292</v>
      </c>
      <c r="E79" t="s">
        <v>1293</v>
      </c>
      <c r="F79" s="15" t="s">
        <v>1294</v>
      </c>
      <c r="G79" s="15" t="s">
        <v>1295</v>
      </c>
      <c r="H79" s="15" t="s">
        <v>1296</v>
      </c>
      <c r="I79" s="15" t="s">
        <v>322</v>
      </c>
    </row>
    <row r="80" spans="1:9" x14ac:dyDescent="0.2">
      <c r="A80" s="520">
        <v>78</v>
      </c>
      <c r="B80" s="520" t="s">
        <v>1297</v>
      </c>
      <c r="C80" s="520" t="s">
        <v>1298</v>
      </c>
      <c r="D80" s="520" t="s">
        <v>1299</v>
      </c>
      <c r="E80" s="520" t="s">
        <v>1300</v>
      </c>
      <c r="F80" s="850" t="s">
        <v>1301</v>
      </c>
      <c r="G80" s="850" t="s">
        <v>1302</v>
      </c>
      <c r="H80" s="850" t="s">
        <v>1303</v>
      </c>
      <c r="I80" s="15" t="s">
        <v>322</v>
      </c>
    </row>
    <row r="81" spans="1:9" x14ac:dyDescent="0.2">
      <c r="A81">
        <v>79</v>
      </c>
      <c r="B81" t="s">
        <v>1304</v>
      </c>
      <c r="C81" t="s">
        <v>1305</v>
      </c>
      <c r="D81" t="s">
        <v>1306</v>
      </c>
      <c r="E81" t="s">
        <v>1307</v>
      </c>
      <c r="F81" s="15" t="s">
        <v>1308</v>
      </c>
      <c r="G81" s="15" t="s">
        <v>1309</v>
      </c>
      <c r="H81" s="15" t="s">
        <v>1310</v>
      </c>
      <c r="I81" s="15" t="s">
        <v>322</v>
      </c>
    </row>
    <row r="82" spans="1:9" x14ac:dyDescent="0.2">
      <c r="A82">
        <v>80</v>
      </c>
      <c r="B82" t="s">
        <v>1311</v>
      </c>
      <c r="C82" t="s">
        <v>1312</v>
      </c>
      <c r="D82" t="s">
        <v>1313</v>
      </c>
      <c r="E82" t="s">
        <v>1314</v>
      </c>
      <c r="F82" s="15" t="s">
        <v>1315</v>
      </c>
      <c r="G82" s="15" t="s">
        <v>1316</v>
      </c>
      <c r="H82" s="15" t="s">
        <v>1317</v>
      </c>
      <c r="I82" s="15" t="s">
        <v>322</v>
      </c>
    </row>
    <row r="83" spans="1:9" x14ac:dyDescent="0.2">
      <c r="A83">
        <v>81</v>
      </c>
      <c r="B83" t="s">
        <v>1318</v>
      </c>
      <c r="C83" t="s">
        <v>1319</v>
      </c>
      <c r="D83" t="s">
        <v>1320</v>
      </c>
      <c r="E83" t="s">
        <v>1321</v>
      </c>
      <c r="F83" s="15" t="s">
        <v>1322</v>
      </c>
      <c r="G83" s="15" t="s">
        <v>1323</v>
      </c>
      <c r="H83" s="15" t="s">
        <v>1324</v>
      </c>
      <c r="I83" s="15" t="s">
        <v>322</v>
      </c>
    </row>
    <row r="84" spans="1:9" x14ac:dyDescent="0.2">
      <c r="A84">
        <v>82</v>
      </c>
      <c r="B84" t="s">
        <v>1325</v>
      </c>
      <c r="C84" t="s">
        <v>1326</v>
      </c>
      <c r="D84" t="s">
        <v>1327</v>
      </c>
      <c r="E84" t="s">
        <v>1328</v>
      </c>
      <c r="F84" s="15" t="s">
        <v>1329</v>
      </c>
      <c r="G84" s="15" t="s">
        <v>1330</v>
      </c>
      <c r="H84" s="15" t="s">
        <v>1331</v>
      </c>
      <c r="I84" s="15" t="s">
        <v>322</v>
      </c>
    </row>
    <row r="85" spans="1:9" x14ac:dyDescent="0.2">
      <c r="A85">
        <v>83</v>
      </c>
      <c r="B85" t="s">
        <v>1332</v>
      </c>
      <c r="C85" t="s">
        <v>1333</v>
      </c>
      <c r="D85" t="s">
        <v>1334</v>
      </c>
      <c r="E85" t="s">
        <v>1335</v>
      </c>
      <c r="F85" t="s">
        <v>1336</v>
      </c>
      <c r="G85" s="15" t="s">
        <v>1337</v>
      </c>
      <c r="H85" s="15" t="s">
        <v>1338</v>
      </c>
      <c r="I85" s="15" t="s">
        <v>322</v>
      </c>
    </row>
    <row r="86" spans="1:9" x14ac:dyDescent="0.2">
      <c r="A86">
        <v>84</v>
      </c>
      <c r="B86" t="s">
        <v>1339</v>
      </c>
      <c r="C86" t="s">
        <v>1340</v>
      </c>
      <c r="D86" t="s">
        <v>1341</v>
      </c>
      <c r="E86" t="s">
        <v>1342</v>
      </c>
      <c r="F86" t="s">
        <v>1343</v>
      </c>
      <c r="G86" s="15" t="s">
        <v>1344</v>
      </c>
      <c r="H86" s="15" t="s">
        <v>1345</v>
      </c>
      <c r="I86" s="15" t="s">
        <v>322</v>
      </c>
    </row>
    <row r="87" spans="1:9" x14ac:dyDescent="0.2">
      <c r="A87" s="520">
        <v>85</v>
      </c>
      <c r="B87" s="520" t="s">
        <v>1346</v>
      </c>
      <c r="C87" s="520" t="s">
        <v>1347</v>
      </c>
      <c r="D87" s="850" t="s">
        <v>1348</v>
      </c>
      <c r="E87" s="520" t="s">
        <v>1349</v>
      </c>
      <c r="F87" s="520" t="s">
        <v>1350</v>
      </c>
      <c r="G87" s="850" t="s">
        <v>1351</v>
      </c>
      <c r="H87" s="850" t="s">
        <v>1352</v>
      </c>
      <c r="I87" s="15" t="s">
        <v>322</v>
      </c>
    </row>
    <row r="88" spans="1:9" x14ac:dyDescent="0.2">
      <c r="A88">
        <v>86</v>
      </c>
      <c r="B88" t="s">
        <v>1353</v>
      </c>
      <c r="C88" t="s">
        <v>1354</v>
      </c>
      <c r="D88" t="s">
        <v>1355</v>
      </c>
      <c r="E88" t="s">
        <v>1356</v>
      </c>
      <c r="F88" t="s">
        <v>1357</v>
      </c>
      <c r="G88" s="15" t="s">
        <v>1358</v>
      </c>
      <c r="H88" s="15" t="s">
        <v>1359</v>
      </c>
      <c r="I88" s="15" t="s">
        <v>322</v>
      </c>
    </row>
    <row r="89" spans="1:9" x14ac:dyDescent="0.2">
      <c r="A89">
        <v>87</v>
      </c>
      <c r="B89" t="s">
        <v>1360</v>
      </c>
      <c r="C89" t="s">
        <v>1361</v>
      </c>
      <c r="D89" t="s">
        <v>1362</v>
      </c>
      <c r="E89" t="s">
        <v>1363</v>
      </c>
      <c r="F89" t="s">
        <v>1364</v>
      </c>
      <c r="G89" s="15" t="s">
        <v>1365</v>
      </c>
      <c r="H89" s="15" t="s">
        <v>1366</v>
      </c>
      <c r="I89" s="15" t="s">
        <v>322</v>
      </c>
    </row>
    <row r="90" spans="1:9" x14ac:dyDescent="0.2">
      <c r="A90">
        <v>88</v>
      </c>
      <c r="B90" t="s">
        <v>1367</v>
      </c>
      <c r="C90" t="s">
        <v>1368</v>
      </c>
      <c r="D90" t="s">
        <v>1369</v>
      </c>
      <c r="E90" t="s">
        <v>1370</v>
      </c>
      <c r="F90" t="s">
        <v>1371</v>
      </c>
      <c r="G90" s="15" t="s">
        <v>1372</v>
      </c>
      <c r="H90" s="15" t="s">
        <v>1373</v>
      </c>
      <c r="I90" s="15" t="s">
        <v>322</v>
      </c>
    </row>
    <row r="91" spans="1:9" x14ac:dyDescent="0.2">
      <c r="A91">
        <v>89</v>
      </c>
      <c r="B91" t="s">
        <v>1374</v>
      </c>
      <c r="C91" t="s">
        <v>1375</v>
      </c>
      <c r="D91" t="s">
        <v>1376</v>
      </c>
      <c r="E91" t="s">
        <v>1377</v>
      </c>
      <c r="F91" t="s">
        <v>1378</v>
      </c>
      <c r="G91" s="15" t="s">
        <v>1379</v>
      </c>
      <c r="H91" s="15" t="s">
        <v>1380</v>
      </c>
      <c r="I91" s="15" t="s">
        <v>322</v>
      </c>
    </row>
    <row r="92" spans="1:9" x14ac:dyDescent="0.2">
      <c r="A92">
        <v>90</v>
      </c>
      <c r="B92" t="s">
        <v>643</v>
      </c>
      <c r="C92" t="s">
        <v>1381</v>
      </c>
      <c r="D92" t="s">
        <v>1382</v>
      </c>
      <c r="E92" t="s">
        <v>1383</v>
      </c>
      <c r="F92" t="s">
        <v>1384</v>
      </c>
      <c r="G92" s="15" t="s">
        <v>1385</v>
      </c>
      <c r="H92" s="15" t="s">
        <v>1386</v>
      </c>
      <c r="I92" s="15" t="s">
        <v>322</v>
      </c>
    </row>
    <row r="93" spans="1:9" x14ac:dyDescent="0.2">
      <c r="A93" s="520">
        <v>91</v>
      </c>
      <c r="B93" s="520" t="s">
        <v>1387</v>
      </c>
      <c r="C93" s="520" t="s">
        <v>1388</v>
      </c>
      <c r="D93" s="850" t="s">
        <v>1389</v>
      </c>
      <c r="E93" s="520" t="s">
        <v>1390</v>
      </c>
      <c r="F93" s="520" t="s">
        <v>1391</v>
      </c>
      <c r="G93" s="850" t="s">
        <v>1392</v>
      </c>
      <c r="H93" s="850" t="s">
        <v>1393</v>
      </c>
      <c r="I93" s="15" t="s">
        <v>322</v>
      </c>
    </row>
    <row r="94" spans="1:9" x14ac:dyDescent="0.2">
      <c r="A94">
        <v>92</v>
      </c>
      <c r="B94" t="s">
        <v>1394</v>
      </c>
      <c r="C94" s="15" t="s">
        <v>1395</v>
      </c>
      <c r="D94" t="s">
        <v>1396</v>
      </c>
      <c r="E94" t="s">
        <v>1397</v>
      </c>
      <c r="F94" t="s">
        <v>1398</v>
      </c>
      <c r="G94" s="15" t="s">
        <v>1399</v>
      </c>
      <c r="H94" s="15" t="s">
        <v>1400</v>
      </c>
      <c r="I94" s="15" t="s">
        <v>322</v>
      </c>
    </row>
    <row r="95" spans="1:9" x14ac:dyDescent="0.2">
      <c r="A95">
        <v>93</v>
      </c>
      <c r="B95" t="s">
        <v>1401</v>
      </c>
      <c r="C95" t="s">
        <v>1402</v>
      </c>
      <c r="D95" t="s">
        <v>1403</v>
      </c>
      <c r="E95" t="s">
        <v>1404</v>
      </c>
      <c r="F95" t="s">
        <v>1405</v>
      </c>
      <c r="G95" s="15" t="s">
        <v>1406</v>
      </c>
      <c r="H95" s="15" t="s">
        <v>1407</v>
      </c>
      <c r="I95" s="15" t="s">
        <v>322</v>
      </c>
    </row>
    <row r="96" spans="1:9" x14ac:dyDescent="0.2">
      <c r="A96">
        <v>94</v>
      </c>
      <c r="B96" t="s">
        <v>1408</v>
      </c>
      <c r="C96" t="s">
        <v>1409</v>
      </c>
      <c r="D96" t="s">
        <v>1410</v>
      </c>
      <c r="E96" t="s">
        <v>1411</v>
      </c>
      <c r="F96" t="s">
        <v>1412</v>
      </c>
      <c r="G96" s="15" t="s">
        <v>1413</v>
      </c>
      <c r="H96" s="15" t="s">
        <v>1414</v>
      </c>
      <c r="I96" s="15" t="s">
        <v>322</v>
      </c>
    </row>
    <row r="97" spans="1:9" x14ac:dyDescent="0.2">
      <c r="A97">
        <v>95</v>
      </c>
      <c r="B97" t="s">
        <v>1415</v>
      </c>
      <c r="C97" t="s">
        <v>1416</v>
      </c>
      <c r="D97" t="s">
        <v>1417</v>
      </c>
      <c r="E97" t="s">
        <v>1418</v>
      </c>
      <c r="F97" t="s">
        <v>1419</v>
      </c>
      <c r="G97" s="15" t="s">
        <v>1420</v>
      </c>
      <c r="H97" s="15" t="s">
        <v>1421</v>
      </c>
      <c r="I97" s="15" t="s">
        <v>322</v>
      </c>
    </row>
    <row r="98" spans="1:9" x14ac:dyDescent="0.2">
      <c r="A98" s="520">
        <v>96</v>
      </c>
      <c r="B98" s="520"/>
      <c r="C98" s="520" t="s">
        <v>1422</v>
      </c>
      <c r="D98" s="520" t="s">
        <v>1423</v>
      </c>
      <c r="E98" s="520" t="s">
        <v>1424</v>
      </c>
      <c r="F98" s="720" t="s">
        <v>322</v>
      </c>
      <c r="G98" s="853"/>
      <c r="H98" s="853"/>
      <c r="I98" s="15" t="s">
        <v>322</v>
      </c>
    </row>
    <row r="99" spans="1:9" x14ac:dyDescent="0.2">
      <c r="A99" s="520">
        <v>97</v>
      </c>
      <c r="B99" s="520" t="s">
        <v>1425</v>
      </c>
      <c r="C99" s="520" t="s">
        <v>1426</v>
      </c>
      <c r="D99" s="520" t="s">
        <v>1427</v>
      </c>
      <c r="E99" s="850" t="s">
        <v>1428</v>
      </c>
      <c r="F99" s="520" t="s">
        <v>1429</v>
      </c>
      <c r="G99" s="850" t="s">
        <v>1430</v>
      </c>
      <c r="H99" s="852" t="s">
        <v>1431</v>
      </c>
      <c r="I99" s="15" t="s">
        <v>322</v>
      </c>
    </row>
    <row r="100" spans="1:9" x14ac:dyDescent="0.2">
      <c r="A100">
        <v>98</v>
      </c>
      <c r="B100" t="s">
        <v>1432</v>
      </c>
      <c r="C100" t="s">
        <v>1433</v>
      </c>
      <c r="D100" s="820" t="str">
        <f>"электроэнергии, "&amp;D23</f>
        <v>электроэнергии, Электростанции производителей энергии (основной вид деятельности)</v>
      </c>
      <c r="E100" t="s">
        <v>1434</v>
      </c>
      <c r="F100" s="861" t="s">
        <v>322</v>
      </c>
      <c r="G100" s="860"/>
      <c r="H100" s="861"/>
      <c r="I100" s="15" t="s">
        <v>322</v>
      </c>
    </row>
    <row r="101" spans="1:9" x14ac:dyDescent="0.2">
      <c r="A101">
        <v>99</v>
      </c>
      <c r="B101" t="s">
        <v>1435</v>
      </c>
      <c r="C101" t="s">
        <v>1436</v>
      </c>
      <c r="D101" s="820" t="str">
        <f>"электроэнергии, "&amp;D24</f>
        <v>электроэнергии, Электростанции предприятий, производящих энергию для собственных нужд</v>
      </c>
      <c r="E101" t="s">
        <v>1437</v>
      </c>
      <c r="F101" s="861" t="s">
        <v>322</v>
      </c>
      <c r="G101" s="860"/>
      <c r="H101" s="861"/>
      <c r="I101" s="15" t="s">
        <v>322</v>
      </c>
    </row>
    <row r="102" spans="1:9" x14ac:dyDescent="0.2">
      <c r="A102">
        <v>100</v>
      </c>
      <c r="B102" t="s">
        <v>1438</v>
      </c>
      <c r="C102" t="s">
        <v>1439</v>
      </c>
      <c r="D102" s="820" t="str">
        <f>"электроэнергии, "&amp;D25</f>
        <v>электроэнергии, ТЭЦ производителей энергии (основной вид деятельности)</v>
      </c>
      <c r="E102" t="s">
        <v>1440</v>
      </c>
      <c r="F102" s="861" t="s">
        <v>322</v>
      </c>
      <c r="G102" s="860"/>
      <c r="H102" s="860"/>
      <c r="I102" s="15" t="s">
        <v>322</v>
      </c>
    </row>
    <row r="103" spans="1:9" x14ac:dyDescent="0.2">
      <c r="A103">
        <v>101</v>
      </c>
      <c r="B103" t="s">
        <v>1441</v>
      </c>
      <c r="C103" t="s">
        <v>1442</v>
      </c>
      <c r="D103" s="820" t="str">
        <f>"электроэнергии, "&amp;D26</f>
        <v>электроэнергии, ТЭЦ предприятий, производящих энергию для собственных нужд</v>
      </c>
      <c r="E103" t="s">
        <v>1443</v>
      </c>
      <c r="F103" s="861" t="s">
        <v>322</v>
      </c>
      <c r="G103" s="860"/>
      <c r="H103" s="860"/>
      <c r="I103" s="15" t="s">
        <v>322</v>
      </c>
    </row>
    <row r="104" spans="1:9" x14ac:dyDescent="0.2">
      <c r="A104">
        <v>102</v>
      </c>
      <c r="B104" t="s">
        <v>1444</v>
      </c>
      <c r="C104" t="s">
        <v>1445</v>
      </c>
      <c r="D104" s="820" t="str">
        <f>"тепла, "&amp;D25</f>
        <v>тепла, ТЭЦ производителей энергии (основной вид деятельности)</v>
      </c>
      <c r="E104" t="s">
        <v>1446</v>
      </c>
      <c r="F104" s="861" t="s">
        <v>322</v>
      </c>
      <c r="G104" s="860"/>
      <c r="H104" s="860"/>
      <c r="I104" s="15" t="s">
        <v>322</v>
      </c>
    </row>
    <row r="105" spans="1:9" x14ac:dyDescent="0.2">
      <c r="A105">
        <v>103</v>
      </c>
      <c r="B105" t="s">
        <v>1447</v>
      </c>
      <c r="C105" t="s">
        <v>1448</v>
      </c>
      <c r="D105" s="820" t="str">
        <f>"тепла, "&amp;D26</f>
        <v>тепла, ТЭЦ предприятий, производящих энергию для собственных нужд</v>
      </c>
      <c r="E105" t="s">
        <v>1449</v>
      </c>
      <c r="F105" s="861" t="s">
        <v>322</v>
      </c>
      <c r="G105" s="860"/>
      <c r="H105" s="860"/>
      <c r="I105" s="15" t="s">
        <v>322</v>
      </c>
    </row>
    <row r="106" spans="1:9" x14ac:dyDescent="0.2">
      <c r="A106">
        <v>104</v>
      </c>
      <c r="B106" t="s">
        <v>1450</v>
      </c>
      <c r="C106" t="s">
        <v>1451</v>
      </c>
      <c r="D106" s="820" t="str">
        <f>"тепла, "&amp;D27</f>
        <v>тепла, Теплоцентрали производителей энергии (основной вид деятельности)</v>
      </c>
      <c r="E106" t="s">
        <v>1452</v>
      </c>
      <c r="F106" s="861" t="s">
        <v>322</v>
      </c>
      <c r="G106" s="860"/>
      <c r="H106" s="860"/>
      <c r="I106" s="15" t="s">
        <v>322</v>
      </c>
    </row>
    <row r="107" spans="1:9" x14ac:dyDescent="0.2">
      <c r="A107">
        <v>105</v>
      </c>
      <c r="B107" t="s">
        <v>1453</v>
      </c>
      <c r="C107" t="s">
        <v>1454</v>
      </c>
      <c r="D107" s="820" t="str">
        <f>"тепла, "&amp;D28</f>
        <v>тепла, Теплоцентрали предприятий, производящих энергию для собственных нужд</v>
      </c>
      <c r="E107" t="s">
        <v>1455</v>
      </c>
      <c r="F107" s="861" t="s">
        <v>322</v>
      </c>
      <c r="G107" s="860"/>
      <c r="H107" s="860"/>
      <c r="I107" s="15" t="s">
        <v>322</v>
      </c>
    </row>
    <row r="108" spans="1:9" x14ac:dyDescent="0.2">
      <c r="A108" s="520">
        <v>106</v>
      </c>
      <c r="B108" s="520" t="s">
        <v>1456</v>
      </c>
      <c r="C108" s="520" t="s">
        <v>1457</v>
      </c>
      <c r="D108" s="520" t="s">
        <v>1458</v>
      </c>
      <c r="E108" s="850" t="s">
        <v>1459</v>
      </c>
      <c r="F108" s="520" t="s">
        <v>1460</v>
      </c>
      <c r="G108" s="850" t="s">
        <v>1461</v>
      </c>
      <c r="H108" s="520" t="s">
        <v>1462</v>
      </c>
      <c r="I108" s="15" t="s">
        <v>322</v>
      </c>
    </row>
    <row r="109" spans="1:9" x14ac:dyDescent="0.2">
      <c r="A109">
        <v>107</v>
      </c>
      <c r="B109" t="s">
        <v>1463</v>
      </c>
      <c r="C109" t="s">
        <v>1464</v>
      </c>
      <c r="D109" s="15" t="s">
        <v>1465</v>
      </c>
      <c r="E109" t="s">
        <v>1466</v>
      </c>
      <c r="F109" s="861" t="s">
        <v>322</v>
      </c>
      <c r="G109" s="860"/>
      <c r="H109" s="860"/>
      <c r="I109" s="15" t="s">
        <v>322</v>
      </c>
    </row>
    <row r="110" spans="1:9" x14ac:dyDescent="0.2">
      <c r="A110">
        <v>108</v>
      </c>
      <c r="B110" t="s">
        <v>1467</v>
      </c>
      <c r="C110" t="s">
        <v>1468</v>
      </c>
      <c r="D110" s="15" t="s">
        <v>1469</v>
      </c>
      <c r="E110" t="s">
        <v>1470</v>
      </c>
      <c r="F110" s="861" t="s">
        <v>322</v>
      </c>
      <c r="G110" s="860"/>
      <c r="H110" s="860"/>
      <c r="I110" s="15" t="s">
        <v>322</v>
      </c>
    </row>
    <row r="111" spans="1:9" x14ac:dyDescent="0.2">
      <c r="A111">
        <v>109</v>
      </c>
      <c r="B111" t="s">
        <v>1471</v>
      </c>
      <c r="C111" t="s">
        <v>1472</v>
      </c>
      <c r="D111" s="15" t="s">
        <v>1473</v>
      </c>
      <c r="E111" t="s">
        <v>1474</v>
      </c>
      <c r="F111" s="860"/>
      <c r="G111" s="860"/>
      <c r="H111" s="860"/>
      <c r="I111" s="15" t="s">
        <v>322</v>
      </c>
    </row>
    <row r="112" spans="1:9" x14ac:dyDescent="0.2">
      <c r="A112">
        <v>110</v>
      </c>
      <c r="B112" t="s">
        <v>1475</v>
      </c>
      <c r="C112" t="s">
        <v>1476</v>
      </c>
      <c r="D112" s="15" t="s">
        <v>1477</v>
      </c>
      <c r="E112" t="s">
        <v>1478</v>
      </c>
      <c r="F112" s="860"/>
      <c r="G112" s="860"/>
      <c r="H112" s="860"/>
      <c r="I112" s="15" t="s">
        <v>322</v>
      </c>
    </row>
  </sheetData>
  <pageMargins left="0.7" right="0.7" top="0.75" bottom="0.75" header="0.3" footer="0.3"/>
  <pageSetup paperSize="9" orientation="portrait"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02">
    <tabColor theme="1"/>
  </sheetPr>
  <dimension ref="A1:Z52"/>
  <sheetViews>
    <sheetView showGridLines="0" workbookViewId="0">
      <selection activeCell="C36" sqref="C36"/>
    </sheetView>
  </sheetViews>
  <sheetFormatPr defaultRowHeight="12.75" x14ac:dyDescent="0.2"/>
  <cols>
    <col min="1" max="1" width="5.140625" customWidth="1"/>
    <col min="2" max="2" width="9.42578125" customWidth="1"/>
    <col min="3" max="3" width="68.28515625" customWidth="1"/>
    <col min="4" max="4" width="23.5703125" bestFit="1" customWidth="1"/>
    <col min="6" max="6" width="34.28515625" customWidth="1"/>
    <col min="7" max="7" width="9.140625" customWidth="1"/>
  </cols>
  <sheetData>
    <row r="1" spans="1:26" ht="30" customHeight="1" x14ac:dyDescent="0.2">
      <c r="A1" s="2114"/>
      <c r="B1" s="2114"/>
      <c r="C1" s="2090" t="s">
        <v>1479</v>
      </c>
      <c r="D1" s="2090"/>
      <c r="E1" s="2090"/>
      <c r="F1" s="2090"/>
      <c r="G1" s="2090"/>
      <c r="H1" s="2090"/>
      <c r="I1" s="2090"/>
      <c r="J1" s="2090"/>
      <c r="K1" s="2090"/>
      <c r="L1" s="2090"/>
      <c r="M1" s="2090"/>
      <c r="N1" s="2090"/>
      <c r="O1" s="2114"/>
      <c r="P1" s="2114"/>
      <c r="Q1" s="2114"/>
      <c r="R1" s="2114"/>
      <c r="S1" s="2114"/>
      <c r="T1" s="2114"/>
      <c r="U1" s="2114"/>
      <c r="V1" s="2114"/>
      <c r="W1" s="2114"/>
      <c r="X1" s="2114"/>
      <c r="Y1" s="2114"/>
      <c r="Z1" s="2114"/>
    </row>
    <row r="2" spans="1:26" s="40" customFormat="1" x14ac:dyDescent="0.2">
      <c r="A2" s="2251"/>
      <c r="B2" s="2251"/>
      <c r="C2" s="2251"/>
      <c r="D2" s="2251"/>
      <c r="E2" s="2251"/>
      <c r="F2" s="2251"/>
      <c r="G2" s="2251"/>
      <c r="H2" s="2251"/>
      <c r="I2" s="2251"/>
      <c r="J2" s="2251"/>
      <c r="K2" s="2251"/>
      <c r="L2" s="2251"/>
      <c r="M2" s="2251"/>
      <c r="N2" s="2251"/>
      <c r="O2" s="2251"/>
      <c r="P2" s="2251"/>
      <c r="Q2" s="2251"/>
      <c r="R2" s="2251"/>
      <c r="S2" s="2251"/>
      <c r="T2" s="2251"/>
      <c r="U2" s="2251"/>
      <c r="V2" s="2251"/>
      <c r="W2" s="2251"/>
      <c r="X2" s="2251"/>
      <c r="Y2" s="2251"/>
      <c r="Z2" s="2251"/>
    </row>
    <row r="3" spans="1:26" s="40" customFormat="1" x14ac:dyDescent="0.2">
      <c r="A3" s="2251"/>
      <c r="B3" s="2298" t="s">
        <v>1480</v>
      </c>
      <c r="C3" s="2298"/>
      <c r="D3" s="2298"/>
      <c r="E3" s="2298"/>
      <c r="F3" s="2251"/>
      <c r="G3" s="2251"/>
      <c r="H3" s="2251"/>
      <c r="I3" s="2251"/>
      <c r="J3" s="2251"/>
      <c r="K3" s="2251"/>
      <c r="L3" s="2251"/>
      <c r="M3" s="2251"/>
      <c r="N3" s="2251"/>
      <c r="O3" s="2251"/>
      <c r="P3" s="2251"/>
      <c r="Q3" s="2251"/>
      <c r="R3" s="2251"/>
      <c r="S3" s="2251"/>
      <c r="T3" s="2251"/>
      <c r="U3" s="2251"/>
      <c r="V3" s="2251"/>
      <c r="W3" s="2251"/>
      <c r="X3" s="2251"/>
      <c r="Y3" s="2251"/>
      <c r="Z3" s="2251"/>
    </row>
    <row r="4" spans="1:26" s="40" customFormat="1" x14ac:dyDescent="0.2">
      <c r="A4" s="2251"/>
      <c r="B4" s="2298"/>
      <c r="C4" s="2298"/>
      <c r="D4" s="2298"/>
      <c r="E4" s="2298"/>
      <c r="F4" s="2251"/>
      <c r="G4" s="2251"/>
      <c r="H4" s="2251"/>
      <c r="I4" s="2251"/>
      <c r="J4" s="2251"/>
      <c r="K4" s="2251"/>
      <c r="L4" s="2251"/>
      <c r="M4" s="2251"/>
      <c r="N4" s="2251"/>
      <c r="O4" s="2251"/>
      <c r="P4" s="2251"/>
      <c r="Q4" s="2251"/>
      <c r="R4" s="2251"/>
      <c r="S4" s="2251"/>
      <c r="T4" s="2251"/>
      <c r="U4" s="2251"/>
      <c r="V4" s="2251"/>
      <c r="W4" s="2251"/>
      <c r="X4" s="2251"/>
      <c r="Y4" s="2251"/>
      <c r="Z4" s="2251"/>
    </row>
    <row r="5" spans="1:26" s="40" customFormat="1" x14ac:dyDescent="0.2">
      <c r="A5" s="2251"/>
      <c r="B5" s="2298"/>
      <c r="C5" s="2298"/>
      <c r="D5" s="2298"/>
      <c r="E5" s="2298"/>
      <c r="F5" s="2251"/>
      <c r="G5" s="2251"/>
      <c r="H5" s="2251"/>
      <c r="I5" s="2251"/>
      <c r="J5" s="2251"/>
      <c r="K5" s="2251"/>
      <c r="L5" s="2251"/>
      <c r="M5" s="2251"/>
      <c r="N5" s="2251"/>
      <c r="O5" s="2251"/>
      <c r="P5" s="2251"/>
      <c r="Q5" s="2251"/>
      <c r="R5" s="2251"/>
      <c r="S5" s="2251"/>
      <c r="T5" s="2251"/>
      <c r="U5" s="2251"/>
      <c r="V5" s="2251"/>
      <c r="W5" s="2251"/>
      <c r="X5" s="2251"/>
      <c r="Y5" s="2251"/>
      <c r="Z5" s="2251"/>
    </row>
    <row r="6" spans="1:26" s="544" customFormat="1" x14ac:dyDescent="0.2">
      <c r="A6" s="2252"/>
      <c r="B6" s="2252"/>
      <c r="C6" s="2252"/>
      <c r="D6" s="2252"/>
      <c r="E6" s="2252"/>
      <c r="F6" s="2252"/>
      <c r="G6" s="2252"/>
      <c r="H6" s="2252"/>
      <c r="I6" s="2252"/>
      <c r="J6" s="2252"/>
      <c r="K6" s="2252"/>
      <c r="L6" s="2252"/>
      <c r="M6" s="2252"/>
      <c r="N6" s="2252"/>
      <c r="O6" s="2252"/>
      <c r="P6" s="2252"/>
      <c r="Q6" s="2252"/>
      <c r="R6" s="2252"/>
      <c r="S6" s="2252"/>
      <c r="T6" s="2252"/>
      <c r="U6" s="2252"/>
      <c r="V6" s="2252"/>
      <c r="W6" s="2252"/>
      <c r="X6" s="2252"/>
      <c r="Y6" s="2252"/>
      <c r="Z6" s="2252"/>
    </row>
    <row r="7" spans="1:26" s="20" customFormat="1" ht="11.25" x14ac:dyDescent="0.2"/>
    <row r="8" spans="1:26" s="20" customFormat="1" ht="11.25" x14ac:dyDescent="0.2">
      <c r="B8" s="259" t="s">
        <v>1481</v>
      </c>
      <c r="C8" s="259" t="s">
        <v>1482</v>
      </c>
      <c r="D8" s="259" t="s">
        <v>1483</v>
      </c>
      <c r="E8" s="259" t="s">
        <v>1484</v>
      </c>
      <c r="F8" s="259" t="s">
        <v>1485</v>
      </c>
      <c r="G8" s="259" t="s">
        <v>1486</v>
      </c>
    </row>
    <row r="9" spans="1:26" s="20" customFormat="1" ht="11.25" x14ac:dyDescent="0.2">
      <c r="B9" s="373">
        <v>1</v>
      </c>
      <c r="C9" s="241" t="s">
        <v>1487</v>
      </c>
      <c r="D9" s="241" t="s">
        <v>1488</v>
      </c>
      <c r="E9" s="241" t="s">
        <v>1489</v>
      </c>
      <c r="F9" s="504" t="s">
        <v>1490</v>
      </c>
      <c r="G9" s="504" t="s">
        <v>1491</v>
      </c>
    </row>
    <row r="10" spans="1:26" s="20" customFormat="1" ht="11.25" x14ac:dyDescent="0.2">
      <c r="B10" s="373">
        <v>1</v>
      </c>
      <c r="C10" s="241" t="s">
        <v>1487</v>
      </c>
      <c r="D10" s="241" t="s">
        <v>1492</v>
      </c>
      <c r="E10" s="241" t="s">
        <v>1493</v>
      </c>
      <c r="F10" s="504" t="s">
        <v>1494</v>
      </c>
      <c r="G10" s="504" t="s">
        <v>1495</v>
      </c>
    </row>
    <row r="11" spans="1:26" s="20" customFormat="1" ht="11.25" x14ac:dyDescent="0.2">
      <c r="B11" s="373">
        <v>2</v>
      </c>
      <c r="C11" s="241" t="s">
        <v>1496</v>
      </c>
      <c r="D11" s="241" t="s">
        <v>1497</v>
      </c>
      <c r="E11" s="241" t="s">
        <v>1498</v>
      </c>
      <c r="F11" s="504" t="s">
        <v>1499</v>
      </c>
      <c r="G11" s="504" t="s">
        <v>1500</v>
      </c>
    </row>
    <row r="12" spans="1:26" s="20" customFormat="1" ht="11.25" x14ac:dyDescent="0.2">
      <c r="B12" s="373">
        <v>2</v>
      </c>
      <c r="C12" s="241" t="s">
        <v>1496</v>
      </c>
      <c r="D12" s="241" t="s">
        <v>1501</v>
      </c>
      <c r="E12" s="241" t="s">
        <v>1502</v>
      </c>
      <c r="F12" s="504" t="s">
        <v>1503</v>
      </c>
      <c r="G12" s="504" t="s">
        <v>1504</v>
      </c>
    </row>
    <row r="13" spans="1:26" s="20" customFormat="1" ht="11.25" x14ac:dyDescent="0.2">
      <c r="B13" s="373">
        <v>3</v>
      </c>
      <c r="C13" s="20" t="s">
        <v>1505</v>
      </c>
      <c r="D13" s="20" t="s">
        <v>1506</v>
      </c>
      <c r="E13" s="20" t="s">
        <v>1507</v>
      </c>
      <c r="F13" s="302" t="s">
        <v>1508</v>
      </c>
      <c r="G13" s="302" t="s">
        <v>1509</v>
      </c>
    </row>
    <row r="14" spans="1:26" s="20" customFormat="1" ht="11.25" x14ac:dyDescent="0.2">
      <c r="B14" s="373">
        <v>3</v>
      </c>
      <c r="C14" s="20" t="s">
        <v>1505</v>
      </c>
      <c r="D14" s="20" t="s">
        <v>1510</v>
      </c>
      <c r="E14" s="20" t="s">
        <v>1511</v>
      </c>
      <c r="F14" s="302" t="s">
        <v>1512</v>
      </c>
      <c r="G14" s="302" t="s">
        <v>1513</v>
      </c>
    </row>
    <row r="15" spans="1:26" s="20" customFormat="1" ht="11.25" x14ac:dyDescent="0.2">
      <c r="B15" s="373">
        <v>4</v>
      </c>
      <c r="C15" s="20" t="s">
        <v>1514</v>
      </c>
      <c r="D15" s="20" t="s">
        <v>1515</v>
      </c>
      <c r="E15" s="20" t="s">
        <v>1516</v>
      </c>
      <c r="F15" s="302" t="s">
        <v>1517</v>
      </c>
      <c r="G15" s="302" t="s">
        <v>1518</v>
      </c>
    </row>
    <row r="16" spans="1:26" s="20" customFormat="1" ht="11.25" x14ac:dyDescent="0.2">
      <c r="B16" s="373">
        <v>4</v>
      </c>
      <c r="C16" s="20" t="s">
        <v>1514</v>
      </c>
      <c r="D16" s="20" t="s">
        <v>1519</v>
      </c>
      <c r="E16" s="20" t="s">
        <v>1520</v>
      </c>
      <c r="F16" s="302" t="s">
        <v>1521</v>
      </c>
      <c r="G16" s="302" t="s">
        <v>1522</v>
      </c>
    </row>
    <row r="17" spans="2:7" s="20" customFormat="1" ht="11.25" x14ac:dyDescent="0.2">
      <c r="B17" s="373">
        <v>4</v>
      </c>
      <c r="C17" s="20" t="s">
        <v>1514</v>
      </c>
      <c r="D17" s="20" t="s">
        <v>1523</v>
      </c>
      <c r="E17" s="20" t="s">
        <v>1524</v>
      </c>
      <c r="F17" s="302" t="s">
        <v>1525</v>
      </c>
      <c r="G17" s="302" t="s">
        <v>1526</v>
      </c>
    </row>
    <row r="18" spans="2:7" s="20" customFormat="1" ht="11.25" x14ac:dyDescent="0.2">
      <c r="B18" s="373">
        <v>4</v>
      </c>
      <c r="C18" s="20" t="s">
        <v>1514</v>
      </c>
      <c r="D18" s="20" t="s">
        <v>1527</v>
      </c>
      <c r="E18" s="20" t="s">
        <v>1528</v>
      </c>
      <c r="F18" s="302" t="s">
        <v>1529</v>
      </c>
      <c r="G18" s="302" t="s">
        <v>1530</v>
      </c>
    </row>
    <row r="19" spans="2:7" s="20" customFormat="1" ht="11.25" x14ac:dyDescent="0.2">
      <c r="B19" s="373">
        <v>4</v>
      </c>
      <c r="C19" s="20" t="s">
        <v>1514</v>
      </c>
      <c r="D19" s="20" t="s">
        <v>1531</v>
      </c>
      <c r="E19" s="20" t="s">
        <v>1532</v>
      </c>
      <c r="F19" s="302" t="s">
        <v>1533</v>
      </c>
      <c r="G19" s="302" t="s">
        <v>1534</v>
      </c>
    </row>
    <row r="20" spans="2:7" s="20" customFormat="1" ht="11.25" x14ac:dyDescent="0.2">
      <c r="B20" s="373">
        <v>4</v>
      </c>
      <c r="C20" s="20" t="s">
        <v>1514</v>
      </c>
      <c r="D20" s="20" t="s">
        <v>1535</v>
      </c>
      <c r="E20" s="20" t="s">
        <v>1536</v>
      </c>
      <c r="F20" s="302" t="s">
        <v>1537</v>
      </c>
      <c r="G20" s="302" t="s">
        <v>1538</v>
      </c>
    </row>
    <row r="21" spans="2:7" s="20" customFormat="1" ht="11.25" x14ac:dyDescent="0.2">
      <c r="B21" s="373">
        <v>5</v>
      </c>
      <c r="C21" s="20" t="s">
        <v>1539</v>
      </c>
      <c r="D21" s="20" t="s">
        <v>1540</v>
      </c>
      <c r="E21" s="20" t="s">
        <v>1541</v>
      </c>
      <c r="F21" s="302" t="s">
        <v>1542</v>
      </c>
      <c r="G21" s="302" t="s">
        <v>1543</v>
      </c>
    </row>
    <row r="22" spans="2:7" s="20" customFormat="1" ht="11.25" x14ac:dyDescent="0.2">
      <c r="B22" s="373">
        <v>5</v>
      </c>
      <c r="C22" s="20" t="s">
        <v>1539</v>
      </c>
      <c r="D22" s="20" t="s">
        <v>1544</v>
      </c>
      <c r="E22" s="20" t="s">
        <v>1545</v>
      </c>
      <c r="F22" s="302" t="s">
        <v>1546</v>
      </c>
      <c r="G22" s="302" t="s">
        <v>1547</v>
      </c>
    </row>
    <row r="23" spans="2:7" s="20" customFormat="1" ht="11.25" x14ac:dyDescent="0.2">
      <c r="B23" s="373">
        <v>6</v>
      </c>
      <c r="C23" s="20" t="s">
        <v>1548</v>
      </c>
      <c r="D23" s="20" t="s">
        <v>1549</v>
      </c>
      <c r="E23" s="20" t="s">
        <v>1550</v>
      </c>
      <c r="F23" s="302" t="s">
        <v>1551</v>
      </c>
      <c r="G23" s="302" t="s">
        <v>1552</v>
      </c>
    </row>
    <row r="24" spans="2:7" s="20" customFormat="1" ht="11.25" x14ac:dyDescent="0.2">
      <c r="B24" s="373">
        <v>6</v>
      </c>
      <c r="C24" s="20" t="s">
        <v>1548</v>
      </c>
      <c r="D24" s="20" t="s">
        <v>1553</v>
      </c>
      <c r="E24" s="20" t="s">
        <v>1554</v>
      </c>
      <c r="F24" s="302" t="s">
        <v>1555</v>
      </c>
      <c r="G24" s="302" t="s">
        <v>1556</v>
      </c>
    </row>
    <row r="25" spans="2:7" s="20" customFormat="1" ht="11.25" x14ac:dyDescent="0.2">
      <c r="B25" s="373">
        <v>7</v>
      </c>
      <c r="C25" s="20" t="s">
        <v>1557</v>
      </c>
      <c r="D25" s="20" t="s">
        <v>1558</v>
      </c>
      <c r="E25" s="20" t="s">
        <v>1559</v>
      </c>
      <c r="F25" s="302" t="s">
        <v>1560</v>
      </c>
      <c r="G25" s="302" t="s">
        <v>1561</v>
      </c>
    </row>
    <row r="26" spans="2:7" s="20" customFormat="1" ht="11.25" x14ac:dyDescent="0.2">
      <c r="B26" s="373">
        <v>7</v>
      </c>
      <c r="C26" s="20" t="s">
        <v>1557</v>
      </c>
      <c r="D26" s="20" t="s">
        <v>1562</v>
      </c>
      <c r="E26" s="20" t="s">
        <v>1563</v>
      </c>
      <c r="F26" s="302" t="s">
        <v>1564</v>
      </c>
      <c r="G26" s="302" t="s">
        <v>1565</v>
      </c>
    </row>
    <row r="27" spans="2:7" s="20" customFormat="1" ht="11.25" x14ac:dyDescent="0.2">
      <c r="B27" s="373">
        <v>8</v>
      </c>
      <c r="C27" s="20" t="s">
        <v>1566</v>
      </c>
      <c r="D27" s="20" t="s">
        <v>1567</v>
      </c>
      <c r="E27" s="20" t="s">
        <v>1568</v>
      </c>
      <c r="F27" s="302" t="s">
        <v>1569</v>
      </c>
      <c r="G27" s="302" t="s">
        <v>1570</v>
      </c>
    </row>
    <row r="28" spans="2:7" s="20" customFormat="1" ht="11.25" x14ac:dyDescent="0.2">
      <c r="B28" s="373">
        <v>9</v>
      </c>
      <c r="C28" s="20" t="s">
        <v>1571</v>
      </c>
      <c r="D28" s="20" t="s">
        <v>1549</v>
      </c>
      <c r="E28" s="20" t="s">
        <v>1550</v>
      </c>
      <c r="F28" s="302" t="s">
        <v>1551</v>
      </c>
      <c r="G28" s="302" t="s">
        <v>1552</v>
      </c>
    </row>
    <row r="29" spans="2:7" s="20" customFormat="1" ht="11.25" x14ac:dyDescent="0.2">
      <c r="B29" s="373">
        <v>9</v>
      </c>
      <c r="C29" s="20" t="s">
        <v>1571</v>
      </c>
      <c r="D29" s="20" t="s">
        <v>1562</v>
      </c>
      <c r="E29" s="20" t="s">
        <v>1563</v>
      </c>
      <c r="F29" s="302" t="s">
        <v>1564</v>
      </c>
      <c r="G29" s="302" t="s">
        <v>1572</v>
      </c>
    </row>
    <row r="30" spans="2:7" s="20" customFormat="1" ht="11.25" x14ac:dyDescent="0.2">
      <c r="B30" s="373">
        <v>10</v>
      </c>
      <c r="C30" s="20" t="s">
        <v>1573</v>
      </c>
      <c r="D30" s="20" t="s">
        <v>1574</v>
      </c>
      <c r="E30" s="20" t="s">
        <v>1575</v>
      </c>
      <c r="F30" s="302" t="s">
        <v>1576</v>
      </c>
      <c r="G30" s="302" t="s">
        <v>1577</v>
      </c>
    </row>
    <row r="31" spans="2:7" s="20" customFormat="1" ht="11.25" x14ac:dyDescent="0.2">
      <c r="B31" s="373">
        <v>10</v>
      </c>
      <c r="C31" s="20" t="s">
        <v>1573</v>
      </c>
      <c r="D31" s="20" t="s">
        <v>1578</v>
      </c>
      <c r="E31" s="20" t="s">
        <v>1579</v>
      </c>
      <c r="F31" s="302" t="s">
        <v>1580</v>
      </c>
      <c r="G31" s="302" t="s">
        <v>1581</v>
      </c>
    </row>
    <row r="32" spans="2:7" s="20" customFormat="1" ht="11.25" x14ac:dyDescent="0.2">
      <c r="B32" s="373">
        <v>11</v>
      </c>
      <c r="C32" s="20" t="s">
        <v>1582</v>
      </c>
      <c r="D32" s="20" t="s">
        <v>1583</v>
      </c>
      <c r="E32" s="20" t="s">
        <v>1584</v>
      </c>
      <c r="F32" s="302" t="s">
        <v>1585</v>
      </c>
      <c r="G32" s="20">
        <v>0</v>
      </c>
    </row>
    <row r="33" spans="2:7" s="20" customFormat="1" ht="11.25" x14ac:dyDescent="0.2">
      <c r="B33" s="373">
        <v>11</v>
      </c>
      <c r="C33" s="20" t="s">
        <v>1582</v>
      </c>
      <c r="D33" s="20" t="s">
        <v>1586</v>
      </c>
      <c r="E33" s="20" t="s">
        <v>1587</v>
      </c>
      <c r="F33" s="302" t="s">
        <v>1588</v>
      </c>
      <c r="G33" s="20">
        <v>0</v>
      </c>
    </row>
    <row r="34" spans="2:7" s="20" customFormat="1" ht="11.25" x14ac:dyDescent="0.2">
      <c r="B34" s="373">
        <v>11</v>
      </c>
      <c r="C34" s="20" t="s">
        <v>1582</v>
      </c>
      <c r="D34" s="20" t="s">
        <v>1589</v>
      </c>
      <c r="E34" s="20" t="s">
        <v>1590</v>
      </c>
      <c r="F34" s="302" t="s">
        <v>1591</v>
      </c>
      <c r="G34" s="20">
        <v>0</v>
      </c>
    </row>
    <row r="35" spans="2:7" s="20" customFormat="1" ht="11.25" x14ac:dyDescent="0.2">
      <c r="B35" s="373">
        <v>11</v>
      </c>
      <c r="C35" s="20" t="s">
        <v>1582</v>
      </c>
      <c r="D35" s="20" t="s">
        <v>1592</v>
      </c>
      <c r="E35" s="20" t="s">
        <v>1593</v>
      </c>
      <c r="F35" s="302" t="s">
        <v>1594</v>
      </c>
      <c r="G35" s="20">
        <v>0</v>
      </c>
    </row>
    <row r="36" spans="2:7" s="20" customFormat="1" ht="11.25" x14ac:dyDescent="0.2">
      <c r="B36" s="373">
        <v>11</v>
      </c>
      <c r="C36" s="20" t="s">
        <v>1582</v>
      </c>
      <c r="D36" s="20" t="s">
        <v>1595</v>
      </c>
      <c r="E36" s="20" t="s">
        <v>1596</v>
      </c>
      <c r="F36" s="302" t="s">
        <v>1597</v>
      </c>
      <c r="G36" s="20">
        <v>0</v>
      </c>
    </row>
    <row r="37" spans="2:7" s="20" customFormat="1" ht="11.25" x14ac:dyDescent="0.2">
      <c r="B37" s="373">
        <v>11</v>
      </c>
      <c r="C37" s="20" t="s">
        <v>1582</v>
      </c>
      <c r="D37" s="20" t="s">
        <v>1598</v>
      </c>
      <c r="E37" s="20" t="s">
        <v>1599</v>
      </c>
      <c r="F37" s="302" t="s">
        <v>1600</v>
      </c>
      <c r="G37" s="20">
        <v>0</v>
      </c>
    </row>
    <row r="38" spans="2:7" s="20" customFormat="1" ht="11.25" x14ac:dyDescent="0.2">
      <c r="B38" s="373">
        <v>12</v>
      </c>
      <c r="C38" s="20" t="s">
        <v>1601</v>
      </c>
      <c r="D38" s="20" t="s">
        <v>1602</v>
      </c>
      <c r="E38" s="20" t="s">
        <v>1603</v>
      </c>
      <c r="F38" s="302" t="s">
        <v>1604</v>
      </c>
      <c r="G38" s="302" t="s">
        <v>1605</v>
      </c>
    </row>
    <row r="39" spans="2:7" s="20" customFormat="1" ht="11.25" x14ac:dyDescent="0.2">
      <c r="B39" s="373">
        <v>12</v>
      </c>
      <c r="C39" s="20" t="s">
        <v>1601</v>
      </c>
      <c r="D39" s="20" t="s">
        <v>1606</v>
      </c>
      <c r="E39" s="20" t="s">
        <v>1607</v>
      </c>
      <c r="F39" s="302" t="s">
        <v>1608</v>
      </c>
      <c r="G39" s="302" t="s">
        <v>1609</v>
      </c>
    </row>
    <row r="40" spans="2:7" s="20" customFormat="1" ht="11.25" x14ac:dyDescent="0.2">
      <c r="B40" s="373">
        <v>13</v>
      </c>
      <c r="C40" s="20" t="s">
        <v>1610</v>
      </c>
      <c r="D40" s="20" t="s">
        <v>1611</v>
      </c>
      <c r="E40" s="20" t="s">
        <v>1612</v>
      </c>
      <c r="F40" s="302" t="s">
        <v>1613</v>
      </c>
      <c r="G40" s="302" t="s">
        <v>1614</v>
      </c>
    </row>
    <row r="41" spans="2:7" s="20" customFormat="1" ht="11.25" x14ac:dyDescent="0.2">
      <c r="B41" s="373">
        <v>13</v>
      </c>
      <c r="C41" s="20" t="s">
        <v>1610</v>
      </c>
      <c r="D41" s="20" t="s">
        <v>1615</v>
      </c>
      <c r="E41" s="20" t="s">
        <v>1616</v>
      </c>
      <c r="F41" s="302" t="s">
        <v>1617</v>
      </c>
      <c r="G41" s="302" t="s">
        <v>1613</v>
      </c>
    </row>
    <row r="42" spans="2:7" s="20" customFormat="1" ht="11.25" x14ac:dyDescent="0.2">
      <c r="B42" s="373">
        <v>14</v>
      </c>
      <c r="C42" s="20" t="s">
        <v>1618</v>
      </c>
      <c r="D42" s="20" t="s">
        <v>1606</v>
      </c>
      <c r="E42" s="20" t="s">
        <v>1607</v>
      </c>
      <c r="F42" s="302" t="s">
        <v>1608</v>
      </c>
      <c r="G42" s="302">
        <v>0</v>
      </c>
    </row>
    <row r="43" spans="2:7" s="20" customFormat="1" ht="11.25" x14ac:dyDescent="0.2">
      <c r="B43" s="373">
        <v>15</v>
      </c>
      <c r="C43" s="20" t="s">
        <v>1619</v>
      </c>
      <c r="D43" s="20" t="s">
        <v>1620</v>
      </c>
      <c r="E43" s="20" t="s">
        <v>1621</v>
      </c>
      <c r="F43" s="302" t="s">
        <v>1622</v>
      </c>
      <c r="G43" s="302">
        <v>0</v>
      </c>
    </row>
    <row r="44" spans="2:7" s="20" customFormat="1" ht="11.25" x14ac:dyDescent="0.2">
      <c r="B44" s="373">
        <v>15</v>
      </c>
      <c r="C44" s="20" t="s">
        <v>1619</v>
      </c>
      <c r="D44" s="20" t="s">
        <v>1623</v>
      </c>
      <c r="E44" s="20" t="s">
        <v>1624</v>
      </c>
      <c r="F44" s="302" t="s">
        <v>1625</v>
      </c>
      <c r="G44" s="302" t="s">
        <v>1622</v>
      </c>
    </row>
    <row r="45" spans="2:7" s="20" customFormat="1" ht="11.25" x14ac:dyDescent="0.2">
      <c r="B45" s="373"/>
      <c r="F45" s="302"/>
      <c r="G45" s="302"/>
    </row>
    <row r="46" spans="2:7" s="20" customFormat="1" ht="11.25" x14ac:dyDescent="0.2">
      <c r="B46" s="373"/>
      <c r="F46" s="302"/>
      <c r="G46" s="302"/>
    </row>
    <row r="47" spans="2:7" s="20" customFormat="1" ht="11.25" x14ac:dyDescent="0.2">
      <c r="B47" s="373"/>
      <c r="F47" s="302"/>
      <c r="G47" s="302"/>
    </row>
    <row r="48" spans="2:7" s="20" customFormat="1" ht="11.25" x14ac:dyDescent="0.2">
      <c r="B48" s="373"/>
      <c r="F48" s="302"/>
      <c r="G48" s="302"/>
    </row>
    <row r="49" spans="2:7" s="20" customFormat="1" ht="11.25" x14ac:dyDescent="0.2">
      <c r="B49" s="373"/>
      <c r="F49" s="302"/>
      <c r="G49" s="302"/>
    </row>
    <row r="50" spans="2:7" s="20" customFormat="1" ht="11.25" x14ac:dyDescent="0.2">
      <c r="B50" s="373"/>
      <c r="F50" s="302"/>
      <c r="G50" s="302"/>
    </row>
    <row r="51" spans="2:7" s="20" customFormat="1" ht="11.25" x14ac:dyDescent="0.2">
      <c r="B51" s="373"/>
      <c r="F51" s="302"/>
      <c r="G51" s="302"/>
    </row>
    <row r="52" spans="2:7" x14ac:dyDescent="0.2">
      <c r="B52" s="12"/>
      <c r="F52" s="8"/>
      <c r="G52" s="8"/>
    </row>
  </sheetData>
  <mergeCells count="1">
    <mergeCell ref="B3:E5"/>
  </mergeCells>
  <phoneticPr fontId="9" type="noConversion"/>
  <pageMargins left="0.75" right="0.75" top="1" bottom="1" header="0.5" footer="0.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04">
    <tabColor theme="6" tint="0.59999389629810485"/>
    <pageSetUpPr fitToPage="1"/>
  </sheetPr>
  <dimension ref="A1:BQ131"/>
  <sheetViews>
    <sheetView showGridLines="0" tabSelected="1" zoomScaleNormal="100" workbookViewId="0">
      <pane xSplit="2" ySplit="4" topLeftCell="C85" activePane="bottomRight" state="frozen"/>
      <selection pane="topRight" activeCell="C1" sqref="C1"/>
      <selection pane="bottomLeft" activeCell="A5" sqref="A5"/>
      <selection pane="bottomRight" activeCell="C5" sqref="C5:BN106"/>
    </sheetView>
  </sheetViews>
  <sheetFormatPr defaultColWidth="9.140625" defaultRowHeight="12.75" x14ac:dyDescent="0.2"/>
  <cols>
    <col min="1" max="1" width="31.5703125" style="9" customWidth="1"/>
    <col min="2" max="2" width="13.5703125" style="9" hidden="1" customWidth="1"/>
    <col min="3" max="3" width="11.7109375" style="10" customWidth="1"/>
    <col min="4" max="4" width="11.7109375" style="10" hidden="1" customWidth="1"/>
    <col min="5" max="5" width="13.42578125" style="10" customWidth="1"/>
    <col min="6" max="23" width="11.7109375" style="10" hidden="1" customWidth="1"/>
    <col min="24" max="24" width="12.42578125" style="10" hidden="1" customWidth="1"/>
    <col min="25" max="25" width="13.7109375" style="10" hidden="1" customWidth="1"/>
    <col min="26" max="27" width="11.7109375" style="10" hidden="1" customWidth="1"/>
    <col min="28" max="28" width="13.28515625" style="10" customWidth="1"/>
    <col min="29" max="29" width="14.28515625" style="10" bestFit="1" customWidth="1"/>
    <col min="30" max="30" width="11.42578125" style="10" hidden="1" customWidth="1"/>
    <col min="31" max="31" width="13.140625" style="10" bestFit="1" customWidth="1"/>
    <col min="32" max="32" width="12.28515625" style="10" hidden="1" customWidth="1"/>
    <col min="33" max="33" width="11.85546875" style="10" bestFit="1" customWidth="1"/>
    <col min="34" max="34" width="14.28515625" style="10" bestFit="1" customWidth="1"/>
    <col min="35" max="35" width="13.85546875" style="10" bestFit="1" customWidth="1"/>
    <col min="36" max="36" width="11.7109375" style="10" customWidth="1"/>
    <col min="37" max="37" width="15.7109375" style="10" hidden="1" customWidth="1"/>
    <col min="38" max="41" width="11.7109375" style="10" hidden="1" customWidth="1"/>
    <col min="42" max="42" width="13.42578125" style="10" hidden="1" customWidth="1"/>
    <col min="43" max="43" width="12.5703125" style="10" customWidth="1"/>
    <col min="44" max="45" width="11.7109375" style="10" hidden="1" customWidth="1"/>
    <col min="46" max="46" width="12.28515625" style="10" hidden="1" customWidth="1"/>
    <col min="47" max="47" width="11.7109375" style="11" customWidth="1"/>
    <col min="48" max="48" width="13.5703125" style="10" hidden="1" customWidth="1"/>
    <col min="49" max="49" width="11.140625" style="10" hidden="1" customWidth="1"/>
    <col min="50" max="50" width="12.28515625" style="10" hidden="1" customWidth="1"/>
    <col min="51" max="52" width="11.7109375" style="10" hidden="1" customWidth="1"/>
    <col min="53" max="53" width="13" style="10" hidden="1" customWidth="1"/>
    <col min="54" max="57" width="11.7109375" style="10" hidden="1" customWidth="1"/>
    <col min="58" max="58" width="14" style="10" bestFit="1" customWidth="1"/>
    <col min="59" max="65" width="11.7109375" style="10" hidden="1" customWidth="1"/>
    <col min="66" max="66" width="11.7109375" style="10" customWidth="1"/>
    <col min="67" max="67" width="11.7109375" style="10" hidden="1" customWidth="1"/>
    <col min="68" max="68" width="11.140625" style="9" hidden="1" customWidth="1"/>
    <col min="69" max="16384" width="9.140625" style="2"/>
  </cols>
  <sheetData>
    <row r="1" spans="1:69" customFormat="1" ht="30" customHeight="1" x14ac:dyDescent="0.2">
      <c r="A1" s="2477" t="str">
        <f>HLOOKUP(LangChoice,Definitions_ProdLang!$M$2:$P$30,3)</f>
        <v>Data in physical units</v>
      </c>
      <c r="B1" s="2478"/>
      <c r="C1" s="2479"/>
      <c r="D1" s="2479"/>
      <c r="E1" s="2479"/>
      <c r="F1" s="2479"/>
      <c r="G1" s="2479"/>
      <c r="H1" s="2479"/>
      <c r="I1" s="2479"/>
      <c r="J1" s="2479"/>
      <c r="K1" s="2479"/>
      <c r="L1" s="2479"/>
      <c r="M1" s="2479"/>
      <c r="N1" s="2479"/>
      <c r="O1" s="2479"/>
      <c r="P1" s="2479"/>
      <c r="Q1" s="2479"/>
      <c r="R1" s="2479"/>
      <c r="S1" s="2479"/>
      <c r="T1" s="2479"/>
      <c r="U1" s="2479"/>
      <c r="V1" s="2479"/>
      <c r="W1" s="2479"/>
      <c r="X1" s="2479"/>
      <c r="Y1" s="2479"/>
      <c r="Z1" s="2479"/>
      <c r="AA1" s="2479"/>
      <c r="AB1" s="2479"/>
      <c r="AC1" s="2479"/>
      <c r="AD1" s="2479"/>
      <c r="AE1" s="2479"/>
      <c r="AF1" s="2479"/>
      <c r="AG1" s="2479"/>
      <c r="AH1" s="2479"/>
      <c r="AI1" s="2479"/>
      <c r="AJ1" s="2479"/>
      <c r="AK1" s="2479"/>
      <c r="AL1" s="2479"/>
      <c r="AM1" s="2479"/>
      <c r="AN1" s="2479"/>
      <c r="AO1" s="2479"/>
      <c r="AP1" s="2479"/>
      <c r="AQ1" s="2479"/>
      <c r="AR1" s="2479"/>
      <c r="AS1" s="2479"/>
      <c r="AT1" s="2479"/>
      <c r="AU1" s="2479"/>
      <c r="AV1" s="2479"/>
      <c r="AW1" s="2479"/>
      <c r="AX1" s="2479"/>
      <c r="AY1" s="2479"/>
      <c r="AZ1" s="2479"/>
      <c r="BA1" s="2479"/>
      <c r="BB1" s="2479"/>
      <c r="BC1" s="2479"/>
      <c r="BD1" s="2479"/>
      <c r="BE1" s="2479"/>
      <c r="BF1" s="2479"/>
      <c r="BG1" s="2479"/>
      <c r="BH1" s="2479"/>
      <c r="BI1" s="2479"/>
      <c r="BJ1" s="2479"/>
      <c r="BK1" s="2479"/>
      <c r="BL1" s="2479"/>
      <c r="BM1" s="2479"/>
      <c r="BN1" s="2479"/>
      <c r="BO1" s="2479"/>
      <c r="BP1" s="2480"/>
    </row>
    <row r="2" spans="1:69" ht="12.75" customHeight="1" x14ac:dyDescent="0.25">
      <c r="A2" s="2481"/>
      <c r="B2" s="2482"/>
      <c r="C2" s="2483" t="str">
        <f>'Published Balance'!$B$6&amp; " ("&amp;INDEX(Definitions_ProdLang!$I$3:$K$75,MATCH(C$4,Definitions_ProdLang!$B$3:$B$75,0),MATCH(LangChoice,Definitions_ProdLang!$I$2:$K$2,0)) &amp; ")"</f>
        <v>Coal (kt)</v>
      </c>
      <c r="D2" s="2484"/>
      <c r="E2" s="2484"/>
      <c r="F2" s="2484"/>
      <c r="G2" s="2484"/>
      <c r="H2" s="2484"/>
      <c r="I2" s="2484"/>
      <c r="J2" s="2484"/>
      <c r="K2" s="2484"/>
      <c r="L2" s="2485"/>
      <c r="M2" s="2486" t="str">
        <f>HLOOKUP(LangChoice,Definitions_ProdLang!$M$2:$P$30,2)&amp; " ("&amp;INDEX(Definitions_ProdLang!$I$3:$K$75,MATCH(M$4,Definitions_ProdLang!$B$3:$B$75,0),MATCH(LangChoice,Definitions_ProdLang!$I$2:$K$2,0)) &amp; ")"</f>
        <v>Coal gases (TJ-gross)</v>
      </c>
      <c r="N2" s="2487"/>
      <c r="O2" s="2487"/>
      <c r="P2" s="2487"/>
      <c r="Q2" s="2487"/>
      <c r="R2" s="2488" t="str">
        <f>PEAT&amp;CHAR(10) &amp; "("&amp;INDEX(Definitions_ProdLang!$I$3:$K$75,MATCH(R$4,Definitions_ProdLang!$B$3:$B$75,0),MATCH(LangChoice,Definitions_ProdLang!$I$2:$K$2,0)) &amp; ")"</f>
        <v>Peat
(kt)</v>
      </c>
      <c r="S2" s="2488" t="str">
        <f>PEATPROD&amp;CHAR(10) &amp; "("&amp;INDEX(Definitions_ProdLang!$I$3:$K$75,MATCH(S$4,Definitions_ProdLang!$B$3:$B$75,0),MATCH(LangChoice,Definitions_ProdLang!$I$2:$K$2,0)) &amp; ")"</f>
        <v>Peat products
(kt)</v>
      </c>
      <c r="T2" s="2489" t="str">
        <f>OILSHALE&amp;CHAR(10) &amp; "("&amp;INDEX(Definitions_ProdLang!$I$3:$K$75,MATCH(T$4,Definitions_ProdLang!$B$3:$B$75,0),MATCH(LangChoice,Definitions_ProdLang!$I$2:$K$2,0)) &amp; ")"</f>
        <v>Oil shale and oil sands
(kt)</v>
      </c>
      <c r="U2" s="2490" t="str">
        <f>'Balance Summary'!$AH$4&amp; " ("&amp;INDEX(Definitions_ProdLang!$I$3:$K$75,MATCH(U$4,Definitions_ProdLang!$B$3:$B$75,0),MATCH(LangChoice,Definitions_ProdLang!$I$2:$K$2,0)) &amp; ")"</f>
        <v>Oil (kt)</v>
      </c>
      <c r="V2" s="2490"/>
      <c r="W2" s="2490"/>
      <c r="X2" s="2490"/>
      <c r="Y2" s="2490"/>
      <c r="Z2" s="2491" t="s">
        <v>1626</v>
      </c>
      <c r="AA2" s="2492"/>
      <c r="AB2" s="2492"/>
      <c r="AC2" s="2492"/>
      <c r="AD2" s="2492"/>
      <c r="AE2" s="2492"/>
      <c r="AF2" s="2492"/>
      <c r="AG2" s="2492"/>
      <c r="AH2" s="2492"/>
      <c r="AI2" s="2492"/>
      <c r="AJ2" s="2492"/>
      <c r="AK2" s="2492"/>
      <c r="AL2" s="2493" t="s">
        <v>1627</v>
      </c>
      <c r="AM2" s="2493"/>
      <c r="AN2" s="2493"/>
      <c r="AO2" s="2493"/>
      <c r="AP2" s="2494"/>
      <c r="AQ2" s="2495" t="str">
        <f>NATGAS&amp;CHAR(10) &amp; "("&amp;INDEX(Definitions_ProdLang!$I$3:$K$75,MATCH(AQ$4,Definitions_ProdLang!$B$3:$B$75,0),MATCH(LangChoice,Definitions_ProdLang!$I$2:$K$2,0)) &amp; ")"</f>
        <v>Natural gas
(TJ-gross)</v>
      </c>
      <c r="AR2" s="2496" t="str">
        <f>HLOOKUP(LangChoice,Definitions_ProdLang!$C$2:$E$75,Definitions_ProdLang!$A49+1,FALSE)</f>
        <v>Biofuels and waste</v>
      </c>
      <c r="AS2" s="2497"/>
      <c r="AT2" s="2497"/>
      <c r="AU2" s="2497"/>
      <c r="AV2" s="2497"/>
      <c r="AW2" s="2497"/>
      <c r="AX2" s="2497"/>
      <c r="AY2" s="2497"/>
      <c r="AZ2" s="2497"/>
      <c r="BA2" s="2497"/>
      <c r="BB2" s="2498"/>
      <c r="BC2" s="2499" t="str">
        <f>HLOOKUP(LangChoice,Definitions_ProdLang!$C$2:$E$75,Definitions_ProdLang!$A61+1,FALSE)</f>
        <v>Electricity and heat</v>
      </c>
      <c r="BD2" s="2500"/>
      <c r="BE2" s="2500"/>
      <c r="BF2" s="2500"/>
      <c r="BG2" s="2500"/>
      <c r="BH2" s="2500"/>
      <c r="BI2" s="2500"/>
      <c r="BJ2" s="2500"/>
      <c r="BK2" s="2500"/>
      <c r="BL2" s="2500"/>
      <c r="BM2" s="2500"/>
      <c r="BN2" s="2500"/>
      <c r="BO2" s="2500"/>
      <c r="BP2" s="2501"/>
      <c r="BQ2"/>
    </row>
    <row r="3" spans="1:69" s="545" customFormat="1" ht="65.099999999999994" customHeight="1" x14ac:dyDescent="0.2">
      <c r="A3" s="2502" t="str">
        <f>CountryName &amp;", "&amp;DataYear</f>
        <v>South Africa, 2019</v>
      </c>
      <c r="B3" s="2482"/>
      <c r="C3" s="2503" t="str">
        <f>ANTCOAL</f>
        <v>Anthracite</v>
      </c>
      <c r="D3" s="2504" t="str">
        <f>COKCOAL</f>
        <v>Coking coal</v>
      </c>
      <c r="E3" s="2504" t="str">
        <f>BITCOAL</f>
        <v>Other bituminous coal</v>
      </c>
      <c r="F3" s="2504" t="str">
        <f>SUBCOAL</f>
        <v>Sub-bituminous coal</v>
      </c>
      <c r="G3" s="2504" t="str">
        <f>LIGNITE</f>
        <v>Lignite</v>
      </c>
      <c r="H3" s="2504" t="str">
        <f>PATFUEL</f>
        <v>Patent fuel</v>
      </c>
      <c r="I3" s="2504" t="str">
        <f>OVENCOKE</f>
        <v>Coke oven coke</v>
      </c>
      <c r="J3" s="2504">
        <v>3</v>
      </c>
      <c r="K3" s="2504" t="str">
        <f>COALTAR</f>
        <v>Coal tar</v>
      </c>
      <c r="L3" s="2505" t="str">
        <f>BKB</f>
        <v>BKB (Brown coal briquettes)</v>
      </c>
      <c r="M3" s="2503" t="str">
        <f>GASWKSGS</f>
        <v>Gas works gas</v>
      </c>
      <c r="N3" s="2504" t="str">
        <f>COKEOVGS</f>
        <v>Coke oven gas</v>
      </c>
      <c r="O3" s="2504" t="str">
        <f>BLFURGS</f>
        <v>Blast furnace gas</v>
      </c>
      <c r="P3" s="2504" t="str">
        <f>OGASES</f>
        <v>Other recovered gases</v>
      </c>
      <c r="Q3" s="2505" t="str">
        <f>MANGAS</f>
        <v>Elec/heat output from non-spec. manufactured gases</v>
      </c>
      <c r="R3" s="2506"/>
      <c r="S3" s="2506"/>
      <c r="T3" s="2507"/>
      <c r="U3" s="2508" t="str">
        <f>CRUDEOIL</f>
        <v>Crude oil</v>
      </c>
      <c r="V3" s="2509" t="str">
        <f>NGL</f>
        <v>Natural gas liquids (NGL)</v>
      </c>
      <c r="W3" s="2509" t="str">
        <f>REFFEEDS</f>
        <v>Refinery feedstocks</v>
      </c>
      <c r="X3" s="2509" t="str">
        <f>ADDITIVE</f>
        <v>Additives/ blending components</v>
      </c>
      <c r="Y3" s="2510" t="str">
        <f>NONCRUDE</f>
        <v>Other hydro-carbons</v>
      </c>
      <c r="Z3" s="2511" t="str">
        <f>REFINGAS</f>
        <v>Refinery gas</v>
      </c>
      <c r="AA3" s="2511" t="str">
        <f>ETHANE</f>
        <v>Ethane</v>
      </c>
      <c r="AB3" s="2511" t="str">
        <f>LPG</f>
        <v>Liquefied petroleum gases (LPG)</v>
      </c>
      <c r="AC3" s="2511" t="str">
        <f>NONBIOGASO</f>
        <v>Motor gasoline excl. biofuels</v>
      </c>
      <c r="AD3" s="2511" t="str">
        <f>AVGAS</f>
        <v>Aviation gasoline</v>
      </c>
      <c r="AE3" s="2511" t="str">
        <f>JETGAS</f>
        <v>Gasoline type jet fuel</v>
      </c>
      <c r="AF3" s="2511" t="str">
        <f>NONBIOJETK</f>
        <v>Kerosene type jet fuel excl. biofuels</v>
      </c>
      <c r="AG3" s="2511" t="str">
        <f>OTHKERO</f>
        <v>Other kerosene</v>
      </c>
      <c r="AH3" s="2511" t="str">
        <f>NONBIODIES</f>
        <v>Gas/diesel oil excluding biofuels</v>
      </c>
      <c r="AI3" s="2511" t="str">
        <f>RESFUEL</f>
        <v>Fuel oil</v>
      </c>
      <c r="AJ3" s="2511" t="str">
        <f>NAPHTHA</f>
        <v>Naphtha</v>
      </c>
      <c r="AK3" s="2511" t="str">
        <f>WHITESP</f>
        <v>White spirit &amp; SBP</v>
      </c>
      <c r="AL3" s="2512" t="str">
        <f>LUBRIC</f>
        <v>Lubricants</v>
      </c>
      <c r="AM3" s="2512" t="str">
        <f>BITUMEN</f>
        <v>Bitumen</v>
      </c>
      <c r="AN3" s="2512" t="str">
        <f>PARWAX</f>
        <v>Paraffin waxes</v>
      </c>
      <c r="AO3" s="2512" t="str">
        <f>PETCOKE</f>
        <v>Petroleum coke</v>
      </c>
      <c r="AP3" s="2512" t="str">
        <f>ONONSPEC</f>
        <v>Non-specified oil products</v>
      </c>
      <c r="AQ3" s="2513"/>
      <c r="AR3" s="2514" t="str">
        <f>INDWASTE&amp;CHAR(10) &amp; "("&amp;INDEX(Definitions_ProdLang!$I$3:$K$75,MATCH(AR$4,Definitions_ProdLang!$B$3:$B$75,0),MATCH(LangChoice,Definitions_ProdLang!$I$2:$K$2,0)) &amp; ")"</f>
        <v>Industrial waste
(TJ-net)</v>
      </c>
      <c r="AS3" s="2515" t="str">
        <f>MUNWASTER&amp;CHAR(10) &amp; "("&amp;INDEX(Definitions_ProdLang!$I$3:$K$75,MATCH(AS$4,Definitions_ProdLang!$B$3:$B$75,0),MATCH(LangChoice,Definitions_ProdLang!$I$2:$K$2,0)) &amp; ")"</f>
        <v>Municipal waste (renewable)
(TJ-net)</v>
      </c>
      <c r="AT3" s="2515" t="str">
        <f>MUNWASTEN&amp;CHAR(10) &amp; "("&amp;INDEX(Definitions_ProdLang!$I$3:$K$75,MATCH(AT$4,Definitions_ProdLang!$B$3:$B$75,0),MATCH(LangChoice,Definitions_ProdLang!$I$2:$K$2,0)) &amp; ")"</f>
        <v>Municipal waste (non-renewable)
(TJ-net)</v>
      </c>
      <c r="AU3" s="2515" t="str">
        <f>PRIMSBIO&amp;CHAR(10) &amp; "("&amp;INDEX(Definitions_ProdLang!$I$3:$K$75,MATCH(AU$4,Definitions_ProdLang!$B$3:$B$75,0),MATCH(LangChoice,Definitions_ProdLang!$I$2:$K$2,0)) &amp; ")"</f>
        <v>Primary solid biofuels
(TJ-net)</v>
      </c>
      <c r="AV3" s="2515" t="str">
        <f>BIOGASES&amp;CHAR(10) &amp; "("&amp;INDEX(Definitions_ProdLang!$I$3:$K$75,MATCH(AV$4,Definitions_ProdLang!$B$3:$B$75,0),MATCH(LangChoice,Definitions_ProdLang!$I$2:$K$2,0)) &amp; ")"</f>
        <v>Biogases
(TJ-net)</v>
      </c>
      <c r="AW3" s="2515" t="str">
        <f>BIOGASOL&amp;CHAR(10) &amp; "("&amp;INDEX(Definitions_ProdLang!$I$3:$K$75,MATCH(AW$4,Definitions_ProdLang!$B$3:$B$75,0),MATCH(LangChoice,Definitions_ProdLang!$I$2:$K$2,0)) &amp; ")"</f>
        <v>Biogasoline
(kt)</v>
      </c>
      <c r="AX3" s="2515" t="str">
        <f>BIOJETKERO&amp;CHAR(10) &amp; "("&amp;INDEX(Definitions_ProdLang!$I$3:$K$75,MATCH(AX$4,Definitions_ProdLang!$B$3:$B$75,0),MATCH(LangChoice,Definitions_ProdLang!$I$2:$K$2,0)) &amp; ")"</f>
        <v>Bio jet kerosene
(kt)</v>
      </c>
      <c r="AY3" s="2515" t="str">
        <f>BIODIESEL&amp;CHAR(10) &amp; "("&amp;INDEX(Definitions_ProdLang!$I$3:$K$75,MATCH(AY$4,Definitions_ProdLang!$B$3:$B$75,0),MATCH(LangChoice,Definitions_ProdLang!$I$2:$K$2,0)) &amp; ")"</f>
        <v>Biodiesels
(kt)</v>
      </c>
      <c r="AZ3" s="2515" t="str">
        <f>OBIOLIQ&amp;CHAR(10) &amp; "("&amp;INDEX(Definitions_ProdLang!$I$3:$K$75,MATCH(AZ$4,Definitions_ProdLang!$B$3:$B$75,0),MATCH(LangChoice,Definitions_ProdLang!$I$2:$K$2,0)) &amp; ")"</f>
        <v>Other liquid biofuels
(kt)</v>
      </c>
      <c r="BA3" s="2515" t="str">
        <f>RENEWNS&amp;CHAR(10) &amp; "("&amp;INDEX(Definitions_ProdLang!$I$3:$K$75,MATCH(BA$4,Definitions_ProdLang!$B$3:$B$75,0),MATCH(LangChoice,Definitions_ProdLang!$I$2:$K$2,0)) &amp; ")"</f>
        <v>Non-specified primary biofuels/ waste
(TJ-net)</v>
      </c>
      <c r="BB3" s="2515" t="str">
        <f>CHARCOAL&amp;CHAR(10) &amp; "("&amp;INDEX(Definitions_ProdLang!$I$3:$K$75,MATCH(BB$4,Definitions_ProdLang!$B$3:$B$75,0),MATCH(LangChoice,Definitions_ProdLang!$I$2:$K$2,0)) &amp; ")"</f>
        <v>Charcoal
(kt)</v>
      </c>
      <c r="BC3" s="2516" t="str">
        <f>NUCLEAR&amp;CHAR(10) &amp; "("&amp;INDEX(Definitions_ProdLang!$I$3:$K$75,MATCH(BC$4,Definitions_ProdLang!$B$3:$B$75,0),MATCH(LangChoice,Definitions_ProdLang!$I$2:$K$2,0)) &amp; ")"</f>
        <v>Nuclear
(GWh)</v>
      </c>
      <c r="BD3" s="2517" t="str">
        <f>HYDRO&amp;CHAR(10) &amp; "("&amp;INDEX(Definitions_ProdLang!$I$3:$K$75,MATCH(BD$4,Definitions_ProdLang!$B$3:$B$75,0),MATCH(LangChoice,Definitions_ProdLang!$I$2:$K$2,0)) &amp; ")"</f>
        <v>Hydro
(GWh)</v>
      </c>
      <c r="BE3" s="2517" t="str">
        <f>GEOTHERM&amp;CHAR(10) &amp; "("&amp;INDEX(Definitions_ProdLang!$I$3:$K$75,MATCH(BE$4,Definitions_ProdLang!$B$3:$B$75,0),MATCH(LangChoice,Definitions_ProdLang!$I$2:$K$2,0)) &amp; ")"</f>
        <v>Geothermal
(TJ)</v>
      </c>
      <c r="BF3" s="2517" t="str">
        <f>SOLARPV&amp;CHAR(10) &amp; "("&amp;INDEX(Definitions_ProdLang!$I$3:$K$75,MATCH(BF$4,Definitions_ProdLang!$B$3:$B$75,0),MATCH(LangChoice,Definitions_ProdLang!$I$2:$K$2,0)) &amp; ")"</f>
        <v>Solar photovoltaic
(GWh)</v>
      </c>
      <c r="BG3" s="2517" t="str">
        <f>SOLARTH&amp;CHAR(10) &amp; "("&amp;INDEX(Definitions_ProdLang!$I$3:$K$75,MATCH(BG$4,Definitions_ProdLang!$B$3:$B$75,0),MATCH(LangChoice,Definitions_ProdLang!$I$2:$K$2,0)) &amp; ")"</f>
        <v>Solar thermal
(TJ)</v>
      </c>
      <c r="BH3" s="2517" t="str">
        <f>TIDE&amp;CHAR(10) &amp; "("&amp;INDEX(Definitions_ProdLang!$I$3:$K$75,MATCH(BH$4,Definitions_ProdLang!$B$3:$B$75,0),MATCH(LangChoice,Definitions_ProdLang!$I$2:$K$2,0)) &amp; ")"</f>
        <v>Tide/ wave/ ocean
(GWh)</v>
      </c>
      <c r="BI3" s="2517" t="str">
        <f>WIND&amp;CHAR(10) &amp; "("&amp;INDEX(Definitions_ProdLang!$I$3:$K$75,MATCH(BI$4,Definitions_ProdLang!$B$3:$B$75,0),MATCH(LangChoice,Definitions_ProdLang!$I$2:$K$2,0)) &amp; ")"</f>
        <v>Wind
(GWh)</v>
      </c>
      <c r="BJ3" s="2517" t="str">
        <f>HEATPUMP&amp;CHAR(10) &amp; "("&amp;INDEX(Definitions_ProdLang!$I$3:$K$75,MATCH(BJ$4,Definitions_ProdLang!$B$3:$B$75,0),MATCH(LangChoice,Definitions_ProdLang!$I$2:$K$2,0)) &amp; ")"</f>
        <v>Heat pumps
(TJ)</v>
      </c>
      <c r="BK3" s="2517" t="str">
        <f>BOILER&amp;CHAR(10) &amp; "("&amp;INDEX(Definitions_ProdLang!$I$3:$K$75,MATCH(BK$4,Definitions_ProdLang!$B$3:$B$75,0),MATCH(LangChoice,Definitions_ProdLang!$I$2:$K$2,0)) &amp; ")"</f>
        <v>Electric boilers
(TJ)</v>
      </c>
      <c r="BL3" s="2517" t="str">
        <f>CHEMHEAT&amp;CHAR(10) &amp; "("&amp;INDEX(Definitions_ProdLang!$I$3:$K$75,MATCH(BL$4,Definitions_ProdLang!$B$3:$B$75,0),MATCH(LangChoice,Definitions_ProdLang!$I$2:$K$2,0)) &amp; ")"</f>
        <v>Heat from chemical sources
(TJ)</v>
      </c>
      <c r="BM3" s="2517" t="str">
        <f>OTHER&amp;CHAR(10) &amp; "("&amp;INDEX(Definitions_ProdLang!$I$3:$K$75,MATCH(BM$4,Definitions_ProdLang!$B$3:$B$75,0),MATCH(LangChoice,Definitions_ProdLang!$I$2:$K$2,0)) &amp; ")"</f>
        <v>Other sources
(GWh)</v>
      </c>
      <c r="BN3" s="2517" t="str">
        <f>ELECTR&amp;CHAR(10) &amp; "("&amp;INDEX(Definitions_ProdLang!$I$3:$K$75,MATCH(BN$4,Definitions_ProdLang!$B$3:$B$75,0),MATCH(LangChoice,Definitions_ProdLang!$I$2:$K$2,0)) &amp; ")"</f>
        <v>Electricity
(GWh)</v>
      </c>
      <c r="BO3" s="2517" t="str">
        <f>HEAT&amp;CHAR(10) &amp; "("&amp;INDEX(Definitions_ProdLang!$I$3:$K$75,MATCH(BO$4,Definitions_ProdLang!$B$3:$B$75,0),MATCH(LangChoice,Definitions_ProdLang!$I$2:$K$2,0)) &amp; ")"</f>
        <v>Heat
(TJ)</v>
      </c>
      <c r="BP3" s="2518" t="str">
        <f>HEATNS&amp; " ("&amp;INDEX(Definitions_ProdLang!$I$3:$K$75,MATCH(BP$4,Definitions_ProdLang!$B$3:$B$75,0),MATCH(LangChoice,Definitions_ProdLang!$I$2:$K$2,0)) &amp; ")"</f>
        <v>Heat output from non-specified combustible fuels (TJ)</v>
      </c>
      <c r="BQ3"/>
    </row>
    <row r="4" spans="1:69" s="34" customFormat="1" ht="14.25" x14ac:dyDescent="0.2">
      <c r="A4" s="2519"/>
      <c r="B4" s="2520" t="s">
        <v>1628</v>
      </c>
      <c r="C4" s="2521" t="s">
        <v>325</v>
      </c>
      <c r="D4" s="2521" t="s">
        <v>338</v>
      </c>
      <c r="E4" s="2521" t="s">
        <v>348</v>
      </c>
      <c r="F4" s="2521" t="s">
        <v>358</v>
      </c>
      <c r="G4" s="2521" t="s">
        <v>368</v>
      </c>
      <c r="H4" s="2521" t="s">
        <v>377</v>
      </c>
      <c r="I4" s="2521" t="s">
        <v>387</v>
      </c>
      <c r="J4" s="2521" t="s">
        <v>397</v>
      </c>
      <c r="K4" s="2521" t="s">
        <v>407</v>
      </c>
      <c r="L4" s="2521" t="s">
        <v>418</v>
      </c>
      <c r="M4" s="2521" t="s">
        <v>428</v>
      </c>
      <c r="N4" s="2521" t="s">
        <v>441</v>
      </c>
      <c r="O4" s="2521" t="s">
        <v>448</v>
      </c>
      <c r="P4" s="2521" t="s">
        <v>455</v>
      </c>
      <c r="Q4" s="2521" t="s">
        <v>462</v>
      </c>
      <c r="R4" s="2521" t="s">
        <v>469</v>
      </c>
      <c r="S4" s="2521" t="s">
        <v>476</v>
      </c>
      <c r="T4" s="2521" t="s">
        <v>483</v>
      </c>
      <c r="U4" s="973" t="s">
        <v>493</v>
      </c>
      <c r="V4" s="973" t="s">
        <v>500</v>
      </c>
      <c r="W4" s="973" t="s">
        <v>507</v>
      </c>
      <c r="X4" s="973" t="s">
        <v>514</v>
      </c>
      <c r="Y4" s="973" t="s">
        <v>521</v>
      </c>
      <c r="Z4" s="973" t="s">
        <v>531</v>
      </c>
      <c r="AA4" s="973" t="s">
        <v>538</v>
      </c>
      <c r="AB4" s="973" t="s">
        <v>545</v>
      </c>
      <c r="AC4" s="973" t="s">
        <v>552</v>
      </c>
      <c r="AD4" s="973" t="s">
        <v>559</v>
      </c>
      <c r="AE4" s="973" t="s">
        <v>566</v>
      </c>
      <c r="AF4" s="973" t="s">
        <v>573</v>
      </c>
      <c r="AG4" s="973" t="s">
        <v>580</v>
      </c>
      <c r="AH4" s="973" t="s">
        <v>587</v>
      </c>
      <c r="AI4" s="973" t="s">
        <v>594</v>
      </c>
      <c r="AJ4" s="973" t="s">
        <v>601</v>
      </c>
      <c r="AK4" s="973" t="s">
        <v>608</v>
      </c>
      <c r="AL4" s="973" t="s">
        <v>615</v>
      </c>
      <c r="AM4" s="973" t="s">
        <v>622</v>
      </c>
      <c r="AN4" s="973" t="s">
        <v>629</v>
      </c>
      <c r="AO4" s="973" t="s">
        <v>636</v>
      </c>
      <c r="AP4" s="973" t="s">
        <v>643</v>
      </c>
      <c r="AQ4" s="2522" t="s">
        <v>653</v>
      </c>
      <c r="AR4" s="973" t="s">
        <v>659</v>
      </c>
      <c r="AS4" s="973" t="s">
        <v>669</v>
      </c>
      <c r="AT4" s="973" t="s">
        <v>676</v>
      </c>
      <c r="AU4" s="973" t="s">
        <v>682</v>
      </c>
      <c r="AV4" s="973" t="s">
        <v>689</v>
      </c>
      <c r="AW4" s="973" t="s">
        <v>696</v>
      </c>
      <c r="AX4" s="973" t="s">
        <v>703</v>
      </c>
      <c r="AY4" s="973" t="s">
        <v>710</v>
      </c>
      <c r="AZ4" s="973" t="s">
        <v>717</v>
      </c>
      <c r="BA4" s="973" t="s">
        <v>724</v>
      </c>
      <c r="BB4" s="2523" t="s">
        <v>731</v>
      </c>
      <c r="BC4" s="973" t="s">
        <v>740</v>
      </c>
      <c r="BD4" s="973" t="s">
        <v>750</v>
      </c>
      <c r="BE4" s="973" t="s">
        <v>757</v>
      </c>
      <c r="BF4" s="973" t="s">
        <v>767</v>
      </c>
      <c r="BG4" s="973" t="s">
        <v>774</v>
      </c>
      <c r="BH4" s="973" t="s">
        <v>781</v>
      </c>
      <c r="BI4" s="973" t="s">
        <v>788</v>
      </c>
      <c r="BJ4" s="973" t="s">
        <v>795</v>
      </c>
      <c r="BK4" s="973" t="s">
        <v>802</v>
      </c>
      <c r="BL4" s="973" t="s">
        <v>809</v>
      </c>
      <c r="BM4" s="973" t="s">
        <v>816</v>
      </c>
      <c r="BN4" s="973" t="s">
        <v>823</v>
      </c>
      <c r="BO4" s="973" t="s">
        <v>830</v>
      </c>
      <c r="BP4" s="2524" t="s">
        <v>837</v>
      </c>
    </row>
    <row r="5" spans="1:69" s="20" customFormat="1" ht="15" x14ac:dyDescent="0.25">
      <c r="A5" s="2525" t="str">
        <f>INDPROD</f>
        <v>Production</v>
      </c>
      <c r="B5" s="2526" t="s">
        <v>852</v>
      </c>
      <c r="C5" s="2558">
        <v>3077.84</v>
      </c>
      <c r="D5" s="2558">
        <v>2370.4490000000001</v>
      </c>
      <c r="E5" s="2558">
        <v>248962.432</v>
      </c>
      <c r="F5" s="2558">
        <v>0</v>
      </c>
      <c r="G5" s="2558">
        <v>0</v>
      </c>
      <c r="H5" s="2558">
        <v>0</v>
      </c>
      <c r="I5" s="2558">
        <v>1249.693</v>
      </c>
      <c r="J5" s="2558">
        <v>0</v>
      </c>
      <c r="K5" s="2558">
        <v>0</v>
      </c>
      <c r="L5" s="2558">
        <v>0</v>
      </c>
      <c r="M5" s="2558">
        <v>0</v>
      </c>
      <c r="N5" s="2558">
        <v>0</v>
      </c>
      <c r="O5" s="2558">
        <v>0</v>
      </c>
      <c r="P5" s="2558">
        <v>0</v>
      </c>
      <c r="Q5" s="2558">
        <v>0</v>
      </c>
      <c r="R5" s="2558">
        <v>0</v>
      </c>
      <c r="S5" s="2558">
        <v>0</v>
      </c>
      <c r="T5" s="2558">
        <v>0</v>
      </c>
      <c r="U5" s="2559">
        <v>21.77</v>
      </c>
      <c r="V5" s="2559">
        <v>393.02</v>
      </c>
      <c r="W5" s="2559"/>
      <c r="X5" s="2559"/>
      <c r="Y5" s="2559"/>
      <c r="Z5" s="2559">
        <v>270.18732421875001</v>
      </c>
      <c r="AA5" s="2559"/>
      <c r="AB5" s="2559">
        <v>667364.6875</v>
      </c>
      <c r="AC5" s="2559">
        <v>7398757.5420000004</v>
      </c>
      <c r="AD5" s="2559">
        <v>636168.4375</v>
      </c>
      <c r="AE5" s="2559">
        <v>605744</v>
      </c>
      <c r="AF5" s="2559">
        <v>1089709.875</v>
      </c>
      <c r="AG5" s="2559">
        <v>463187.40625</v>
      </c>
      <c r="AH5" s="2559">
        <v>5916513.3228000002</v>
      </c>
      <c r="AI5" s="2559">
        <v>2940065</v>
      </c>
      <c r="AJ5" s="2559">
        <v>297276.0625</v>
      </c>
      <c r="AK5" s="2559">
        <v>21076.435546875</v>
      </c>
      <c r="AL5" s="2560">
        <f>476300/1000</f>
        <v>476.3</v>
      </c>
      <c r="AM5" s="2560">
        <f>332040/1000</f>
        <v>332.04</v>
      </c>
      <c r="AN5" s="2560">
        <f>295842.625/1000</f>
        <v>295.842625</v>
      </c>
      <c r="AO5" s="2560">
        <f>47810/1000</f>
        <v>47.81</v>
      </c>
      <c r="AP5" s="2560">
        <f>875550/1000</f>
        <v>875.55</v>
      </c>
      <c r="AQ5" s="2561">
        <v>23069.509765625</v>
      </c>
      <c r="AR5" s="2562">
        <v>0</v>
      </c>
      <c r="AS5" s="2562">
        <v>0</v>
      </c>
      <c r="AT5" s="2562">
        <v>0</v>
      </c>
      <c r="AU5" s="2562">
        <v>0</v>
      </c>
      <c r="AV5" s="2562">
        <v>0</v>
      </c>
      <c r="AW5" s="2562">
        <v>0</v>
      </c>
      <c r="AX5" s="2562">
        <v>0</v>
      </c>
      <c r="AY5" s="2562">
        <v>0</v>
      </c>
      <c r="AZ5" s="2562">
        <v>0</v>
      </c>
      <c r="BA5" s="2562">
        <v>0</v>
      </c>
      <c r="BB5" s="2562">
        <v>0</v>
      </c>
      <c r="BC5" s="2563">
        <v>43073.39</v>
      </c>
      <c r="BD5" s="2563">
        <v>781.8</v>
      </c>
      <c r="BE5" s="2564">
        <v>0</v>
      </c>
      <c r="BF5" s="2563">
        <v>3114.45</v>
      </c>
      <c r="BG5" s="2564">
        <v>0</v>
      </c>
      <c r="BH5" s="2565">
        <v>0</v>
      </c>
      <c r="BI5" s="2563">
        <v>6691.02</v>
      </c>
      <c r="BJ5" s="2565">
        <v>0</v>
      </c>
      <c r="BK5" s="2565">
        <v>0</v>
      </c>
      <c r="BL5" s="2565">
        <v>0</v>
      </c>
      <c r="BM5" s="2565">
        <v>0</v>
      </c>
      <c r="BN5" s="2566">
        <v>226032.03200000001</v>
      </c>
      <c r="BO5" s="2527">
        <v>0</v>
      </c>
      <c r="BP5" s="2529">
        <v>0</v>
      </c>
    </row>
    <row r="6" spans="1:69" s="20" customFormat="1" ht="15" x14ac:dyDescent="0.25">
      <c r="A6" s="2530" t="str">
        <f>HLOOKUP(LangChoice,Definitions_FlowLang!$C$2:$E$112,MATCH($B6,Definitions_FlowLang!$B$2:$B$112,0),FALSE)</f>
        <v xml:space="preserve">From other sources - coal                    </v>
      </c>
      <c r="B6" s="2531" t="s">
        <v>863</v>
      </c>
      <c r="C6" s="2567">
        <v>0</v>
      </c>
      <c r="D6" s="2567">
        <v>0</v>
      </c>
      <c r="E6" s="2567">
        <v>0</v>
      </c>
      <c r="F6" s="2567">
        <v>0</v>
      </c>
      <c r="G6" s="2567">
        <v>0</v>
      </c>
      <c r="H6" s="2565">
        <v>0</v>
      </c>
      <c r="I6" s="2565"/>
      <c r="J6" s="2565">
        <v>0</v>
      </c>
      <c r="K6" s="2565">
        <v>0</v>
      </c>
      <c r="L6" s="2565">
        <v>0</v>
      </c>
      <c r="M6" s="2565">
        <v>21791</v>
      </c>
      <c r="N6" s="2568">
        <v>5439</v>
      </c>
      <c r="O6" s="2568">
        <v>11129</v>
      </c>
      <c r="P6" s="2565">
        <v>0</v>
      </c>
      <c r="Q6" s="2565">
        <v>0</v>
      </c>
      <c r="R6" s="2565">
        <v>0</v>
      </c>
      <c r="S6" s="2565">
        <v>0</v>
      </c>
      <c r="T6" s="2565">
        <v>0</v>
      </c>
      <c r="U6" s="2559"/>
      <c r="V6" s="2559"/>
      <c r="W6" s="2559"/>
      <c r="X6" s="2559"/>
      <c r="Y6" s="2559">
        <v>3699</v>
      </c>
      <c r="Z6" s="2559">
        <v>0</v>
      </c>
      <c r="AA6" s="2559"/>
      <c r="AB6" s="2559"/>
      <c r="AC6" s="2559">
        <v>2249391.8909999998</v>
      </c>
      <c r="AD6" s="2559"/>
      <c r="AE6" s="2559"/>
      <c r="AF6" s="2559"/>
      <c r="AG6" s="2559"/>
      <c r="AH6" s="2559">
        <v>2338448.2749999999</v>
      </c>
      <c r="AI6" s="2559"/>
      <c r="AJ6" s="2559"/>
      <c r="AK6" s="2559"/>
      <c r="AL6" s="2560"/>
      <c r="AM6" s="2560"/>
      <c r="AN6" s="2560"/>
      <c r="AO6" s="2560"/>
      <c r="AP6" s="2560"/>
      <c r="AQ6" s="2561">
        <v>0</v>
      </c>
      <c r="AR6" s="2565">
        <v>0</v>
      </c>
      <c r="AS6" s="2565">
        <v>0</v>
      </c>
      <c r="AT6" s="2565">
        <v>0</v>
      </c>
      <c r="AU6" s="2565">
        <v>0</v>
      </c>
      <c r="AV6" s="2565">
        <v>0</v>
      </c>
      <c r="AW6" s="2565">
        <v>0</v>
      </c>
      <c r="AX6" s="2565">
        <v>0</v>
      </c>
      <c r="AY6" s="2565">
        <v>0</v>
      </c>
      <c r="AZ6" s="2565">
        <v>0</v>
      </c>
      <c r="BA6" s="2565">
        <v>0</v>
      </c>
      <c r="BB6" s="2565">
        <v>0</v>
      </c>
      <c r="BC6" s="2565">
        <v>0</v>
      </c>
      <c r="BD6" s="2565">
        <v>0</v>
      </c>
      <c r="BE6" s="2564">
        <v>0</v>
      </c>
      <c r="BF6" s="2565">
        <v>0</v>
      </c>
      <c r="BG6" s="2564">
        <v>0</v>
      </c>
      <c r="BH6" s="2565">
        <v>0</v>
      </c>
      <c r="BI6" s="2565">
        <v>0</v>
      </c>
      <c r="BJ6" s="2565">
        <v>0</v>
      </c>
      <c r="BK6" s="2565">
        <v>0</v>
      </c>
      <c r="BL6" s="2565">
        <v>0</v>
      </c>
      <c r="BM6" s="2565">
        <v>0</v>
      </c>
      <c r="BN6" s="2564">
        <v>0</v>
      </c>
      <c r="BO6" s="2527">
        <v>0</v>
      </c>
      <c r="BP6" s="2532">
        <v>0</v>
      </c>
    </row>
    <row r="7" spans="1:69" s="20" customFormat="1" ht="14.25" x14ac:dyDescent="0.2">
      <c r="A7" s="2530" t="str">
        <f>HLOOKUP(LangChoice,Definitions_FlowLang!$C$2:$E$112,MATCH($B7,Definitions_FlowLang!$B$2:$B$112,0),FALSE)</f>
        <v xml:space="preserve">From other sources - natural gas             </v>
      </c>
      <c r="B7" s="2531" t="s">
        <v>866</v>
      </c>
      <c r="C7" s="2565">
        <v>0</v>
      </c>
      <c r="D7" s="2565">
        <v>0</v>
      </c>
      <c r="E7" s="2565">
        <v>0</v>
      </c>
      <c r="F7" s="2567">
        <v>0</v>
      </c>
      <c r="G7" s="2567">
        <v>0</v>
      </c>
      <c r="H7" s="2567">
        <v>0</v>
      </c>
      <c r="I7" s="2567">
        <v>0</v>
      </c>
      <c r="J7" s="2567">
        <v>0</v>
      </c>
      <c r="K7" s="2567">
        <v>0</v>
      </c>
      <c r="L7" s="2567">
        <v>0</v>
      </c>
      <c r="M7" s="2567">
        <v>0</v>
      </c>
      <c r="N7" s="2567">
        <v>0</v>
      </c>
      <c r="O7" s="2567">
        <v>0</v>
      </c>
      <c r="P7" s="2567">
        <v>0</v>
      </c>
      <c r="Q7" s="2567">
        <v>0</v>
      </c>
      <c r="R7" s="2567">
        <v>0</v>
      </c>
      <c r="S7" s="2567">
        <v>0</v>
      </c>
      <c r="T7" s="2567">
        <v>0</v>
      </c>
      <c r="U7" s="2559"/>
      <c r="V7" s="2559"/>
      <c r="W7" s="2559"/>
      <c r="X7" s="2559"/>
      <c r="Y7" s="2559">
        <v>1325.87</v>
      </c>
      <c r="Z7" s="2559">
        <v>0</v>
      </c>
      <c r="AA7" s="2559"/>
      <c r="AB7" s="2559"/>
      <c r="AC7" s="2559">
        <v>776317.56700000004</v>
      </c>
      <c r="AD7" s="2559"/>
      <c r="AE7" s="2559"/>
      <c r="AF7" s="2559">
        <v>177307.4074</v>
      </c>
      <c r="AG7" s="2559"/>
      <c r="AH7" s="2559">
        <v>825395.40220000001</v>
      </c>
      <c r="AI7" s="2559"/>
      <c r="AJ7" s="2559"/>
      <c r="AK7" s="2559"/>
      <c r="AL7" s="2560"/>
      <c r="AM7" s="2560"/>
      <c r="AN7" s="2560"/>
      <c r="AO7" s="2560"/>
      <c r="AP7" s="2560"/>
      <c r="AQ7" s="2569">
        <v>0</v>
      </c>
      <c r="AR7" s="2562">
        <v>0</v>
      </c>
      <c r="AS7" s="2562">
        <v>0</v>
      </c>
      <c r="AT7" s="2562">
        <v>0</v>
      </c>
      <c r="AU7" s="2562">
        <v>0</v>
      </c>
      <c r="AV7" s="2562">
        <v>0</v>
      </c>
      <c r="AW7" s="2562">
        <v>0</v>
      </c>
      <c r="AX7" s="2562">
        <v>0</v>
      </c>
      <c r="AY7" s="2562">
        <v>0</v>
      </c>
      <c r="AZ7" s="2562">
        <v>0</v>
      </c>
      <c r="BA7" s="2562">
        <v>0</v>
      </c>
      <c r="BB7" s="2562">
        <v>0</v>
      </c>
      <c r="BC7" s="2565">
        <v>0</v>
      </c>
      <c r="BD7" s="2565">
        <v>0</v>
      </c>
      <c r="BE7" s="2564">
        <v>0</v>
      </c>
      <c r="BF7" s="2565">
        <v>0</v>
      </c>
      <c r="BG7" s="2564">
        <v>0</v>
      </c>
      <c r="BH7" s="2565">
        <v>0</v>
      </c>
      <c r="BI7" s="2565">
        <v>0</v>
      </c>
      <c r="BJ7" s="2565">
        <v>0</v>
      </c>
      <c r="BK7" s="2565">
        <v>0</v>
      </c>
      <c r="BL7" s="2565">
        <v>0</v>
      </c>
      <c r="BM7" s="2565">
        <v>0</v>
      </c>
      <c r="BN7" s="2564">
        <v>0</v>
      </c>
      <c r="BO7" s="2527">
        <v>0</v>
      </c>
      <c r="BP7" s="2532">
        <v>0</v>
      </c>
    </row>
    <row r="8" spans="1:69" s="20" customFormat="1" ht="14.25" x14ac:dyDescent="0.2">
      <c r="A8" s="2530" t="str">
        <f>HLOOKUP(LangChoice,Definitions_FlowLang!$C$2:$E$112,MATCH($B8,Definitions_FlowLang!$B$2:$B$112,0),FALSE)</f>
        <v xml:space="preserve">From other sources - oil products            </v>
      </c>
      <c r="B8" s="2531" t="s">
        <v>869</v>
      </c>
      <c r="C8" s="2565">
        <v>0</v>
      </c>
      <c r="D8" s="2565">
        <v>0</v>
      </c>
      <c r="E8" s="2565">
        <v>0</v>
      </c>
      <c r="F8" s="2567">
        <v>0</v>
      </c>
      <c r="G8" s="2567">
        <v>0</v>
      </c>
      <c r="H8" s="2567">
        <v>0</v>
      </c>
      <c r="I8" s="2567">
        <v>0</v>
      </c>
      <c r="J8" s="2567">
        <v>0</v>
      </c>
      <c r="K8" s="2567">
        <v>0</v>
      </c>
      <c r="L8" s="2567">
        <v>0</v>
      </c>
      <c r="M8" s="2567">
        <v>0</v>
      </c>
      <c r="N8" s="2567">
        <v>0</v>
      </c>
      <c r="O8" s="2567">
        <v>0</v>
      </c>
      <c r="P8" s="2567">
        <v>0</v>
      </c>
      <c r="Q8" s="2567">
        <v>0</v>
      </c>
      <c r="R8" s="2567">
        <v>0</v>
      </c>
      <c r="S8" s="2567">
        <v>0</v>
      </c>
      <c r="T8" s="2567">
        <v>0</v>
      </c>
      <c r="U8" s="2559"/>
      <c r="V8" s="2559"/>
      <c r="W8" s="2559"/>
      <c r="X8" s="2559"/>
      <c r="Y8" s="2559"/>
      <c r="Z8" s="2559">
        <v>0</v>
      </c>
      <c r="AA8" s="2559"/>
      <c r="AB8" s="2559"/>
      <c r="AC8" s="2559"/>
      <c r="AD8" s="2559"/>
      <c r="AE8" s="2559"/>
      <c r="AF8" s="2559"/>
      <c r="AG8" s="2559"/>
      <c r="AH8" s="2559"/>
      <c r="AI8" s="2559"/>
      <c r="AJ8" s="2559"/>
      <c r="AK8" s="2559"/>
      <c r="AL8" s="2560"/>
      <c r="AM8" s="2560"/>
      <c r="AN8" s="2560"/>
      <c r="AO8" s="2560"/>
      <c r="AP8" s="2560"/>
      <c r="AQ8" s="2569">
        <v>0</v>
      </c>
      <c r="AR8" s="2562">
        <v>0</v>
      </c>
      <c r="AS8" s="2562">
        <v>0</v>
      </c>
      <c r="AT8" s="2562">
        <v>0</v>
      </c>
      <c r="AU8" s="2562">
        <v>0</v>
      </c>
      <c r="AV8" s="2562">
        <v>0</v>
      </c>
      <c r="AW8" s="2562">
        <v>0</v>
      </c>
      <c r="AX8" s="2562">
        <v>0</v>
      </c>
      <c r="AY8" s="2562">
        <v>0</v>
      </c>
      <c r="AZ8" s="2562">
        <v>0</v>
      </c>
      <c r="BA8" s="2562">
        <v>0</v>
      </c>
      <c r="BB8" s="2562">
        <v>0</v>
      </c>
      <c r="BC8" s="2565">
        <v>0</v>
      </c>
      <c r="BD8" s="2565">
        <v>0</v>
      </c>
      <c r="BE8" s="2564">
        <v>0</v>
      </c>
      <c r="BF8" s="2565">
        <v>0</v>
      </c>
      <c r="BG8" s="2564">
        <v>0</v>
      </c>
      <c r="BH8" s="2565">
        <v>0</v>
      </c>
      <c r="BI8" s="2565">
        <v>0</v>
      </c>
      <c r="BJ8" s="2565">
        <v>0</v>
      </c>
      <c r="BK8" s="2565">
        <v>0</v>
      </c>
      <c r="BL8" s="2565">
        <v>0</v>
      </c>
      <c r="BM8" s="2565">
        <v>0</v>
      </c>
      <c r="BN8" s="2564">
        <v>0</v>
      </c>
      <c r="BO8" s="2527">
        <v>0</v>
      </c>
      <c r="BP8" s="2532">
        <v>0</v>
      </c>
    </row>
    <row r="9" spans="1:69" s="20" customFormat="1" ht="14.25" x14ac:dyDescent="0.2">
      <c r="A9" s="2530" t="str">
        <f>HLOOKUP(LangChoice,Definitions_FlowLang!$C$2:$E$112,MATCH($B9,Definitions_FlowLang!$B$2:$B$112,0),FALSE)</f>
        <v xml:space="preserve">From other sources - renewables              </v>
      </c>
      <c r="B9" s="2531" t="s">
        <v>872</v>
      </c>
      <c r="C9" s="2565">
        <v>0</v>
      </c>
      <c r="D9" s="2565">
        <v>0</v>
      </c>
      <c r="E9" s="2565">
        <v>0</v>
      </c>
      <c r="F9" s="2567">
        <v>0</v>
      </c>
      <c r="G9" s="2567">
        <v>0</v>
      </c>
      <c r="H9" s="2567">
        <v>0</v>
      </c>
      <c r="I9" s="2567">
        <v>0</v>
      </c>
      <c r="J9" s="2567">
        <v>0</v>
      </c>
      <c r="K9" s="2567">
        <v>0</v>
      </c>
      <c r="L9" s="2567">
        <v>0</v>
      </c>
      <c r="M9" s="2567">
        <v>0</v>
      </c>
      <c r="N9" s="2567">
        <v>0</v>
      </c>
      <c r="O9" s="2567">
        <v>0</v>
      </c>
      <c r="P9" s="2567">
        <v>0</v>
      </c>
      <c r="Q9" s="2567">
        <v>0</v>
      </c>
      <c r="R9" s="2567">
        <v>0</v>
      </c>
      <c r="S9" s="2567">
        <v>0</v>
      </c>
      <c r="T9" s="2567">
        <v>0</v>
      </c>
      <c r="U9" s="2559"/>
      <c r="V9" s="2559"/>
      <c r="W9" s="2559"/>
      <c r="X9" s="2559"/>
      <c r="Y9" s="2559" t="s">
        <v>1629</v>
      </c>
      <c r="Z9" s="2559">
        <v>0</v>
      </c>
      <c r="AA9" s="2559"/>
      <c r="AB9" s="2559"/>
      <c r="AC9" s="2559"/>
      <c r="AD9" s="2559"/>
      <c r="AE9" s="2559"/>
      <c r="AF9" s="2559"/>
      <c r="AG9" s="2559"/>
      <c r="AH9" s="2559"/>
      <c r="AI9" s="2559"/>
      <c r="AJ9" s="2559"/>
      <c r="AK9" s="2559"/>
      <c r="AL9" s="2560"/>
      <c r="AM9" s="2560"/>
      <c r="AN9" s="2560"/>
      <c r="AO9" s="2560"/>
      <c r="AP9" s="2560"/>
      <c r="AQ9" s="2569">
        <v>0</v>
      </c>
      <c r="AR9" s="2562">
        <v>0</v>
      </c>
      <c r="AS9" s="2562">
        <v>0</v>
      </c>
      <c r="AT9" s="2562">
        <v>0</v>
      </c>
      <c r="AU9" s="2570">
        <v>651724.68999999994</v>
      </c>
      <c r="AV9" s="2562">
        <v>6.03</v>
      </c>
      <c r="AW9" s="2562">
        <v>0</v>
      </c>
      <c r="AX9" s="2562">
        <v>0</v>
      </c>
      <c r="AY9" s="2562">
        <v>0</v>
      </c>
      <c r="AZ9" s="2562">
        <v>0</v>
      </c>
      <c r="BA9" s="2562">
        <v>0</v>
      </c>
      <c r="BB9" s="2562">
        <v>0</v>
      </c>
      <c r="BC9" s="2565">
        <v>0</v>
      </c>
      <c r="BD9" s="2565">
        <v>0</v>
      </c>
      <c r="BE9" s="2564">
        <v>0</v>
      </c>
      <c r="BF9" s="2565">
        <v>0</v>
      </c>
      <c r="BG9" s="2564">
        <v>0</v>
      </c>
      <c r="BH9" s="2565">
        <v>0</v>
      </c>
      <c r="BI9" s="2565">
        <v>0</v>
      </c>
      <c r="BJ9" s="2565">
        <v>0</v>
      </c>
      <c r="BK9" s="2565">
        <v>0</v>
      </c>
      <c r="BL9" s="2565">
        <v>0</v>
      </c>
      <c r="BM9" s="2565">
        <v>0</v>
      </c>
      <c r="BN9" s="2564">
        <v>0</v>
      </c>
      <c r="BO9" s="2527">
        <v>0</v>
      </c>
      <c r="BP9" s="2532">
        <v>0</v>
      </c>
    </row>
    <row r="10" spans="1:69" s="20" customFormat="1" ht="14.25" x14ac:dyDescent="0.2">
      <c r="A10" s="2530" t="str">
        <f>HLOOKUP(LangChoice,Definitions_FlowLang!$C$2:$E$112,MATCH($B10,Definitions_FlowLang!$B$2:$B$112,0),FALSE)</f>
        <v xml:space="preserve">From other sources - non-specified           </v>
      </c>
      <c r="B10" s="2531" t="s">
        <v>875</v>
      </c>
      <c r="C10" s="2565">
        <v>0</v>
      </c>
      <c r="D10" s="2565">
        <v>0</v>
      </c>
      <c r="E10" s="2565">
        <v>0</v>
      </c>
      <c r="F10" s="2567">
        <v>0</v>
      </c>
      <c r="G10" s="2567">
        <v>0</v>
      </c>
      <c r="H10" s="2567">
        <v>0</v>
      </c>
      <c r="I10" s="2567">
        <v>0</v>
      </c>
      <c r="J10" s="2567">
        <v>0</v>
      </c>
      <c r="K10" s="2567">
        <v>0</v>
      </c>
      <c r="L10" s="2567">
        <v>0</v>
      </c>
      <c r="M10" s="2567">
        <v>0</v>
      </c>
      <c r="N10" s="2567">
        <v>0</v>
      </c>
      <c r="O10" s="2567">
        <v>0</v>
      </c>
      <c r="P10" s="2567">
        <v>0</v>
      </c>
      <c r="Q10" s="2567">
        <v>0</v>
      </c>
      <c r="R10" s="2567">
        <v>0</v>
      </c>
      <c r="S10" s="2567">
        <v>0</v>
      </c>
      <c r="T10" s="2567">
        <v>0</v>
      </c>
      <c r="U10" s="2559"/>
      <c r="V10" s="2559"/>
      <c r="W10" s="2559"/>
      <c r="X10" s="2559"/>
      <c r="Y10" s="2559"/>
      <c r="Z10" s="2559">
        <v>0</v>
      </c>
      <c r="AA10" s="2559"/>
      <c r="AB10" s="2559"/>
      <c r="AC10" s="2559"/>
      <c r="AD10" s="2559"/>
      <c r="AE10" s="2559"/>
      <c r="AF10" s="2559"/>
      <c r="AG10" s="2559"/>
      <c r="AH10" s="2559"/>
      <c r="AI10" s="2559"/>
      <c r="AJ10" s="2559"/>
      <c r="AK10" s="2559"/>
      <c r="AL10" s="2560"/>
      <c r="AM10" s="2560"/>
      <c r="AN10" s="2560"/>
      <c r="AO10" s="2560"/>
      <c r="AP10" s="2560"/>
      <c r="AQ10" s="2569">
        <v>0</v>
      </c>
      <c r="AR10" s="2562">
        <v>0</v>
      </c>
      <c r="AS10" s="2562">
        <v>0</v>
      </c>
      <c r="AT10" s="2562">
        <v>0</v>
      </c>
      <c r="AU10" s="2562">
        <v>0</v>
      </c>
      <c r="AV10" s="2562">
        <v>0</v>
      </c>
      <c r="AW10" s="2562">
        <v>0</v>
      </c>
      <c r="AX10" s="2562">
        <v>0</v>
      </c>
      <c r="AY10" s="2562">
        <v>0</v>
      </c>
      <c r="AZ10" s="2562">
        <v>0</v>
      </c>
      <c r="BA10" s="2562">
        <v>0</v>
      </c>
      <c r="BB10" s="2562">
        <v>0</v>
      </c>
      <c r="BC10" s="2565">
        <v>0</v>
      </c>
      <c r="BD10" s="2565">
        <v>0</v>
      </c>
      <c r="BE10" s="2565">
        <v>0</v>
      </c>
      <c r="BF10" s="2565">
        <v>0</v>
      </c>
      <c r="BG10" s="2565">
        <v>0</v>
      </c>
      <c r="BH10" s="2565">
        <v>0</v>
      </c>
      <c r="BI10" s="2565">
        <v>0</v>
      </c>
      <c r="BJ10" s="2565">
        <v>0</v>
      </c>
      <c r="BK10" s="2565">
        <v>0</v>
      </c>
      <c r="BL10" s="2565">
        <v>0</v>
      </c>
      <c r="BM10" s="2565">
        <v>0</v>
      </c>
      <c r="BN10" s="2564">
        <v>0</v>
      </c>
      <c r="BO10" s="2527">
        <v>0</v>
      </c>
      <c r="BP10" s="2532">
        <v>0</v>
      </c>
    </row>
    <row r="11" spans="1:69" s="20" customFormat="1" ht="14.25" x14ac:dyDescent="0.2">
      <c r="A11" s="2525" t="str">
        <f>IMPORTS</f>
        <v>Imports</v>
      </c>
      <c r="B11" s="2482" t="s">
        <v>878</v>
      </c>
      <c r="C11" s="2571">
        <v>361.42700000000002</v>
      </c>
      <c r="D11" s="2571">
        <v>0</v>
      </c>
      <c r="E11" s="2571">
        <v>965.63400000000001</v>
      </c>
      <c r="F11" s="2567">
        <v>0</v>
      </c>
      <c r="G11" s="2567">
        <v>0</v>
      </c>
      <c r="H11" s="2567">
        <v>0</v>
      </c>
      <c r="I11" s="2567">
        <v>0</v>
      </c>
      <c r="J11" s="2567">
        <v>0</v>
      </c>
      <c r="K11" s="2567">
        <v>0</v>
      </c>
      <c r="L11" s="2567">
        <v>0</v>
      </c>
      <c r="M11" s="2567">
        <v>0</v>
      </c>
      <c r="N11" s="2567">
        <v>0</v>
      </c>
      <c r="O11" s="2567">
        <v>0</v>
      </c>
      <c r="P11" s="2567">
        <v>0</v>
      </c>
      <c r="Q11" s="2567">
        <v>0</v>
      </c>
      <c r="R11" s="2567">
        <v>0</v>
      </c>
      <c r="S11" s="2567">
        <v>0</v>
      </c>
      <c r="T11" s="2567">
        <v>0</v>
      </c>
      <c r="U11" s="2571">
        <v>24256.29</v>
      </c>
      <c r="V11" s="2571"/>
      <c r="W11" s="2571"/>
      <c r="X11" s="2571"/>
      <c r="Y11" s="2571"/>
      <c r="Z11" s="2571">
        <v>0</v>
      </c>
      <c r="AA11" s="2571"/>
      <c r="AB11" s="2571">
        <v>190130.34375</v>
      </c>
      <c r="AC11" s="2571">
        <v>2195270.25</v>
      </c>
      <c r="AD11" s="2571">
        <v>17667.240234375</v>
      </c>
      <c r="AE11" s="2571"/>
      <c r="AF11" s="2571">
        <v>395028.03125</v>
      </c>
      <c r="AG11" s="2571">
        <v>0.27000001072883606</v>
      </c>
      <c r="AH11" s="2571">
        <v>6105302.5</v>
      </c>
      <c r="AI11" s="2571">
        <v>61080.96484375</v>
      </c>
      <c r="AJ11" s="2571"/>
      <c r="AK11" s="2571">
        <v>140.22000122070313</v>
      </c>
      <c r="AL11" s="2560">
        <f>7.23999977111816/1000</f>
        <v>7.2399997711181593E-3</v>
      </c>
      <c r="AM11" s="2560">
        <f>4.84000015258789/1000</f>
        <v>4.8400001525878899E-3</v>
      </c>
      <c r="AN11" s="2560">
        <f>21.1000003814697/1000</f>
        <v>2.11000003814697E-2</v>
      </c>
      <c r="AO11" s="2560">
        <f>302.010009765625/1000</f>
        <v>0.30201000976562498</v>
      </c>
      <c r="AP11" s="2560"/>
      <c r="AQ11" s="2572">
        <v>130441.5078125</v>
      </c>
      <c r="AR11" s="2562">
        <v>0</v>
      </c>
      <c r="AS11" s="2562">
        <v>0</v>
      </c>
      <c r="AT11" s="2562">
        <v>0</v>
      </c>
      <c r="AU11" s="2562">
        <v>0</v>
      </c>
      <c r="AV11" s="2562">
        <v>0</v>
      </c>
      <c r="AW11" s="2562">
        <v>0</v>
      </c>
      <c r="AX11" s="2562">
        <v>0</v>
      </c>
      <c r="AY11" s="2562">
        <v>0</v>
      </c>
      <c r="AZ11" s="2562">
        <v>0</v>
      </c>
      <c r="BA11" s="2562">
        <v>0</v>
      </c>
      <c r="BB11" s="2562">
        <v>0</v>
      </c>
      <c r="BC11" s="2565">
        <v>0</v>
      </c>
      <c r="BD11" s="2565">
        <v>0</v>
      </c>
      <c r="BE11" s="2565">
        <v>0</v>
      </c>
      <c r="BF11" s="2565">
        <v>0</v>
      </c>
      <c r="BG11" s="2565">
        <v>0</v>
      </c>
      <c r="BH11" s="2565">
        <v>0</v>
      </c>
      <c r="BI11" s="2565">
        <v>0</v>
      </c>
      <c r="BJ11" s="2565">
        <v>0</v>
      </c>
      <c r="BK11" s="2565">
        <v>0</v>
      </c>
      <c r="BL11" s="2565">
        <v>0</v>
      </c>
      <c r="BM11" s="2565">
        <v>0</v>
      </c>
      <c r="BN11" s="2566">
        <v>7491.0360000000001</v>
      </c>
      <c r="BO11" s="2527">
        <v>0</v>
      </c>
      <c r="BP11" s="2533">
        <v>0</v>
      </c>
    </row>
    <row r="12" spans="1:69" s="20" customFormat="1" ht="14.25" x14ac:dyDescent="0.2">
      <c r="A12" s="2525" t="str">
        <f>EXPORTS</f>
        <v>Exports</v>
      </c>
      <c r="B12" s="2482" t="s">
        <v>884</v>
      </c>
      <c r="C12" s="2571">
        <v>-1192.0429999999999</v>
      </c>
      <c r="D12" s="2571">
        <v>-1339.63</v>
      </c>
      <c r="E12" s="2571">
        <v>-67840.024000000005</v>
      </c>
      <c r="F12" s="2567">
        <v>0</v>
      </c>
      <c r="G12" s="2567">
        <v>0</v>
      </c>
      <c r="H12" s="2567">
        <v>0</v>
      </c>
      <c r="I12" s="2567">
        <v>0</v>
      </c>
      <c r="J12" s="2567">
        <v>0</v>
      </c>
      <c r="K12" s="2567">
        <v>0</v>
      </c>
      <c r="L12" s="2567">
        <v>0</v>
      </c>
      <c r="M12" s="2567">
        <v>0</v>
      </c>
      <c r="N12" s="2567">
        <v>0</v>
      </c>
      <c r="O12" s="2567">
        <v>0</v>
      </c>
      <c r="P12" s="2567">
        <v>0</v>
      </c>
      <c r="Q12" s="2567">
        <v>0</v>
      </c>
      <c r="R12" s="2567">
        <v>0</v>
      </c>
      <c r="S12" s="2567">
        <v>0</v>
      </c>
      <c r="T12" s="2567">
        <v>0</v>
      </c>
      <c r="U12" s="2571">
        <v>-5.000000074505806E-2</v>
      </c>
      <c r="V12" s="2571"/>
      <c r="W12" s="2571"/>
      <c r="X12" s="2571"/>
      <c r="Y12" s="2571"/>
      <c r="Z12" s="2571">
        <v>0</v>
      </c>
      <c r="AA12" s="2571"/>
      <c r="AB12" s="2571">
        <v>-131983.3125</v>
      </c>
      <c r="AC12" s="2571">
        <v>-1320565.875</v>
      </c>
      <c r="AD12" s="2571">
        <v>-7574.83984375</v>
      </c>
      <c r="AE12" s="2571"/>
      <c r="AF12" s="2571">
        <v>-392400.875</v>
      </c>
      <c r="AG12" s="2571">
        <v>-49587.01171875</v>
      </c>
      <c r="AH12" s="2571">
        <v>-1837888.125</v>
      </c>
      <c r="AI12" s="2571">
        <v>-513498.03125</v>
      </c>
      <c r="AJ12" s="2571"/>
      <c r="AK12" s="2571">
        <v>-3226.02001953125</v>
      </c>
      <c r="AL12" s="2560">
        <f>-9.51000022888184/1000</f>
        <v>-9.5100002288818399E-3</v>
      </c>
      <c r="AM12" s="2560">
        <f>-112.319999694824/1000</f>
        <v>-0.11231999969482401</v>
      </c>
      <c r="AN12" s="2560">
        <f>-20.1100006103516/1000</f>
        <v>-2.0110000610351602E-2</v>
      </c>
      <c r="AO12" s="2560">
        <f>-0.860000014305115/1000</f>
        <v>-8.6000001430511501E-4</v>
      </c>
      <c r="AP12" s="2560"/>
      <c r="AQ12" s="2571">
        <v>-422.42001342773438</v>
      </c>
      <c r="AR12" s="2562">
        <v>0</v>
      </c>
      <c r="AS12" s="2562">
        <v>0</v>
      </c>
      <c r="AT12" s="2562">
        <v>0</v>
      </c>
      <c r="AU12" s="2562">
        <v>0</v>
      </c>
      <c r="AV12" s="2562">
        <v>0</v>
      </c>
      <c r="AW12" s="2562">
        <v>0</v>
      </c>
      <c r="AX12" s="2562">
        <v>0</v>
      </c>
      <c r="AY12" s="2562">
        <v>0</v>
      </c>
      <c r="AZ12" s="2562">
        <v>0</v>
      </c>
      <c r="BA12" s="2562">
        <v>0</v>
      </c>
      <c r="BB12" s="2562">
        <v>0</v>
      </c>
      <c r="BC12" s="2565">
        <v>0</v>
      </c>
      <c r="BD12" s="2565">
        <v>0</v>
      </c>
      <c r="BE12" s="2565">
        <v>0</v>
      </c>
      <c r="BF12" s="2565">
        <v>0</v>
      </c>
      <c r="BG12" s="2565">
        <v>0</v>
      </c>
      <c r="BH12" s="2565">
        <v>0</v>
      </c>
      <c r="BI12" s="2565">
        <v>0</v>
      </c>
      <c r="BJ12" s="2565">
        <v>0</v>
      </c>
      <c r="BK12" s="2565">
        <v>0</v>
      </c>
      <c r="BL12" s="2565">
        <v>0</v>
      </c>
      <c r="BM12" s="2565">
        <v>0</v>
      </c>
      <c r="BN12" s="2566">
        <v>-14018.540999999999</v>
      </c>
      <c r="BO12" s="2527">
        <v>0</v>
      </c>
      <c r="BP12" s="2533">
        <v>0</v>
      </c>
    </row>
    <row r="13" spans="1:69" s="20" customFormat="1" ht="14.25" x14ac:dyDescent="0.2">
      <c r="A13" s="2525" t="str">
        <f>MARBUNK</f>
        <v>International marine bunkers</v>
      </c>
      <c r="B13" s="2531" t="s">
        <v>890</v>
      </c>
      <c r="C13" s="2567">
        <v>0</v>
      </c>
      <c r="D13" s="2567">
        <v>0</v>
      </c>
      <c r="E13" s="2567">
        <v>0</v>
      </c>
      <c r="F13" s="2567">
        <v>0</v>
      </c>
      <c r="G13" s="2567">
        <v>0</v>
      </c>
      <c r="H13" s="2567">
        <v>0</v>
      </c>
      <c r="I13" s="2567">
        <v>0</v>
      </c>
      <c r="J13" s="2567">
        <v>0</v>
      </c>
      <c r="K13" s="2567">
        <v>0</v>
      </c>
      <c r="L13" s="2567">
        <v>0</v>
      </c>
      <c r="M13" s="2567">
        <v>0</v>
      </c>
      <c r="N13" s="2567">
        <v>0</v>
      </c>
      <c r="O13" s="2567">
        <v>0</v>
      </c>
      <c r="P13" s="2567">
        <v>0</v>
      </c>
      <c r="Q13" s="2567">
        <v>0</v>
      </c>
      <c r="R13" s="2567">
        <v>0</v>
      </c>
      <c r="S13" s="2567">
        <v>0</v>
      </c>
      <c r="T13" s="2567">
        <v>0</v>
      </c>
      <c r="U13" s="2559"/>
      <c r="V13" s="2559"/>
      <c r="W13" s="2559"/>
      <c r="X13" s="2559"/>
      <c r="Y13" s="2559"/>
      <c r="Z13" s="2559">
        <v>0</v>
      </c>
      <c r="AA13" s="2559"/>
      <c r="AB13" s="2559"/>
      <c r="AC13" s="2559"/>
      <c r="AD13" s="2559"/>
      <c r="AE13" s="2559"/>
      <c r="AF13" s="2559"/>
      <c r="AG13" s="2559"/>
      <c r="AH13" s="2559">
        <v>-543991.05940000003</v>
      </c>
      <c r="AI13" s="2559"/>
      <c r="AJ13" s="2559"/>
      <c r="AK13" s="2559"/>
      <c r="AL13" s="2560"/>
      <c r="AM13" s="2560"/>
      <c r="AN13" s="2560"/>
      <c r="AO13" s="2560"/>
      <c r="AP13" s="2560"/>
      <c r="AQ13" s="2569">
        <v>0</v>
      </c>
      <c r="AR13" s="2562">
        <v>0</v>
      </c>
      <c r="AS13" s="2562">
        <v>0</v>
      </c>
      <c r="AT13" s="2562">
        <v>0</v>
      </c>
      <c r="AU13" s="2562">
        <v>0</v>
      </c>
      <c r="AV13" s="2562">
        <v>0</v>
      </c>
      <c r="AW13" s="2562">
        <v>0</v>
      </c>
      <c r="AX13" s="2562">
        <v>0</v>
      </c>
      <c r="AY13" s="2562">
        <v>0</v>
      </c>
      <c r="AZ13" s="2562">
        <v>0</v>
      </c>
      <c r="BA13" s="2562">
        <v>0</v>
      </c>
      <c r="BB13" s="2562">
        <v>0</v>
      </c>
      <c r="BC13" s="2565">
        <v>0</v>
      </c>
      <c r="BD13" s="2565">
        <v>0</v>
      </c>
      <c r="BE13" s="2564">
        <v>0</v>
      </c>
      <c r="BF13" s="2565">
        <v>0</v>
      </c>
      <c r="BG13" s="2564">
        <v>0</v>
      </c>
      <c r="BH13" s="2565">
        <v>0</v>
      </c>
      <c r="BI13" s="2565">
        <v>0</v>
      </c>
      <c r="BJ13" s="2565">
        <v>0</v>
      </c>
      <c r="BK13" s="2565">
        <v>0</v>
      </c>
      <c r="BL13" s="2565">
        <v>0</v>
      </c>
      <c r="BM13" s="2565">
        <v>0</v>
      </c>
      <c r="BN13" s="2564">
        <v>0</v>
      </c>
      <c r="BO13" s="2527">
        <v>0</v>
      </c>
      <c r="BP13" s="2532">
        <v>0</v>
      </c>
    </row>
    <row r="14" spans="1:69" s="20" customFormat="1" ht="14.25" x14ac:dyDescent="0.2">
      <c r="A14" s="2525" t="str">
        <f>AVBUNK</f>
        <v>International aviation bunkers</v>
      </c>
      <c r="B14" s="2531" t="s">
        <v>897</v>
      </c>
      <c r="C14" s="2565">
        <v>0</v>
      </c>
      <c r="D14" s="2565">
        <v>0</v>
      </c>
      <c r="E14" s="2565">
        <v>0</v>
      </c>
      <c r="F14" s="2565">
        <v>0</v>
      </c>
      <c r="G14" s="2565">
        <v>0</v>
      </c>
      <c r="H14" s="2565">
        <v>0</v>
      </c>
      <c r="I14" s="2565">
        <v>0</v>
      </c>
      <c r="J14" s="2565">
        <v>0</v>
      </c>
      <c r="K14" s="2565">
        <v>0</v>
      </c>
      <c r="L14" s="2565">
        <v>0</v>
      </c>
      <c r="M14" s="2565">
        <v>0</v>
      </c>
      <c r="N14" s="2565">
        <v>0</v>
      </c>
      <c r="O14" s="2565">
        <v>0</v>
      </c>
      <c r="P14" s="2565">
        <v>0</v>
      </c>
      <c r="Q14" s="2565">
        <v>0</v>
      </c>
      <c r="R14" s="2565">
        <v>0</v>
      </c>
      <c r="S14" s="2565">
        <v>0</v>
      </c>
      <c r="T14" s="2565">
        <v>0</v>
      </c>
      <c r="U14" s="2559"/>
      <c r="V14" s="2559"/>
      <c r="W14" s="2559"/>
      <c r="X14" s="2559"/>
      <c r="Y14" s="2559"/>
      <c r="Z14" s="2559">
        <v>0</v>
      </c>
      <c r="AA14" s="2559"/>
      <c r="AB14" s="2559"/>
      <c r="AC14" s="2559"/>
      <c r="AD14" s="2559">
        <v>-2135.0219999999999</v>
      </c>
      <c r="AE14" s="2559"/>
      <c r="AF14" s="2559"/>
      <c r="AG14" s="2559"/>
      <c r="AH14" s="2559"/>
      <c r="AI14" s="2559"/>
      <c r="AJ14" s="2559"/>
      <c r="AK14" s="2559"/>
      <c r="AL14" s="2560"/>
      <c r="AM14" s="2560"/>
      <c r="AN14" s="2560"/>
      <c r="AO14" s="2560"/>
      <c r="AP14" s="2560"/>
      <c r="AQ14" s="2569">
        <v>0</v>
      </c>
      <c r="AR14" s="2565">
        <v>0</v>
      </c>
      <c r="AS14" s="2565">
        <v>0</v>
      </c>
      <c r="AT14" s="2565">
        <v>0</v>
      </c>
      <c r="AU14" s="2565">
        <v>0</v>
      </c>
      <c r="AV14" s="2565">
        <v>0</v>
      </c>
      <c r="AW14" s="2565">
        <v>0</v>
      </c>
      <c r="AX14" s="2565">
        <v>0</v>
      </c>
      <c r="AY14" s="2565">
        <v>0</v>
      </c>
      <c r="AZ14" s="2565">
        <v>0</v>
      </c>
      <c r="BA14" s="2565">
        <v>0</v>
      </c>
      <c r="BB14" s="2565">
        <v>0</v>
      </c>
      <c r="BC14" s="2565">
        <v>0</v>
      </c>
      <c r="BD14" s="2565">
        <v>0</v>
      </c>
      <c r="BE14" s="2565">
        <v>0</v>
      </c>
      <c r="BF14" s="2565">
        <v>0</v>
      </c>
      <c r="BG14" s="2565">
        <v>0</v>
      </c>
      <c r="BH14" s="2565">
        <v>0</v>
      </c>
      <c r="BI14" s="2565">
        <v>0</v>
      </c>
      <c r="BJ14" s="2565">
        <v>0</v>
      </c>
      <c r="BK14" s="2565">
        <v>0</v>
      </c>
      <c r="BL14" s="2565">
        <v>0</v>
      </c>
      <c r="BM14" s="2565">
        <v>0</v>
      </c>
      <c r="BN14" s="2564">
        <v>0</v>
      </c>
      <c r="BO14" s="2527">
        <v>0</v>
      </c>
      <c r="BP14" s="2532">
        <v>0</v>
      </c>
    </row>
    <row r="15" spans="1:69" s="20" customFormat="1" ht="14.25" x14ac:dyDescent="0.2">
      <c r="A15" s="2525" t="str">
        <f>STOCKCHA</f>
        <v>Stock changes</v>
      </c>
      <c r="B15" s="2531" t="s">
        <v>904</v>
      </c>
      <c r="C15" s="2567">
        <v>0</v>
      </c>
      <c r="D15" s="2567">
        <v>0</v>
      </c>
      <c r="E15" s="2567">
        <v>0</v>
      </c>
      <c r="F15" s="2567">
        <v>0</v>
      </c>
      <c r="G15" s="2567">
        <v>0</v>
      </c>
      <c r="H15" s="2567">
        <v>0</v>
      </c>
      <c r="I15" s="2567">
        <v>0</v>
      </c>
      <c r="J15" s="2567">
        <v>0</v>
      </c>
      <c r="K15" s="2567">
        <v>0</v>
      </c>
      <c r="L15" s="2567">
        <v>0</v>
      </c>
      <c r="M15" s="2567">
        <v>0</v>
      </c>
      <c r="N15" s="2567">
        <v>0</v>
      </c>
      <c r="O15" s="2567">
        <v>0</v>
      </c>
      <c r="P15" s="2567">
        <v>0</v>
      </c>
      <c r="Q15" s="2567">
        <v>0</v>
      </c>
      <c r="R15" s="2567">
        <v>0</v>
      </c>
      <c r="S15" s="2567">
        <v>0</v>
      </c>
      <c r="T15" s="2567">
        <v>0</v>
      </c>
      <c r="U15" s="2559">
        <v>-412.29</v>
      </c>
      <c r="V15" s="2559"/>
      <c r="W15" s="2559"/>
      <c r="X15" s="2559"/>
      <c r="Y15" s="2559"/>
      <c r="Z15" s="2559">
        <v>0</v>
      </c>
      <c r="AA15" s="2559"/>
      <c r="AB15" s="2559">
        <v>-15596.787</v>
      </c>
      <c r="AC15" s="2559">
        <v>-18106.666659999999</v>
      </c>
      <c r="AD15" s="2559">
        <v>15144.909</v>
      </c>
      <c r="AE15" s="2559">
        <v>245617.51209999999</v>
      </c>
      <c r="AF15" s="2559">
        <v>-26783.042389999999</v>
      </c>
      <c r="AG15" s="2559">
        <v>5213.5146020000002</v>
      </c>
      <c r="AH15" s="2559">
        <v>-526416.66669999994</v>
      </c>
      <c r="AI15" s="2559">
        <v>324098.72710000002</v>
      </c>
      <c r="AJ15" s="2559">
        <v>3682.5990019999999</v>
      </c>
      <c r="AK15" s="2559">
        <v>37285.27738</v>
      </c>
      <c r="AL15" s="2560">
        <v>7.8</v>
      </c>
      <c r="AM15" s="2560">
        <v>21.2</v>
      </c>
      <c r="AN15" s="2560">
        <v>-0.69</v>
      </c>
      <c r="AO15" s="2560"/>
      <c r="AP15" s="2560"/>
      <c r="AQ15" s="2569">
        <v>0</v>
      </c>
      <c r="AR15" s="2565">
        <v>0</v>
      </c>
      <c r="AS15" s="2565">
        <v>0</v>
      </c>
      <c r="AT15" s="2565">
        <v>0</v>
      </c>
      <c r="AU15" s="2565">
        <v>0</v>
      </c>
      <c r="AV15" s="2565">
        <v>0</v>
      </c>
      <c r="AW15" s="2565">
        <v>0</v>
      </c>
      <c r="AX15" s="2565">
        <v>0</v>
      </c>
      <c r="AY15" s="2565">
        <v>0</v>
      </c>
      <c r="AZ15" s="2565">
        <v>0</v>
      </c>
      <c r="BA15" s="2565">
        <v>0</v>
      </c>
      <c r="BB15" s="2565">
        <v>0</v>
      </c>
      <c r="BC15" s="2565">
        <v>0</v>
      </c>
      <c r="BD15" s="2565">
        <v>0</v>
      </c>
      <c r="BE15" s="2565">
        <v>0</v>
      </c>
      <c r="BF15" s="2565">
        <v>0</v>
      </c>
      <c r="BG15" s="2565">
        <v>0</v>
      </c>
      <c r="BH15" s="2565">
        <v>0</v>
      </c>
      <c r="BI15" s="2565">
        <v>0</v>
      </c>
      <c r="BJ15" s="2565">
        <v>0</v>
      </c>
      <c r="BK15" s="2565">
        <v>0</v>
      </c>
      <c r="BL15" s="2565">
        <v>0</v>
      </c>
      <c r="BM15" s="2565">
        <v>0</v>
      </c>
      <c r="BN15" s="2564">
        <v>0</v>
      </c>
      <c r="BO15" s="2527">
        <v>0</v>
      </c>
      <c r="BP15" s="2532">
        <v>0</v>
      </c>
    </row>
    <row r="16" spans="1:69" s="20" customFormat="1" ht="15" x14ac:dyDescent="0.25">
      <c r="A16" s="2534" t="str">
        <f>DOMSUP</f>
        <v>Domestic supply</v>
      </c>
      <c r="B16" s="2535" t="s">
        <v>916</v>
      </c>
      <c r="C16" s="2573">
        <f>SUM(C5:C15)</f>
        <v>2247.2240000000002</v>
      </c>
      <c r="D16" s="2573">
        <f>SUM(D5:D15)</f>
        <v>1030.819</v>
      </c>
      <c r="E16" s="2573">
        <f>SUM(E5:E15)</f>
        <v>182088.04199999999</v>
      </c>
      <c r="F16" s="2573">
        <f t="shared" ref="F16:AZ16" si="0">SUM(F5:F15)</f>
        <v>0</v>
      </c>
      <c r="G16" s="2573">
        <f t="shared" si="0"/>
        <v>0</v>
      </c>
      <c r="H16" s="2573">
        <f t="shared" si="0"/>
        <v>0</v>
      </c>
      <c r="I16" s="2573">
        <f>SUM(I5:I15)</f>
        <v>1249.693</v>
      </c>
      <c r="J16" s="2573">
        <f t="shared" si="0"/>
        <v>0</v>
      </c>
      <c r="K16" s="2573">
        <f t="shared" si="0"/>
        <v>0</v>
      </c>
      <c r="L16" s="2573">
        <f t="shared" si="0"/>
        <v>0</v>
      </c>
      <c r="M16" s="2573">
        <f>SUM(M5:M15)</f>
        <v>21791</v>
      </c>
      <c r="N16" s="2573">
        <f>SUM(N5:N15)</f>
        <v>5439</v>
      </c>
      <c r="O16" s="2573">
        <f>SUM(O5:O15)</f>
        <v>11129</v>
      </c>
      <c r="P16" s="2573">
        <f t="shared" si="0"/>
        <v>0</v>
      </c>
      <c r="Q16" s="2573">
        <f t="shared" si="0"/>
        <v>0</v>
      </c>
      <c r="R16" s="2573">
        <f t="shared" si="0"/>
        <v>0</v>
      </c>
      <c r="S16" s="2573">
        <f t="shared" si="0"/>
        <v>0</v>
      </c>
      <c r="T16" s="2574">
        <f t="shared" si="0"/>
        <v>0</v>
      </c>
      <c r="U16" s="2573">
        <f t="shared" si="0"/>
        <v>23865.719999999255</v>
      </c>
      <c r="V16" s="2573">
        <f t="shared" si="0"/>
        <v>393.02</v>
      </c>
      <c r="W16" s="2573">
        <f t="shared" si="0"/>
        <v>0</v>
      </c>
      <c r="X16" s="2573">
        <f t="shared" si="0"/>
        <v>0</v>
      </c>
      <c r="Y16" s="2573">
        <f>SUM(Y6:Y15)</f>
        <v>5024.87</v>
      </c>
      <c r="Z16" s="2573">
        <f t="shared" si="0"/>
        <v>270.18732421875001</v>
      </c>
      <c r="AA16" s="2573">
        <f t="shared" si="0"/>
        <v>0</v>
      </c>
      <c r="AB16" s="2573">
        <f t="shared" si="0"/>
        <v>709914.93174999999</v>
      </c>
      <c r="AC16" s="2573">
        <f>SUM(AC5:AC15)</f>
        <v>11281064.70834</v>
      </c>
      <c r="AD16" s="2573">
        <f>SUM(AD5:AD15)</f>
        <v>659270.72489062499</v>
      </c>
      <c r="AE16" s="2573">
        <f t="shared" ref="AE16" si="1">SUM(AE5:AE15)</f>
        <v>851361.51209999993</v>
      </c>
      <c r="AF16" s="2573">
        <f t="shared" si="0"/>
        <v>1242861.3962599998</v>
      </c>
      <c r="AG16" s="2573">
        <f t="shared" si="0"/>
        <v>418814.17913326074</v>
      </c>
      <c r="AH16" s="2573">
        <f>SUM(AH5:AH15)</f>
        <v>12277363.6489</v>
      </c>
      <c r="AI16" s="2573">
        <f t="shared" si="0"/>
        <v>2811746.6606937498</v>
      </c>
      <c r="AJ16" s="2573">
        <f t="shared" si="0"/>
        <v>300958.661502</v>
      </c>
      <c r="AK16" s="2573">
        <f t="shared" si="0"/>
        <v>55275.912908564453</v>
      </c>
      <c r="AL16" s="2573">
        <f t="shared" si="0"/>
        <v>484.09772999954225</v>
      </c>
      <c r="AM16" s="2573">
        <f t="shared" si="0"/>
        <v>353.13252000045776</v>
      </c>
      <c r="AN16" s="2573">
        <f t="shared" si="0"/>
        <v>295.15361499977109</v>
      </c>
      <c r="AO16" s="2573">
        <f t="shared" si="0"/>
        <v>48.11115000975132</v>
      </c>
      <c r="AP16" s="2573">
        <f t="shared" si="0"/>
        <v>875.55</v>
      </c>
      <c r="AQ16" s="2573">
        <f t="shared" si="0"/>
        <v>153088.59756469727</v>
      </c>
      <c r="AR16" s="2575">
        <f t="shared" si="0"/>
        <v>0</v>
      </c>
      <c r="AS16" s="2575">
        <f t="shared" si="0"/>
        <v>0</v>
      </c>
      <c r="AT16" s="2573">
        <f t="shared" si="0"/>
        <v>0</v>
      </c>
      <c r="AU16" s="2573">
        <f t="shared" si="0"/>
        <v>651724.68999999994</v>
      </c>
      <c r="AV16" s="2573">
        <f>SUM(AV5:AV15)</f>
        <v>6.03</v>
      </c>
      <c r="AW16" s="2573">
        <f t="shared" si="0"/>
        <v>0</v>
      </c>
      <c r="AX16" s="2573">
        <f t="shared" si="0"/>
        <v>0</v>
      </c>
      <c r="AY16" s="2573">
        <f t="shared" si="0"/>
        <v>0</v>
      </c>
      <c r="AZ16" s="2573">
        <f t="shared" si="0"/>
        <v>0</v>
      </c>
      <c r="BA16" s="2573">
        <v>0</v>
      </c>
      <c r="BB16" s="2574">
        <f>SUM(BB5:BB15)</f>
        <v>0</v>
      </c>
      <c r="BC16" s="2574">
        <f t="shared" ref="BC16:BI16" si="2">SUM(BC5:BC15)</f>
        <v>43073.39</v>
      </c>
      <c r="BD16" s="2574">
        <f t="shared" si="2"/>
        <v>781.8</v>
      </c>
      <c r="BE16" s="2574">
        <f t="shared" si="2"/>
        <v>0</v>
      </c>
      <c r="BF16" s="2574">
        <f t="shared" si="2"/>
        <v>3114.45</v>
      </c>
      <c r="BG16" s="2574">
        <f t="shared" si="2"/>
        <v>0</v>
      </c>
      <c r="BH16" s="2574">
        <f t="shared" si="2"/>
        <v>0</v>
      </c>
      <c r="BI16" s="2574">
        <f t="shared" si="2"/>
        <v>6691.02</v>
      </c>
      <c r="BJ16" s="2573">
        <v>0</v>
      </c>
      <c r="BK16" s="2573">
        <v>0</v>
      </c>
      <c r="BL16" s="2573">
        <v>0</v>
      </c>
      <c r="BM16" s="2573">
        <v>0</v>
      </c>
      <c r="BN16" s="2573">
        <f>BN5+BN11+BN12</f>
        <v>219504.527</v>
      </c>
      <c r="BO16" s="2536">
        <f>BO5+BO11+BO12</f>
        <v>0</v>
      </c>
      <c r="BP16" s="2537">
        <v>0</v>
      </c>
    </row>
    <row r="17" spans="1:68" s="20" customFormat="1" ht="14.25" x14ac:dyDescent="0.2">
      <c r="A17" s="2525" t="str">
        <f>TRANSFER</f>
        <v>Transfers</v>
      </c>
      <c r="B17" s="2531" t="s">
        <v>922</v>
      </c>
      <c r="C17" s="2565">
        <v>0</v>
      </c>
      <c r="D17" s="2567">
        <v>0</v>
      </c>
      <c r="E17" s="2565">
        <v>0</v>
      </c>
      <c r="F17" s="2565">
        <v>0</v>
      </c>
      <c r="G17" s="2565">
        <v>0</v>
      </c>
      <c r="H17" s="2565">
        <v>0</v>
      </c>
      <c r="I17" s="2565">
        <v>0</v>
      </c>
      <c r="J17" s="2565">
        <v>0</v>
      </c>
      <c r="K17" s="2565">
        <v>0</v>
      </c>
      <c r="L17" s="2565">
        <v>0</v>
      </c>
      <c r="M17" s="2565">
        <v>0</v>
      </c>
      <c r="N17" s="2565">
        <v>0</v>
      </c>
      <c r="O17" s="2565">
        <v>0</v>
      </c>
      <c r="P17" s="2565">
        <v>0</v>
      </c>
      <c r="Q17" s="2565">
        <v>0</v>
      </c>
      <c r="R17" s="2565">
        <v>0</v>
      </c>
      <c r="S17" s="2565">
        <v>0</v>
      </c>
      <c r="T17" s="2576">
        <v>0</v>
      </c>
      <c r="U17" s="2559">
        <v>0</v>
      </c>
      <c r="V17" s="2559">
        <v>0</v>
      </c>
      <c r="W17" s="2559">
        <v>0</v>
      </c>
      <c r="X17" s="2559">
        <v>0</v>
      </c>
      <c r="Y17" s="2559">
        <v>-5024.87</v>
      </c>
      <c r="Z17" s="2559">
        <v>0</v>
      </c>
      <c r="AA17" s="2559">
        <v>0</v>
      </c>
      <c r="AB17" s="2559">
        <v>0</v>
      </c>
      <c r="AC17" s="2559">
        <v>0</v>
      </c>
      <c r="AD17" s="2559">
        <v>0</v>
      </c>
      <c r="AE17" s="2559">
        <v>0</v>
      </c>
      <c r="AF17" s="2559">
        <v>0</v>
      </c>
      <c r="AG17" s="2559">
        <v>0</v>
      </c>
      <c r="AH17" s="2559">
        <v>0</v>
      </c>
      <c r="AI17" s="2559">
        <v>0</v>
      </c>
      <c r="AJ17" s="2559">
        <v>0</v>
      </c>
      <c r="AK17" s="2559">
        <v>0</v>
      </c>
      <c r="AL17" s="2560">
        <v>0</v>
      </c>
      <c r="AM17" s="2560">
        <v>0</v>
      </c>
      <c r="AN17" s="2560">
        <v>0</v>
      </c>
      <c r="AO17" s="2560">
        <v>0</v>
      </c>
      <c r="AP17" s="2560">
        <v>0</v>
      </c>
      <c r="AQ17" s="2571">
        <v>0</v>
      </c>
      <c r="AR17" s="2565">
        <v>0</v>
      </c>
      <c r="AS17" s="2565">
        <v>0</v>
      </c>
      <c r="AT17" s="2565">
        <v>0</v>
      </c>
      <c r="AU17" s="2565">
        <v>0</v>
      </c>
      <c r="AV17" s="2565">
        <v>0</v>
      </c>
      <c r="AW17" s="2562">
        <v>0</v>
      </c>
      <c r="AX17" s="2562">
        <v>0</v>
      </c>
      <c r="AY17" s="2562">
        <v>0</v>
      </c>
      <c r="AZ17" s="2565">
        <v>0</v>
      </c>
      <c r="BA17" s="2565">
        <v>0</v>
      </c>
      <c r="BB17" s="2576">
        <v>0</v>
      </c>
      <c r="BC17" s="2565">
        <v>0</v>
      </c>
      <c r="BD17" s="2565">
        <v>0</v>
      </c>
      <c r="BE17" s="2565">
        <v>0</v>
      </c>
      <c r="BF17" s="2565">
        <v>0</v>
      </c>
      <c r="BG17" s="2565">
        <v>0</v>
      </c>
      <c r="BH17" s="2565">
        <v>0</v>
      </c>
      <c r="BI17" s="2565">
        <v>0</v>
      </c>
      <c r="BJ17" s="2565">
        <v>0</v>
      </c>
      <c r="BK17" s="2565">
        <v>0</v>
      </c>
      <c r="BL17" s="2565">
        <v>0</v>
      </c>
      <c r="BM17" s="2565">
        <v>0</v>
      </c>
      <c r="BN17" s="2565">
        <v>0</v>
      </c>
      <c r="BO17" s="2528">
        <v>0</v>
      </c>
      <c r="BP17" s="2532">
        <v>0</v>
      </c>
    </row>
    <row r="18" spans="1:68" s="20" customFormat="1" ht="14.25" x14ac:dyDescent="0.2">
      <c r="A18" s="2525" t="str">
        <f>STATDIFF</f>
        <v>Statistical differences</v>
      </c>
      <c r="B18" s="2531" t="s">
        <v>198</v>
      </c>
      <c r="C18" s="2577">
        <f>C19+C41+C59+C60-(C16+C17)</f>
        <v>148.61899999999969</v>
      </c>
      <c r="D18" s="2577">
        <f t="shared" ref="D18:E18" si="3">D19+D41+D59+D60-(D16+D17)</f>
        <v>0</v>
      </c>
      <c r="E18" s="2577">
        <f t="shared" si="3"/>
        <v>-24993.691999999981</v>
      </c>
      <c r="F18" s="2577">
        <f t="shared" ref="F18:AK18" si="4">F19+F41+F59+F60-(F16+F17)</f>
        <v>0</v>
      </c>
      <c r="G18" s="2577">
        <f t="shared" si="4"/>
        <v>0</v>
      </c>
      <c r="H18" s="2577">
        <f t="shared" si="4"/>
        <v>0</v>
      </c>
      <c r="I18" s="2577">
        <f t="shared" si="4"/>
        <v>-24.993999999999915</v>
      </c>
      <c r="J18" s="2577">
        <f t="shared" si="4"/>
        <v>0</v>
      </c>
      <c r="K18" s="2577">
        <f t="shared" si="4"/>
        <v>0</v>
      </c>
      <c r="L18" s="2577">
        <f t="shared" si="4"/>
        <v>0</v>
      </c>
      <c r="M18" s="2577">
        <f t="shared" si="4"/>
        <v>0.47000000000116415</v>
      </c>
      <c r="N18" s="2577">
        <f t="shared" si="4"/>
        <v>0</v>
      </c>
      <c r="O18" s="2577">
        <f t="shared" si="4"/>
        <v>0</v>
      </c>
      <c r="P18" s="2577">
        <f t="shared" si="4"/>
        <v>0</v>
      </c>
      <c r="Q18" s="2578">
        <f t="shared" si="4"/>
        <v>0</v>
      </c>
      <c r="R18" s="2577">
        <f t="shared" si="4"/>
        <v>0</v>
      </c>
      <c r="S18" s="2577">
        <f t="shared" si="4"/>
        <v>0</v>
      </c>
      <c r="T18" s="2579">
        <f t="shared" si="4"/>
        <v>0</v>
      </c>
      <c r="U18" s="2580">
        <f t="shared" si="4"/>
        <v>-4786.4199999992561</v>
      </c>
      <c r="V18" s="2580">
        <f t="shared" si="4"/>
        <v>0</v>
      </c>
      <c r="W18" s="2580">
        <f t="shared" si="4"/>
        <v>152</v>
      </c>
      <c r="X18" s="2580">
        <f t="shared" si="4"/>
        <v>0</v>
      </c>
      <c r="Y18" s="2580">
        <f t="shared" si="4"/>
        <v>0</v>
      </c>
      <c r="Z18" s="2580">
        <f t="shared" si="4"/>
        <v>0</v>
      </c>
      <c r="AA18" s="2580">
        <f t="shared" si="4"/>
        <v>0</v>
      </c>
      <c r="AB18" s="2580">
        <f t="shared" si="4"/>
        <v>-364425.98943260737</v>
      </c>
      <c r="AC18" s="2580">
        <f>AC19+AC41+AC59+AC60-(AC16+AC17)</f>
        <v>123591.48688755743</v>
      </c>
      <c r="AD18" s="2580">
        <f t="shared" si="4"/>
        <v>-8496.9748906249879</v>
      </c>
      <c r="AE18" s="2580">
        <f t="shared" si="4"/>
        <v>1218515.9893078064</v>
      </c>
      <c r="AF18" s="2580">
        <f t="shared" si="4"/>
        <v>-1242861.3962599998</v>
      </c>
      <c r="AG18" s="2580">
        <f>AG19+AG41+AG59+AG60-(AG16+AG17)</f>
        <v>232438.66847312124</v>
      </c>
      <c r="AH18" s="2580">
        <f t="shared" si="4"/>
        <v>1812412.3951653894</v>
      </c>
      <c r="AI18" s="2580">
        <f t="shared" si="4"/>
        <v>-2183199.1675662645</v>
      </c>
      <c r="AJ18" s="2580">
        <f t="shared" si="4"/>
        <v>-2642.5890019999933</v>
      </c>
      <c r="AK18" s="2580">
        <f t="shared" si="4"/>
        <v>-55190.223631220702</v>
      </c>
      <c r="AL18" s="2581">
        <f t="shared" ref="AL18:BM18" si="5">AL19+AL41+AL59+AL60-(AL16+AL17)</f>
        <v>-164.89888234329226</v>
      </c>
      <c r="AM18" s="2581">
        <f t="shared" si="5"/>
        <v>269.69084035110478</v>
      </c>
      <c r="AN18" s="2581">
        <f t="shared" si="5"/>
        <v>41.89902528953553</v>
      </c>
      <c r="AO18" s="2581">
        <f t="shared" si="5"/>
        <v>-48.11115000975132</v>
      </c>
      <c r="AP18" s="2581">
        <f t="shared" si="5"/>
        <v>-848.64182781600948</v>
      </c>
      <c r="AQ18" s="2571">
        <f>AQ19+AQ41+AQ59+AQ60-(AQ16+AQ17)</f>
        <v>-861.90194702148438</v>
      </c>
      <c r="AR18" s="2582">
        <f t="shared" si="5"/>
        <v>0</v>
      </c>
      <c r="AS18" s="2582">
        <f t="shared" si="5"/>
        <v>0</v>
      </c>
      <c r="AT18" s="2582">
        <f t="shared" si="5"/>
        <v>0</v>
      </c>
      <c r="AU18" s="2582">
        <f t="shared" si="5"/>
        <v>-505.51999999990221</v>
      </c>
      <c r="AV18" s="2582">
        <f t="shared" si="5"/>
        <v>-6.03</v>
      </c>
      <c r="AW18" s="2582">
        <f t="shared" si="5"/>
        <v>0</v>
      </c>
      <c r="AX18" s="2582">
        <f t="shared" si="5"/>
        <v>0</v>
      </c>
      <c r="AY18" s="2582">
        <f t="shared" si="5"/>
        <v>0</v>
      </c>
      <c r="AZ18" s="2582">
        <f t="shared" si="5"/>
        <v>0</v>
      </c>
      <c r="BA18" s="2582">
        <f t="shared" si="5"/>
        <v>0</v>
      </c>
      <c r="BB18" s="2583">
        <f t="shared" si="5"/>
        <v>0</v>
      </c>
      <c r="BC18" s="2578">
        <f t="shared" si="5"/>
        <v>0</v>
      </c>
      <c r="BD18" s="2578">
        <f t="shared" si="5"/>
        <v>-781.8</v>
      </c>
      <c r="BE18" s="2584">
        <f t="shared" si="5"/>
        <v>0</v>
      </c>
      <c r="BF18" s="2578">
        <f t="shared" si="5"/>
        <v>-3114.45</v>
      </c>
      <c r="BG18" s="2584">
        <f t="shared" si="5"/>
        <v>0</v>
      </c>
      <c r="BH18" s="2578">
        <f t="shared" si="5"/>
        <v>0</v>
      </c>
      <c r="BI18" s="2578">
        <f t="shared" si="5"/>
        <v>-6691.02</v>
      </c>
      <c r="BJ18" s="2578">
        <f t="shared" si="5"/>
        <v>0</v>
      </c>
      <c r="BK18" s="2578">
        <f t="shared" si="5"/>
        <v>0</v>
      </c>
      <c r="BL18" s="2578">
        <f t="shared" si="5"/>
        <v>0</v>
      </c>
      <c r="BM18" s="2578">
        <f t="shared" si="5"/>
        <v>0</v>
      </c>
      <c r="BN18" s="2578">
        <f t="shared" ref="BN18:BO18" si="6">BN19+BN41+BN59+BN60-(BN16+BN17)</f>
        <v>3711.2389999999723</v>
      </c>
      <c r="BO18" s="2538">
        <f t="shared" si="6"/>
        <v>0</v>
      </c>
      <c r="BP18" s="2539">
        <v>0</v>
      </c>
    </row>
    <row r="19" spans="1:68" s="20" customFormat="1" ht="15" x14ac:dyDescent="0.25">
      <c r="A19" s="2534" t="str">
        <f>TOTTRANF</f>
        <v>Transformation processes</v>
      </c>
      <c r="B19" s="2535" t="s">
        <v>936</v>
      </c>
      <c r="C19" s="2573">
        <f t="shared" ref="C19:AZ19" si="7">SUM(C20:C40)</f>
        <v>0</v>
      </c>
      <c r="D19" s="2573">
        <f t="shared" si="7"/>
        <v>1030.819</v>
      </c>
      <c r="E19" s="2573">
        <f t="shared" si="7"/>
        <v>127206.136</v>
      </c>
      <c r="F19" s="2573">
        <f t="shared" si="7"/>
        <v>0</v>
      </c>
      <c r="G19" s="2573">
        <f>SUM(G20:G40)</f>
        <v>0</v>
      </c>
      <c r="H19" s="2573">
        <f t="shared" si="7"/>
        <v>0</v>
      </c>
      <c r="I19" s="2573">
        <f t="shared" si="7"/>
        <v>1049.742</v>
      </c>
      <c r="J19" s="2573">
        <f t="shared" si="7"/>
        <v>0</v>
      </c>
      <c r="K19" s="2573">
        <f t="shared" si="7"/>
        <v>0</v>
      </c>
      <c r="L19" s="2573">
        <f t="shared" si="7"/>
        <v>0</v>
      </c>
      <c r="M19" s="2573">
        <f t="shared" si="7"/>
        <v>0</v>
      </c>
      <c r="N19" s="2573">
        <f t="shared" si="7"/>
        <v>0</v>
      </c>
      <c r="O19" s="2573">
        <f t="shared" si="7"/>
        <v>0</v>
      </c>
      <c r="P19" s="2573">
        <f t="shared" si="7"/>
        <v>0</v>
      </c>
      <c r="Q19" s="2573">
        <f t="shared" si="7"/>
        <v>0</v>
      </c>
      <c r="R19" s="2573">
        <f t="shared" si="7"/>
        <v>0</v>
      </c>
      <c r="S19" s="2573">
        <f t="shared" si="7"/>
        <v>0</v>
      </c>
      <c r="T19" s="2574">
        <f t="shared" si="7"/>
        <v>0</v>
      </c>
      <c r="U19" s="2573">
        <f t="shared" si="7"/>
        <v>19079.3</v>
      </c>
      <c r="V19" s="2573">
        <f t="shared" si="7"/>
        <v>393.02</v>
      </c>
      <c r="W19" s="2573">
        <f t="shared" si="7"/>
        <v>152</v>
      </c>
      <c r="X19" s="2573">
        <f t="shared" si="7"/>
        <v>0</v>
      </c>
      <c r="Y19" s="2573">
        <f t="shared" si="7"/>
        <v>0</v>
      </c>
      <c r="Z19" s="2573">
        <f t="shared" si="7"/>
        <v>270.18732421875001</v>
      </c>
      <c r="AA19" s="2573">
        <f t="shared" si="7"/>
        <v>0</v>
      </c>
      <c r="AB19" s="2573">
        <f t="shared" si="7"/>
        <v>0</v>
      </c>
      <c r="AC19" s="2573">
        <f t="shared" si="7"/>
        <v>0</v>
      </c>
      <c r="AD19" s="2573">
        <f t="shared" si="7"/>
        <v>0</v>
      </c>
      <c r="AE19" s="2573">
        <f t="shared" si="7"/>
        <v>0</v>
      </c>
      <c r="AF19" s="2573">
        <f t="shared" si="7"/>
        <v>0</v>
      </c>
      <c r="AG19" s="2573">
        <f t="shared" si="7"/>
        <v>0</v>
      </c>
      <c r="AH19" s="2573">
        <f t="shared" si="7"/>
        <v>0</v>
      </c>
      <c r="AI19" s="2573">
        <f t="shared" si="7"/>
        <v>0</v>
      </c>
      <c r="AJ19" s="2573">
        <f t="shared" si="7"/>
        <v>297276.0625</v>
      </c>
      <c r="AK19" s="2573">
        <f t="shared" si="7"/>
        <v>0</v>
      </c>
      <c r="AL19" s="2573">
        <f t="shared" si="7"/>
        <v>0</v>
      </c>
      <c r="AM19" s="2573">
        <f t="shared" si="7"/>
        <v>0</v>
      </c>
      <c r="AN19" s="2573">
        <f t="shared" si="7"/>
        <v>0</v>
      </c>
      <c r="AO19" s="2573">
        <f t="shared" si="7"/>
        <v>0</v>
      </c>
      <c r="AP19" s="2573">
        <f t="shared" si="7"/>
        <v>0</v>
      </c>
      <c r="AQ19" s="2573">
        <f t="shared" si="7"/>
        <v>58034.78125</v>
      </c>
      <c r="AR19" s="2573">
        <f t="shared" si="7"/>
        <v>0</v>
      </c>
      <c r="AS19" s="2573">
        <f t="shared" si="7"/>
        <v>0</v>
      </c>
      <c r="AT19" s="2573">
        <f t="shared" si="7"/>
        <v>0</v>
      </c>
      <c r="AU19" s="2573">
        <f t="shared" si="7"/>
        <v>225796.88</v>
      </c>
      <c r="AV19" s="2573">
        <f t="shared" si="7"/>
        <v>0</v>
      </c>
      <c r="AW19" s="2573">
        <f t="shared" si="7"/>
        <v>0</v>
      </c>
      <c r="AX19" s="2573">
        <f t="shared" si="7"/>
        <v>0</v>
      </c>
      <c r="AY19" s="2573">
        <f t="shared" si="7"/>
        <v>0</v>
      </c>
      <c r="AZ19" s="2573">
        <f t="shared" si="7"/>
        <v>0</v>
      </c>
      <c r="BA19" s="2573">
        <v>0</v>
      </c>
      <c r="BB19" s="2574">
        <f>SUM(BB20:BB40)</f>
        <v>0</v>
      </c>
      <c r="BC19" s="2574">
        <f>SUM(BC20:BC40)</f>
        <v>43073.39</v>
      </c>
      <c r="BD19" s="2573">
        <v>0</v>
      </c>
      <c r="BE19" s="2573">
        <f>SUM(BE20:BE40)</f>
        <v>0</v>
      </c>
      <c r="BF19" s="2573">
        <v>0</v>
      </c>
      <c r="BG19" s="2573">
        <f>SUM(BG20:BG40)</f>
        <v>0</v>
      </c>
      <c r="BH19" s="2573">
        <v>0</v>
      </c>
      <c r="BI19" s="2573">
        <v>0</v>
      </c>
      <c r="BJ19" s="2573">
        <v>0</v>
      </c>
      <c r="BK19" s="2573">
        <v>0</v>
      </c>
      <c r="BL19" s="2573">
        <v>0</v>
      </c>
      <c r="BM19" s="2573">
        <v>0</v>
      </c>
      <c r="BN19" s="2573">
        <v>0</v>
      </c>
      <c r="BO19" s="2536">
        <v>0</v>
      </c>
      <c r="BP19" s="2537">
        <v>0</v>
      </c>
    </row>
    <row r="20" spans="1:68" s="20" customFormat="1" ht="14.25" x14ac:dyDescent="0.2">
      <c r="A20" s="2530" t="str">
        <f>MAINELEC</f>
        <v>Main activity electricity plants</v>
      </c>
      <c r="B20" s="2531" t="s">
        <v>940</v>
      </c>
      <c r="C20" s="2567">
        <v>0</v>
      </c>
      <c r="D20" s="2567">
        <v>0</v>
      </c>
      <c r="E20" s="2567">
        <v>117060.295</v>
      </c>
      <c r="F20" s="2567">
        <v>0</v>
      </c>
      <c r="G20" s="2567">
        <v>0</v>
      </c>
      <c r="H20" s="2567">
        <v>0</v>
      </c>
      <c r="I20" s="2567">
        <v>0</v>
      </c>
      <c r="J20" s="2567">
        <v>0</v>
      </c>
      <c r="K20" s="2567">
        <v>0</v>
      </c>
      <c r="L20" s="2567">
        <v>0</v>
      </c>
      <c r="M20" s="2567">
        <v>0</v>
      </c>
      <c r="N20" s="2567">
        <v>0</v>
      </c>
      <c r="O20" s="2567">
        <v>0</v>
      </c>
      <c r="P20" s="2567">
        <v>0</v>
      </c>
      <c r="Q20" s="2567">
        <v>0</v>
      </c>
      <c r="R20" s="2567">
        <v>0</v>
      </c>
      <c r="S20" s="2567">
        <v>0</v>
      </c>
      <c r="T20" s="2567">
        <v>0</v>
      </c>
      <c r="U20" s="2559">
        <v>0</v>
      </c>
      <c r="V20" s="2559">
        <v>0</v>
      </c>
      <c r="W20" s="2559">
        <v>0</v>
      </c>
      <c r="X20" s="2559">
        <v>0</v>
      </c>
      <c r="Y20" s="2559">
        <v>0</v>
      </c>
      <c r="Z20" s="2559">
        <v>0</v>
      </c>
      <c r="AA20" s="2559">
        <v>0</v>
      </c>
      <c r="AB20" s="2559">
        <v>0</v>
      </c>
      <c r="AC20" s="2559">
        <v>0</v>
      </c>
      <c r="AD20" s="2559">
        <v>0</v>
      </c>
      <c r="AE20" s="2559">
        <v>0</v>
      </c>
      <c r="AF20" s="2559">
        <v>0</v>
      </c>
      <c r="AG20" s="2559">
        <v>0</v>
      </c>
      <c r="AH20" s="2559">
        <v>0</v>
      </c>
      <c r="AI20" s="2559">
        <v>0</v>
      </c>
      <c r="AJ20" s="2559">
        <v>0</v>
      </c>
      <c r="AK20" s="2559">
        <v>0</v>
      </c>
      <c r="AL20" s="2560">
        <v>0</v>
      </c>
      <c r="AM20" s="2560">
        <v>0</v>
      </c>
      <c r="AN20" s="2560">
        <v>0</v>
      </c>
      <c r="AO20" s="2560">
        <v>0</v>
      </c>
      <c r="AP20" s="2560">
        <v>0</v>
      </c>
      <c r="AQ20" s="2561">
        <v>0</v>
      </c>
      <c r="AR20" s="2562">
        <v>0</v>
      </c>
      <c r="AS20" s="2562">
        <v>0</v>
      </c>
      <c r="AT20" s="2562">
        <v>0</v>
      </c>
      <c r="AU20" s="2562">
        <v>0</v>
      </c>
      <c r="AV20" s="2562">
        <v>0</v>
      </c>
      <c r="AW20" s="2562">
        <v>0</v>
      </c>
      <c r="AX20" s="2562">
        <v>0</v>
      </c>
      <c r="AY20" s="2562">
        <v>0</v>
      </c>
      <c r="AZ20" s="2562">
        <v>0</v>
      </c>
      <c r="BA20" s="2562">
        <v>0</v>
      </c>
      <c r="BB20" s="2562">
        <v>0</v>
      </c>
      <c r="BC20" s="2563">
        <v>43073.39</v>
      </c>
      <c r="BD20" s="2565">
        <v>781.8</v>
      </c>
      <c r="BE20" s="2565">
        <v>0</v>
      </c>
      <c r="BF20" s="2565">
        <v>0</v>
      </c>
      <c r="BG20" s="2565">
        <v>0</v>
      </c>
      <c r="BH20" s="2565">
        <v>0</v>
      </c>
      <c r="BI20" s="2565">
        <v>0</v>
      </c>
      <c r="BJ20" s="2565">
        <v>0</v>
      </c>
      <c r="BK20" s="2565">
        <v>0</v>
      </c>
      <c r="BL20" s="2565">
        <v>0</v>
      </c>
      <c r="BM20" s="2565">
        <v>0</v>
      </c>
      <c r="BN20" s="2564">
        <v>0</v>
      </c>
      <c r="BO20" s="2527">
        <v>0</v>
      </c>
      <c r="BP20" s="2532">
        <v>0</v>
      </c>
    </row>
    <row r="21" spans="1:68" s="20" customFormat="1" ht="14.25" x14ac:dyDescent="0.2">
      <c r="A21" s="2530" t="str">
        <f>AUTOELEC</f>
        <v>Autoproducer electricity plants</v>
      </c>
      <c r="B21" s="2531" t="s">
        <v>947</v>
      </c>
      <c r="C21" s="2567">
        <v>0</v>
      </c>
      <c r="D21" s="2567">
        <v>0</v>
      </c>
      <c r="E21" s="2567">
        <v>229.34100000000001</v>
      </c>
      <c r="F21" s="2567">
        <v>0</v>
      </c>
      <c r="G21" s="2567">
        <v>0</v>
      </c>
      <c r="H21" s="2567">
        <v>0</v>
      </c>
      <c r="I21" s="2567">
        <v>0</v>
      </c>
      <c r="J21" s="2567">
        <v>0</v>
      </c>
      <c r="K21" s="2567">
        <v>0</v>
      </c>
      <c r="L21" s="2567">
        <v>0</v>
      </c>
      <c r="M21" s="2567">
        <v>0</v>
      </c>
      <c r="N21" s="2567">
        <v>0</v>
      </c>
      <c r="O21" s="2567">
        <v>0</v>
      </c>
      <c r="P21" s="2567">
        <v>0</v>
      </c>
      <c r="Q21" s="2567">
        <v>0</v>
      </c>
      <c r="R21" s="2567">
        <v>0</v>
      </c>
      <c r="S21" s="2567">
        <v>0</v>
      </c>
      <c r="T21" s="2567">
        <v>0</v>
      </c>
      <c r="U21" s="2559">
        <v>0</v>
      </c>
      <c r="V21" s="2559">
        <v>0</v>
      </c>
      <c r="W21" s="2559">
        <v>0</v>
      </c>
      <c r="X21" s="2559">
        <v>0</v>
      </c>
      <c r="Y21" s="2559">
        <v>0</v>
      </c>
      <c r="Z21" s="2559">
        <v>0</v>
      </c>
      <c r="AA21" s="2559">
        <v>0</v>
      </c>
      <c r="AB21" s="2559">
        <v>0</v>
      </c>
      <c r="AC21" s="2559">
        <v>0</v>
      </c>
      <c r="AD21" s="2559">
        <v>0</v>
      </c>
      <c r="AE21" s="2559">
        <v>0</v>
      </c>
      <c r="AF21" s="2559">
        <v>0</v>
      </c>
      <c r="AG21" s="2559">
        <v>0</v>
      </c>
      <c r="AH21" s="2559">
        <v>0</v>
      </c>
      <c r="AI21" s="2559">
        <v>0</v>
      </c>
      <c r="AJ21" s="2559">
        <v>0</v>
      </c>
      <c r="AK21" s="2559">
        <v>0</v>
      </c>
      <c r="AL21" s="2560">
        <v>0</v>
      </c>
      <c r="AM21" s="2560">
        <v>0</v>
      </c>
      <c r="AN21" s="2560">
        <v>0</v>
      </c>
      <c r="AO21" s="2560">
        <v>0</v>
      </c>
      <c r="AP21" s="2560">
        <v>0</v>
      </c>
      <c r="AQ21" s="2569">
        <v>0</v>
      </c>
      <c r="AR21" s="2562">
        <v>0</v>
      </c>
      <c r="AS21" s="2562">
        <v>0</v>
      </c>
      <c r="AT21" s="2562">
        <v>0</v>
      </c>
      <c r="AU21" s="2570">
        <v>4295.21</v>
      </c>
      <c r="AV21" s="2562">
        <v>0</v>
      </c>
      <c r="AW21" s="2562">
        <v>0</v>
      </c>
      <c r="AX21" s="2562">
        <v>0</v>
      </c>
      <c r="AY21" s="2562">
        <v>0</v>
      </c>
      <c r="AZ21" s="2562">
        <v>0</v>
      </c>
      <c r="BA21" s="2562">
        <v>0</v>
      </c>
      <c r="BB21" s="2562">
        <v>0</v>
      </c>
      <c r="BC21" s="2565">
        <v>0</v>
      </c>
      <c r="BD21" s="2565">
        <v>0</v>
      </c>
      <c r="BE21" s="2565">
        <v>0</v>
      </c>
      <c r="BF21" s="2565">
        <v>0</v>
      </c>
      <c r="BG21" s="2565">
        <v>0</v>
      </c>
      <c r="BH21" s="2565">
        <v>0</v>
      </c>
      <c r="BI21" s="2565">
        <v>0</v>
      </c>
      <c r="BJ21" s="2565">
        <v>0</v>
      </c>
      <c r="BK21" s="2565">
        <v>0</v>
      </c>
      <c r="BL21" s="2565">
        <v>0</v>
      </c>
      <c r="BM21" s="2565">
        <v>0</v>
      </c>
      <c r="BN21" s="2564">
        <v>0</v>
      </c>
      <c r="BO21" s="2527">
        <v>0</v>
      </c>
      <c r="BP21" s="2532">
        <v>0</v>
      </c>
    </row>
    <row r="22" spans="1:68" s="20" customFormat="1" ht="14.25" x14ac:dyDescent="0.2">
      <c r="A22" s="2530" t="str">
        <f>MAINCHP</f>
        <v>Main activity producer CHP plants</v>
      </c>
      <c r="B22" s="2531" t="s">
        <v>954</v>
      </c>
      <c r="C22" s="2567">
        <v>0</v>
      </c>
      <c r="D22" s="2567">
        <v>0</v>
      </c>
      <c r="E22" s="2567">
        <v>0</v>
      </c>
      <c r="F22" s="2567">
        <v>0</v>
      </c>
      <c r="G22" s="2567">
        <v>0</v>
      </c>
      <c r="H22" s="2567">
        <v>0</v>
      </c>
      <c r="I22" s="2567">
        <v>0</v>
      </c>
      <c r="J22" s="2567">
        <v>0</v>
      </c>
      <c r="K22" s="2567">
        <v>0</v>
      </c>
      <c r="L22" s="2567">
        <v>0</v>
      </c>
      <c r="M22" s="2567">
        <v>0</v>
      </c>
      <c r="N22" s="2567">
        <v>0</v>
      </c>
      <c r="O22" s="2567">
        <v>0</v>
      </c>
      <c r="P22" s="2567">
        <v>0</v>
      </c>
      <c r="Q22" s="2567">
        <v>0</v>
      </c>
      <c r="R22" s="2567">
        <v>0</v>
      </c>
      <c r="S22" s="2567">
        <v>0</v>
      </c>
      <c r="T22" s="2567">
        <v>0</v>
      </c>
      <c r="U22" s="2559">
        <v>0</v>
      </c>
      <c r="V22" s="2559">
        <v>0</v>
      </c>
      <c r="W22" s="2559">
        <v>0</v>
      </c>
      <c r="X22" s="2559">
        <v>0</v>
      </c>
      <c r="Y22" s="2559">
        <v>0</v>
      </c>
      <c r="Z22" s="2559">
        <v>0</v>
      </c>
      <c r="AA22" s="2559">
        <v>0</v>
      </c>
      <c r="AB22" s="2559">
        <v>0</v>
      </c>
      <c r="AC22" s="2559">
        <v>0</v>
      </c>
      <c r="AD22" s="2559">
        <v>0</v>
      </c>
      <c r="AE22" s="2559">
        <v>0</v>
      </c>
      <c r="AF22" s="2559">
        <v>0</v>
      </c>
      <c r="AG22" s="2559">
        <v>0</v>
      </c>
      <c r="AH22" s="2559">
        <v>0</v>
      </c>
      <c r="AI22" s="2559">
        <v>0</v>
      </c>
      <c r="AJ22" s="2559">
        <v>0</v>
      </c>
      <c r="AK22" s="2559">
        <v>0</v>
      </c>
      <c r="AL22" s="2560">
        <v>0</v>
      </c>
      <c r="AM22" s="2560">
        <v>0</v>
      </c>
      <c r="AN22" s="2560">
        <v>0</v>
      </c>
      <c r="AO22" s="2560">
        <v>0</v>
      </c>
      <c r="AP22" s="2560">
        <v>0</v>
      </c>
      <c r="AQ22" s="2569">
        <v>0</v>
      </c>
      <c r="AR22" s="2565">
        <v>0</v>
      </c>
      <c r="AS22" s="2565">
        <v>0</v>
      </c>
      <c r="AT22" s="2565">
        <v>0</v>
      </c>
      <c r="AU22" s="2565">
        <v>0</v>
      </c>
      <c r="AV22" s="2565">
        <v>0</v>
      </c>
      <c r="AW22" s="2565">
        <v>0</v>
      </c>
      <c r="AX22" s="2565">
        <v>0</v>
      </c>
      <c r="AY22" s="2565">
        <v>0</v>
      </c>
      <c r="AZ22" s="2565">
        <v>0</v>
      </c>
      <c r="BA22" s="2565">
        <v>0</v>
      </c>
      <c r="BB22" s="2565">
        <v>0</v>
      </c>
      <c r="BC22" s="2565">
        <v>0</v>
      </c>
      <c r="BD22" s="2565">
        <v>0</v>
      </c>
      <c r="BE22" s="2565">
        <v>0</v>
      </c>
      <c r="BF22" s="2565">
        <v>0</v>
      </c>
      <c r="BG22" s="2565">
        <v>0</v>
      </c>
      <c r="BH22" s="2565">
        <v>0</v>
      </c>
      <c r="BI22" s="2565">
        <v>0</v>
      </c>
      <c r="BJ22" s="2565">
        <v>0</v>
      </c>
      <c r="BK22" s="2565">
        <v>0</v>
      </c>
      <c r="BL22" s="2565">
        <v>0</v>
      </c>
      <c r="BM22" s="2565">
        <v>0</v>
      </c>
      <c r="BN22" s="2564">
        <v>0</v>
      </c>
      <c r="BO22" s="2527">
        <v>0</v>
      </c>
      <c r="BP22" s="2532">
        <v>0</v>
      </c>
    </row>
    <row r="23" spans="1:68" s="20" customFormat="1" ht="14.25" x14ac:dyDescent="0.2">
      <c r="A23" s="2530" t="str">
        <f>AUTOCHP</f>
        <v>Autoproducer CHP plants</v>
      </c>
      <c r="B23" s="2531" t="s">
        <v>961</v>
      </c>
      <c r="C23" s="2567">
        <v>0</v>
      </c>
      <c r="D23" s="2567">
        <v>0</v>
      </c>
      <c r="E23" s="2567">
        <v>0</v>
      </c>
      <c r="F23" s="2567">
        <v>0</v>
      </c>
      <c r="G23" s="2567">
        <v>0</v>
      </c>
      <c r="H23" s="2567">
        <v>0</v>
      </c>
      <c r="I23" s="2567">
        <v>0</v>
      </c>
      <c r="J23" s="2567">
        <v>0</v>
      </c>
      <c r="K23" s="2567">
        <v>0</v>
      </c>
      <c r="L23" s="2567">
        <v>0</v>
      </c>
      <c r="M23" s="2567">
        <v>0</v>
      </c>
      <c r="N23" s="2567">
        <v>0</v>
      </c>
      <c r="O23" s="2567">
        <v>0</v>
      </c>
      <c r="P23" s="2567">
        <v>0</v>
      </c>
      <c r="Q23" s="2567">
        <v>0</v>
      </c>
      <c r="R23" s="2567">
        <v>0</v>
      </c>
      <c r="S23" s="2567">
        <v>0</v>
      </c>
      <c r="T23" s="2567">
        <v>0</v>
      </c>
      <c r="U23" s="2559">
        <v>0</v>
      </c>
      <c r="V23" s="2559">
        <v>0</v>
      </c>
      <c r="W23" s="2559">
        <v>0</v>
      </c>
      <c r="X23" s="2559">
        <v>0</v>
      </c>
      <c r="Y23" s="2559">
        <v>0</v>
      </c>
      <c r="Z23" s="2559">
        <v>0</v>
      </c>
      <c r="AA23" s="2559">
        <v>0</v>
      </c>
      <c r="AB23" s="2559">
        <v>0</v>
      </c>
      <c r="AC23" s="2559">
        <v>0</v>
      </c>
      <c r="AD23" s="2559">
        <v>0</v>
      </c>
      <c r="AE23" s="2559">
        <v>0</v>
      </c>
      <c r="AF23" s="2559">
        <v>0</v>
      </c>
      <c r="AG23" s="2559">
        <v>0</v>
      </c>
      <c r="AH23" s="2559">
        <v>0</v>
      </c>
      <c r="AI23" s="2559">
        <v>0</v>
      </c>
      <c r="AJ23" s="2559">
        <v>0</v>
      </c>
      <c r="AK23" s="2559">
        <v>0</v>
      </c>
      <c r="AL23" s="2560">
        <v>0</v>
      </c>
      <c r="AM23" s="2560">
        <v>0</v>
      </c>
      <c r="AN23" s="2560">
        <v>0</v>
      </c>
      <c r="AO23" s="2560">
        <v>0</v>
      </c>
      <c r="AP23" s="2560">
        <v>0</v>
      </c>
      <c r="AQ23" s="2569">
        <v>0</v>
      </c>
      <c r="AR23" s="2565">
        <v>0</v>
      </c>
      <c r="AS23" s="2565">
        <v>0</v>
      </c>
      <c r="AT23" s="2565">
        <v>0</v>
      </c>
      <c r="AU23" s="2565">
        <v>0</v>
      </c>
      <c r="AV23" s="2565">
        <v>0</v>
      </c>
      <c r="AW23" s="2565">
        <v>0</v>
      </c>
      <c r="AX23" s="2565">
        <v>0</v>
      </c>
      <c r="AY23" s="2565">
        <v>0</v>
      </c>
      <c r="AZ23" s="2565">
        <v>0</v>
      </c>
      <c r="BA23" s="2565">
        <v>0</v>
      </c>
      <c r="BB23" s="2565">
        <v>0</v>
      </c>
      <c r="BC23" s="2565">
        <v>0</v>
      </c>
      <c r="BD23" s="2565">
        <v>0</v>
      </c>
      <c r="BE23" s="2565">
        <v>0</v>
      </c>
      <c r="BF23" s="2565">
        <v>0</v>
      </c>
      <c r="BG23" s="2565">
        <v>0</v>
      </c>
      <c r="BH23" s="2565">
        <v>0</v>
      </c>
      <c r="BI23" s="2565">
        <v>0</v>
      </c>
      <c r="BJ23" s="2565">
        <v>0</v>
      </c>
      <c r="BK23" s="2565">
        <v>0</v>
      </c>
      <c r="BL23" s="2565">
        <v>0</v>
      </c>
      <c r="BM23" s="2565">
        <v>0</v>
      </c>
      <c r="BN23" s="2564">
        <v>0</v>
      </c>
      <c r="BO23" s="2527">
        <v>0</v>
      </c>
      <c r="BP23" s="2532">
        <v>0</v>
      </c>
    </row>
    <row r="24" spans="1:68" s="20" customFormat="1" ht="14.25" x14ac:dyDescent="0.2">
      <c r="A24" s="2530" t="str">
        <f>MAINHEAT</f>
        <v>Main activity producer heat plants</v>
      </c>
      <c r="B24" s="2531" t="s">
        <v>968</v>
      </c>
      <c r="C24" s="2567">
        <v>0</v>
      </c>
      <c r="D24" s="2567">
        <v>0</v>
      </c>
      <c r="E24" s="2567">
        <v>0</v>
      </c>
      <c r="F24" s="2567">
        <v>0</v>
      </c>
      <c r="G24" s="2567">
        <v>0</v>
      </c>
      <c r="H24" s="2567">
        <v>0</v>
      </c>
      <c r="I24" s="2567">
        <v>0</v>
      </c>
      <c r="J24" s="2567">
        <v>0</v>
      </c>
      <c r="K24" s="2567">
        <v>0</v>
      </c>
      <c r="L24" s="2567">
        <v>0</v>
      </c>
      <c r="M24" s="2567">
        <v>0</v>
      </c>
      <c r="N24" s="2567">
        <v>0</v>
      </c>
      <c r="O24" s="2567">
        <v>0</v>
      </c>
      <c r="P24" s="2567">
        <v>0</v>
      </c>
      <c r="Q24" s="2567">
        <v>0</v>
      </c>
      <c r="R24" s="2567">
        <v>0</v>
      </c>
      <c r="S24" s="2567">
        <v>0</v>
      </c>
      <c r="T24" s="2567">
        <v>0</v>
      </c>
      <c r="U24" s="2559">
        <v>0</v>
      </c>
      <c r="V24" s="2559">
        <v>0</v>
      </c>
      <c r="W24" s="2559">
        <v>0</v>
      </c>
      <c r="X24" s="2559">
        <v>0</v>
      </c>
      <c r="Y24" s="2559">
        <v>0</v>
      </c>
      <c r="Z24" s="2559">
        <v>0</v>
      </c>
      <c r="AA24" s="2559">
        <v>0</v>
      </c>
      <c r="AB24" s="2559">
        <v>0</v>
      </c>
      <c r="AC24" s="2559">
        <v>0</v>
      </c>
      <c r="AD24" s="2559">
        <v>0</v>
      </c>
      <c r="AE24" s="2559">
        <v>0</v>
      </c>
      <c r="AF24" s="2559">
        <v>0</v>
      </c>
      <c r="AG24" s="2559">
        <v>0</v>
      </c>
      <c r="AH24" s="2559">
        <v>0</v>
      </c>
      <c r="AI24" s="2559">
        <v>0</v>
      </c>
      <c r="AJ24" s="2559">
        <v>0</v>
      </c>
      <c r="AK24" s="2559">
        <v>0</v>
      </c>
      <c r="AL24" s="2560">
        <v>0</v>
      </c>
      <c r="AM24" s="2560">
        <v>0</v>
      </c>
      <c r="AN24" s="2560">
        <v>0</v>
      </c>
      <c r="AO24" s="2560">
        <v>0</v>
      </c>
      <c r="AP24" s="2560">
        <v>0</v>
      </c>
      <c r="AQ24" s="2561">
        <v>0</v>
      </c>
      <c r="AR24" s="2562">
        <v>0</v>
      </c>
      <c r="AS24" s="2562">
        <v>0</v>
      </c>
      <c r="AT24" s="2562">
        <v>0</v>
      </c>
      <c r="AU24" s="2562">
        <v>0</v>
      </c>
      <c r="AV24" s="2562">
        <v>0</v>
      </c>
      <c r="AW24" s="2562">
        <v>0</v>
      </c>
      <c r="AX24" s="2562">
        <v>0</v>
      </c>
      <c r="AY24" s="2562">
        <v>0</v>
      </c>
      <c r="AZ24" s="2562">
        <v>0</v>
      </c>
      <c r="BA24" s="2562">
        <v>0</v>
      </c>
      <c r="BB24" s="2562">
        <v>0</v>
      </c>
      <c r="BC24" s="2565">
        <v>0</v>
      </c>
      <c r="BD24" s="2565">
        <v>0</v>
      </c>
      <c r="BE24" s="2565">
        <v>0</v>
      </c>
      <c r="BF24" s="2565">
        <v>0</v>
      </c>
      <c r="BG24" s="2565">
        <v>0</v>
      </c>
      <c r="BH24" s="2565">
        <v>0</v>
      </c>
      <c r="BI24" s="2565">
        <v>0</v>
      </c>
      <c r="BJ24" s="2565">
        <v>0</v>
      </c>
      <c r="BK24" s="2565">
        <v>0</v>
      </c>
      <c r="BL24" s="2565">
        <v>0</v>
      </c>
      <c r="BM24" s="2565">
        <v>0</v>
      </c>
      <c r="BN24" s="2564">
        <v>0</v>
      </c>
      <c r="BO24" s="2527">
        <v>0</v>
      </c>
      <c r="BP24" s="2532">
        <v>0</v>
      </c>
    </row>
    <row r="25" spans="1:68" s="20" customFormat="1" ht="14.25" x14ac:dyDescent="0.2">
      <c r="A25" s="2530" t="str">
        <f>AUTOHEAT</f>
        <v>Autoproducer heat plants</v>
      </c>
      <c r="B25" s="2531" t="s">
        <v>975</v>
      </c>
      <c r="C25" s="2567">
        <v>0</v>
      </c>
      <c r="D25" s="2567">
        <v>0</v>
      </c>
      <c r="E25" s="2567">
        <v>0</v>
      </c>
      <c r="F25" s="2567">
        <v>0</v>
      </c>
      <c r="G25" s="2567">
        <v>0</v>
      </c>
      <c r="H25" s="2567">
        <v>0</v>
      </c>
      <c r="I25" s="2567">
        <v>0</v>
      </c>
      <c r="J25" s="2567">
        <v>0</v>
      </c>
      <c r="K25" s="2567">
        <v>0</v>
      </c>
      <c r="L25" s="2567">
        <v>0</v>
      </c>
      <c r="M25" s="2567">
        <v>0</v>
      </c>
      <c r="N25" s="2567">
        <v>0</v>
      </c>
      <c r="O25" s="2567">
        <v>0</v>
      </c>
      <c r="P25" s="2567">
        <v>0</v>
      </c>
      <c r="Q25" s="2567">
        <v>0</v>
      </c>
      <c r="R25" s="2567">
        <v>0</v>
      </c>
      <c r="S25" s="2567">
        <v>0</v>
      </c>
      <c r="T25" s="2567">
        <v>0</v>
      </c>
      <c r="U25" s="2559">
        <v>0</v>
      </c>
      <c r="V25" s="2559">
        <v>0</v>
      </c>
      <c r="W25" s="2559">
        <v>0</v>
      </c>
      <c r="X25" s="2559">
        <v>0</v>
      </c>
      <c r="Y25" s="2559">
        <v>0</v>
      </c>
      <c r="Z25" s="2559">
        <v>0</v>
      </c>
      <c r="AA25" s="2559">
        <v>0</v>
      </c>
      <c r="AB25" s="2559">
        <v>0</v>
      </c>
      <c r="AC25" s="2559">
        <v>0</v>
      </c>
      <c r="AD25" s="2559">
        <v>0</v>
      </c>
      <c r="AE25" s="2559">
        <v>0</v>
      </c>
      <c r="AF25" s="2559">
        <v>0</v>
      </c>
      <c r="AG25" s="2559">
        <v>0</v>
      </c>
      <c r="AH25" s="2559">
        <v>0</v>
      </c>
      <c r="AI25" s="2559">
        <v>0</v>
      </c>
      <c r="AJ25" s="2559">
        <v>0</v>
      </c>
      <c r="AK25" s="2559">
        <v>0</v>
      </c>
      <c r="AL25" s="2560">
        <v>0</v>
      </c>
      <c r="AM25" s="2560">
        <v>0</v>
      </c>
      <c r="AN25" s="2560">
        <v>0</v>
      </c>
      <c r="AO25" s="2560">
        <v>0</v>
      </c>
      <c r="AP25" s="2560">
        <v>0</v>
      </c>
      <c r="AQ25" s="2569">
        <v>0</v>
      </c>
      <c r="AR25" s="2562">
        <v>0</v>
      </c>
      <c r="AS25" s="2562">
        <v>0</v>
      </c>
      <c r="AT25" s="2562">
        <v>0</v>
      </c>
      <c r="AU25" s="2562">
        <v>0</v>
      </c>
      <c r="AV25" s="2562">
        <v>0</v>
      </c>
      <c r="AW25" s="2562">
        <v>0</v>
      </c>
      <c r="AX25" s="2562">
        <v>0</v>
      </c>
      <c r="AY25" s="2562">
        <v>0</v>
      </c>
      <c r="AZ25" s="2562">
        <v>0</v>
      </c>
      <c r="BA25" s="2562">
        <v>0</v>
      </c>
      <c r="BB25" s="2562">
        <v>0</v>
      </c>
      <c r="BC25" s="2565">
        <v>0</v>
      </c>
      <c r="BD25" s="2565">
        <v>0</v>
      </c>
      <c r="BE25" s="2565">
        <v>0</v>
      </c>
      <c r="BF25" s="2565">
        <v>0</v>
      </c>
      <c r="BG25" s="2565">
        <v>0</v>
      </c>
      <c r="BH25" s="2565">
        <v>0</v>
      </c>
      <c r="BI25" s="2565">
        <v>0</v>
      </c>
      <c r="BJ25" s="2565">
        <v>0</v>
      </c>
      <c r="BK25" s="2565">
        <v>0</v>
      </c>
      <c r="BL25" s="2565">
        <v>0</v>
      </c>
      <c r="BM25" s="2565">
        <v>0</v>
      </c>
      <c r="BN25" s="2564">
        <v>0</v>
      </c>
      <c r="BO25" s="2527">
        <v>0</v>
      </c>
      <c r="BP25" s="2532">
        <v>0</v>
      </c>
    </row>
    <row r="26" spans="1:68" s="20" customFormat="1" ht="14.25" x14ac:dyDescent="0.2">
      <c r="A26" s="2530" t="str">
        <f>THEAT</f>
        <v>Heat pumps</v>
      </c>
      <c r="B26" s="2531" t="s">
        <v>982</v>
      </c>
      <c r="C26" s="2565">
        <v>0</v>
      </c>
      <c r="D26" s="2565">
        <v>0</v>
      </c>
      <c r="E26" s="2565">
        <v>0</v>
      </c>
      <c r="F26" s="2565">
        <v>0</v>
      </c>
      <c r="G26" s="2565">
        <v>0</v>
      </c>
      <c r="H26" s="2565">
        <v>0</v>
      </c>
      <c r="I26" s="2565">
        <v>0</v>
      </c>
      <c r="J26" s="2565">
        <v>0</v>
      </c>
      <c r="K26" s="2565">
        <v>0</v>
      </c>
      <c r="L26" s="2565">
        <v>0</v>
      </c>
      <c r="M26" s="2565">
        <v>0</v>
      </c>
      <c r="N26" s="2565">
        <v>0</v>
      </c>
      <c r="O26" s="2565">
        <v>0</v>
      </c>
      <c r="P26" s="2565">
        <v>0</v>
      </c>
      <c r="Q26" s="2565">
        <v>0</v>
      </c>
      <c r="R26" s="2565">
        <v>0</v>
      </c>
      <c r="S26" s="2565">
        <v>0</v>
      </c>
      <c r="T26" s="2565">
        <v>0</v>
      </c>
      <c r="U26" s="2559">
        <v>0</v>
      </c>
      <c r="V26" s="2559">
        <v>0</v>
      </c>
      <c r="W26" s="2559">
        <v>0</v>
      </c>
      <c r="X26" s="2559">
        <v>0</v>
      </c>
      <c r="Y26" s="2559">
        <v>0</v>
      </c>
      <c r="Z26" s="2559">
        <v>0</v>
      </c>
      <c r="AA26" s="2559">
        <v>0</v>
      </c>
      <c r="AB26" s="2559">
        <v>0</v>
      </c>
      <c r="AC26" s="2559">
        <v>0</v>
      </c>
      <c r="AD26" s="2559">
        <v>0</v>
      </c>
      <c r="AE26" s="2559">
        <v>0</v>
      </c>
      <c r="AF26" s="2559">
        <v>0</v>
      </c>
      <c r="AG26" s="2559">
        <v>0</v>
      </c>
      <c r="AH26" s="2559">
        <v>0</v>
      </c>
      <c r="AI26" s="2559">
        <v>0</v>
      </c>
      <c r="AJ26" s="2559">
        <v>0</v>
      </c>
      <c r="AK26" s="2559">
        <v>0</v>
      </c>
      <c r="AL26" s="2560">
        <v>0</v>
      </c>
      <c r="AM26" s="2560">
        <v>0</v>
      </c>
      <c r="AN26" s="2560">
        <v>0</v>
      </c>
      <c r="AO26" s="2560">
        <v>0</v>
      </c>
      <c r="AP26" s="2560">
        <v>0</v>
      </c>
      <c r="AQ26" s="2569">
        <v>0</v>
      </c>
      <c r="AR26" s="2565">
        <v>0</v>
      </c>
      <c r="AS26" s="2565">
        <v>0</v>
      </c>
      <c r="AT26" s="2565">
        <v>0</v>
      </c>
      <c r="AU26" s="2565">
        <v>0</v>
      </c>
      <c r="AV26" s="2565">
        <v>0</v>
      </c>
      <c r="AW26" s="2565">
        <v>0</v>
      </c>
      <c r="AX26" s="2565">
        <v>0</v>
      </c>
      <c r="AY26" s="2565">
        <v>0</v>
      </c>
      <c r="AZ26" s="2565">
        <v>0</v>
      </c>
      <c r="BA26" s="2565">
        <v>0</v>
      </c>
      <c r="BB26" s="2565">
        <v>0</v>
      </c>
      <c r="BC26" s="2565">
        <v>0</v>
      </c>
      <c r="BD26" s="2565">
        <v>0</v>
      </c>
      <c r="BE26" s="2565">
        <v>0</v>
      </c>
      <c r="BF26" s="2565">
        <v>0</v>
      </c>
      <c r="BG26" s="2565">
        <v>0</v>
      </c>
      <c r="BH26" s="2565">
        <v>0</v>
      </c>
      <c r="BI26" s="2565">
        <v>0</v>
      </c>
      <c r="BJ26" s="2565">
        <v>0</v>
      </c>
      <c r="BK26" s="2565">
        <v>0</v>
      </c>
      <c r="BL26" s="2565">
        <v>0</v>
      </c>
      <c r="BM26" s="2565">
        <v>0</v>
      </c>
      <c r="BN26" s="2564">
        <v>0</v>
      </c>
      <c r="BO26" s="2527">
        <v>0</v>
      </c>
      <c r="BP26" s="2532">
        <v>0</v>
      </c>
    </row>
    <row r="27" spans="1:68" s="20" customFormat="1" ht="14.25" x14ac:dyDescent="0.2">
      <c r="A27" s="2530" t="str">
        <f>TBOILER</f>
        <v>Electric boilers</v>
      </c>
      <c r="B27" s="2531" t="s">
        <v>986</v>
      </c>
      <c r="C27" s="2565">
        <v>0</v>
      </c>
      <c r="D27" s="2565">
        <v>0</v>
      </c>
      <c r="E27" s="2565">
        <v>0</v>
      </c>
      <c r="F27" s="2565">
        <v>0</v>
      </c>
      <c r="G27" s="2565">
        <v>0</v>
      </c>
      <c r="H27" s="2565">
        <v>0</v>
      </c>
      <c r="I27" s="2565">
        <v>0</v>
      </c>
      <c r="J27" s="2565">
        <v>0</v>
      </c>
      <c r="K27" s="2565">
        <v>0</v>
      </c>
      <c r="L27" s="2565">
        <v>0</v>
      </c>
      <c r="M27" s="2565">
        <v>0</v>
      </c>
      <c r="N27" s="2565">
        <v>0</v>
      </c>
      <c r="O27" s="2565">
        <v>0</v>
      </c>
      <c r="P27" s="2565">
        <v>0</v>
      </c>
      <c r="Q27" s="2565">
        <v>0</v>
      </c>
      <c r="R27" s="2565">
        <v>0</v>
      </c>
      <c r="S27" s="2565">
        <v>0</v>
      </c>
      <c r="T27" s="2565">
        <v>0</v>
      </c>
      <c r="U27" s="2559">
        <v>0</v>
      </c>
      <c r="V27" s="2559">
        <v>0</v>
      </c>
      <c r="W27" s="2559">
        <v>0</v>
      </c>
      <c r="X27" s="2559">
        <v>0</v>
      </c>
      <c r="Y27" s="2559">
        <v>0</v>
      </c>
      <c r="Z27" s="2559">
        <v>0</v>
      </c>
      <c r="AA27" s="2559">
        <v>0</v>
      </c>
      <c r="AB27" s="2559">
        <v>0</v>
      </c>
      <c r="AC27" s="2559">
        <v>0</v>
      </c>
      <c r="AD27" s="2559">
        <v>0</v>
      </c>
      <c r="AE27" s="2559">
        <v>0</v>
      </c>
      <c r="AF27" s="2559">
        <v>0</v>
      </c>
      <c r="AG27" s="2559">
        <v>0</v>
      </c>
      <c r="AH27" s="2559">
        <v>0</v>
      </c>
      <c r="AI27" s="2559">
        <v>0</v>
      </c>
      <c r="AJ27" s="2559">
        <v>0</v>
      </c>
      <c r="AK27" s="2559">
        <v>0</v>
      </c>
      <c r="AL27" s="2560">
        <v>0</v>
      </c>
      <c r="AM27" s="2560">
        <v>0</v>
      </c>
      <c r="AN27" s="2560">
        <v>0</v>
      </c>
      <c r="AO27" s="2560">
        <v>0</v>
      </c>
      <c r="AP27" s="2560">
        <v>0</v>
      </c>
      <c r="AQ27" s="2561">
        <v>0</v>
      </c>
      <c r="AR27" s="2565">
        <v>0</v>
      </c>
      <c r="AS27" s="2565">
        <v>0</v>
      </c>
      <c r="AT27" s="2565">
        <v>0</v>
      </c>
      <c r="AU27" s="2565">
        <v>0</v>
      </c>
      <c r="AV27" s="2565">
        <v>0</v>
      </c>
      <c r="AW27" s="2565">
        <v>0</v>
      </c>
      <c r="AX27" s="2565">
        <v>0</v>
      </c>
      <c r="AY27" s="2565">
        <v>0</v>
      </c>
      <c r="AZ27" s="2565">
        <v>0</v>
      </c>
      <c r="BA27" s="2565">
        <v>0</v>
      </c>
      <c r="BB27" s="2565">
        <v>0</v>
      </c>
      <c r="BC27" s="2565">
        <v>0</v>
      </c>
      <c r="BD27" s="2565">
        <v>0</v>
      </c>
      <c r="BE27" s="2565">
        <v>0</v>
      </c>
      <c r="BF27" s="2565">
        <v>0</v>
      </c>
      <c r="BG27" s="2565">
        <v>0</v>
      </c>
      <c r="BH27" s="2565">
        <v>0</v>
      </c>
      <c r="BI27" s="2565">
        <v>0</v>
      </c>
      <c r="BJ27" s="2565">
        <v>0</v>
      </c>
      <c r="BK27" s="2565">
        <v>0</v>
      </c>
      <c r="BL27" s="2565">
        <v>0</v>
      </c>
      <c r="BM27" s="2565">
        <v>0</v>
      </c>
      <c r="BN27" s="2564">
        <v>0</v>
      </c>
      <c r="BO27" s="2527">
        <v>0</v>
      </c>
      <c r="BP27" s="2532">
        <v>0</v>
      </c>
    </row>
    <row r="28" spans="1:68" s="20" customFormat="1" ht="14.25" x14ac:dyDescent="0.2">
      <c r="A28" s="2530" t="str">
        <f>TELE</f>
        <v>Chemical heat for electricity production</v>
      </c>
      <c r="B28" s="2531" t="s">
        <v>991</v>
      </c>
      <c r="C28" s="2565">
        <v>0</v>
      </c>
      <c r="D28" s="2565">
        <v>0</v>
      </c>
      <c r="E28" s="2565">
        <v>0</v>
      </c>
      <c r="F28" s="2565">
        <v>0</v>
      </c>
      <c r="G28" s="2565">
        <v>0</v>
      </c>
      <c r="H28" s="2565">
        <v>0</v>
      </c>
      <c r="I28" s="2565">
        <v>0</v>
      </c>
      <c r="J28" s="2565">
        <v>0</v>
      </c>
      <c r="K28" s="2565">
        <v>0</v>
      </c>
      <c r="L28" s="2565">
        <v>0</v>
      </c>
      <c r="M28" s="2565">
        <v>0</v>
      </c>
      <c r="N28" s="2565">
        <v>0</v>
      </c>
      <c r="O28" s="2565">
        <v>0</v>
      </c>
      <c r="P28" s="2565">
        <v>0</v>
      </c>
      <c r="Q28" s="2565">
        <v>0</v>
      </c>
      <c r="R28" s="2565">
        <v>0</v>
      </c>
      <c r="S28" s="2565">
        <v>0</v>
      </c>
      <c r="T28" s="2565">
        <v>0</v>
      </c>
      <c r="U28" s="2559">
        <v>0</v>
      </c>
      <c r="V28" s="2559">
        <v>0</v>
      </c>
      <c r="W28" s="2559">
        <v>0</v>
      </c>
      <c r="X28" s="2559">
        <v>0</v>
      </c>
      <c r="Y28" s="2559">
        <v>0</v>
      </c>
      <c r="Z28" s="2559">
        <v>0</v>
      </c>
      <c r="AA28" s="2559">
        <v>0</v>
      </c>
      <c r="AB28" s="2559">
        <v>0</v>
      </c>
      <c r="AC28" s="2559">
        <v>0</v>
      </c>
      <c r="AD28" s="2559">
        <v>0</v>
      </c>
      <c r="AE28" s="2559">
        <v>0</v>
      </c>
      <c r="AF28" s="2559">
        <v>0</v>
      </c>
      <c r="AG28" s="2559">
        <v>0</v>
      </c>
      <c r="AH28" s="2559">
        <v>0</v>
      </c>
      <c r="AI28" s="2559">
        <v>0</v>
      </c>
      <c r="AJ28" s="2559">
        <v>0</v>
      </c>
      <c r="AK28" s="2559">
        <v>0</v>
      </c>
      <c r="AL28" s="2560">
        <v>0</v>
      </c>
      <c r="AM28" s="2560">
        <v>0</v>
      </c>
      <c r="AN28" s="2560">
        <v>0</v>
      </c>
      <c r="AO28" s="2560">
        <v>0</v>
      </c>
      <c r="AP28" s="2560">
        <v>0</v>
      </c>
      <c r="AQ28" s="2569">
        <v>0</v>
      </c>
      <c r="AR28" s="2562">
        <v>0</v>
      </c>
      <c r="AS28" s="2562">
        <v>0</v>
      </c>
      <c r="AT28" s="2562">
        <v>0</v>
      </c>
      <c r="AU28" s="2562">
        <v>0</v>
      </c>
      <c r="AV28" s="2562">
        <v>0</v>
      </c>
      <c r="AW28" s="2562">
        <v>0</v>
      </c>
      <c r="AX28" s="2562">
        <v>0</v>
      </c>
      <c r="AY28" s="2562">
        <v>0</v>
      </c>
      <c r="AZ28" s="2562">
        <v>0</v>
      </c>
      <c r="BA28" s="2562">
        <v>0</v>
      </c>
      <c r="BB28" s="2562">
        <v>0</v>
      </c>
      <c r="BC28" s="2565">
        <v>0</v>
      </c>
      <c r="BD28" s="2565">
        <v>0</v>
      </c>
      <c r="BE28" s="2565">
        <v>0</v>
      </c>
      <c r="BF28" s="2565">
        <v>0</v>
      </c>
      <c r="BG28" s="2565">
        <v>0</v>
      </c>
      <c r="BH28" s="2565">
        <v>0</v>
      </c>
      <c r="BI28" s="2565">
        <v>0</v>
      </c>
      <c r="BJ28" s="2565">
        <v>0</v>
      </c>
      <c r="BK28" s="2565">
        <v>0</v>
      </c>
      <c r="BL28" s="2565">
        <v>0</v>
      </c>
      <c r="BM28" s="2565">
        <v>0</v>
      </c>
      <c r="BN28" s="2564">
        <v>0</v>
      </c>
      <c r="BO28" s="2527">
        <v>0</v>
      </c>
      <c r="BP28" s="2532">
        <v>0</v>
      </c>
    </row>
    <row r="29" spans="1:68" s="20" customFormat="1" ht="14.25" x14ac:dyDescent="0.2">
      <c r="A29" s="2530" t="str">
        <f>TPATFUEL</f>
        <v>Patent fuel plants</v>
      </c>
      <c r="B29" s="2531" t="s">
        <v>996</v>
      </c>
      <c r="C29" s="2567">
        <v>0</v>
      </c>
      <c r="D29" s="2567">
        <v>0</v>
      </c>
      <c r="E29" s="2567">
        <v>0</v>
      </c>
      <c r="F29" s="2567">
        <v>0</v>
      </c>
      <c r="G29" s="2567">
        <v>0</v>
      </c>
      <c r="H29" s="2567">
        <v>0</v>
      </c>
      <c r="I29" s="2567">
        <v>0</v>
      </c>
      <c r="J29" s="2567">
        <v>0</v>
      </c>
      <c r="K29" s="2567">
        <v>0</v>
      </c>
      <c r="L29" s="2567">
        <v>0</v>
      </c>
      <c r="M29" s="2567">
        <v>0</v>
      </c>
      <c r="N29" s="2567">
        <v>0</v>
      </c>
      <c r="O29" s="2567">
        <v>0</v>
      </c>
      <c r="P29" s="2567">
        <v>0</v>
      </c>
      <c r="Q29" s="2567">
        <v>0</v>
      </c>
      <c r="R29" s="2567">
        <v>0</v>
      </c>
      <c r="S29" s="2567">
        <v>0</v>
      </c>
      <c r="T29" s="2567">
        <v>0</v>
      </c>
      <c r="U29" s="2559">
        <v>0</v>
      </c>
      <c r="V29" s="2559">
        <v>0</v>
      </c>
      <c r="W29" s="2559">
        <v>0</v>
      </c>
      <c r="X29" s="2559">
        <v>0</v>
      </c>
      <c r="Y29" s="2559">
        <v>0</v>
      </c>
      <c r="Z29" s="2559">
        <v>0</v>
      </c>
      <c r="AA29" s="2559">
        <v>0</v>
      </c>
      <c r="AB29" s="2559">
        <v>0</v>
      </c>
      <c r="AC29" s="2559">
        <v>0</v>
      </c>
      <c r="AD29" s="2559">
        <v>0</v>
      </c>
      <c r="AE29" s="2559">
        <v>0</v>
      </c>
      <c r="AF29" s="2559">
        <v>0</v>
      </c>
      <c r="AG29" s="2559">
        <v>0</v>
      </c>
      <c r="AH29" s="2559">
        <v>0</v>
      </c>
      <c r="AI29" s="2559">
        <v>0</v>
      </c>
      <c r="AJ29" s="2559">
        <v>0</v>
      </c>
      <c r="AK29" s="2559">
        <v>0</v>
      </c>
      <c r="AL29" s="2560">
        <v>0</v>
      </c>
      <c r="AM29" s="2560">
        <v>0</v>
      </c>
      <c r="AN29" s="2560">
        <v>0</v>
      </c>
      <c r="AO29" s="2560">
        <v>0</v>
      </c>
      <c r="AP29" s="2560">
        <v>0</v>
      </c>
      <c r="AQ29" s="2569">
        <v>0</v>
      </c>
      <c r="AR29" s="2562">
        <v>0</v>
      </c>
      <c r="AS29" s="2562">
        <v>0</v>
      </c>
      <c r="AT29" s="2562">
        <v>0</v>
      </c>
      <c r="AU29" s="2562">
        <v>0</v>
      </c>
      <c r="AV29" s="2562">
        <v>0</v>
      </c>
      <c r="AW29" s="2562">
        <v>0</v>
      </c>
      <c r="AX29" s="2562">
        <v>0</v>
      </c>
      <c r="AY29" s="2562">
        <v>0</v>
      </c>
      <c r="AZ29" s="2562">
        <v>0</v>
      </c>
      <c r="BA29" s="2562">
        <v>0</v>
      </c>
      <c r="BB29" s="2562">
        <v>0</v>
      </c>
      <c r="BC29" s="2565">
        <v>0</v>
      </c>
      <c r="BD29" s="2565">
        <v>0</v>
      </c>
      <c r="BE29" s="2565">
        <v>0</v>
      </c>
      <c r="BF29" s="2565">
        <v>0</v>
      </c>
      <c r="BG29" s="2565">
        <v>0</v>
      </c>
      <c r="BH29" s="2565">
        <v>0</v>
      </c>
      <c r="BI29" s="2565">
        <v>0</v>
      </c>
      <c r="BJ29" s="2565">
        <v>0</v>
      </c>
      <c r="BK29" s="2565">
        <v>0</v>
      </c>
      <c r="BL29" s="2565">
        <v>0</v>
      </c>
      <c r="BM29" s="2565">
        <v>0</v>
      </c>
      <c r="BN29" s="2564">
        <v>0</v>
      </c>
      <c r="BO29" s="2527">
        <v>0</v>
      </c>
      <c r="BP29" s="2532">
        <v>0</v>
      </c>
    </row>
    <row r="30" spans="1:68" s="20" customFormat="1" ht="14.25" x14ac:dyDescent="0.2">
      <c r="A30" s="2530" t="str">
        <f>TCOKEOVS</f>
        <v>Coke ovens</v>
      </c>
      <c r="B30" s="2531" t="s">
        <v>1003</v>
      </c>
      <c r="C30" s="2567">
        <v>0</v>
      </c>
      <c r="D30" s="2567">
        <v>1030.819</v>
      </c>
      <c r="E30" s="2567">
        <v>0</v>
      </c>
      <c r="F30" s="2567">
        <v>0</v>
      </c>
      <c r="G30" s="2567">
        <v>0</v>
      </c>
      <c r="H30" s="2567">
        <v>0</v>
      </c>
      <c r="I30" s="2567">
        <v>0</v>
      </c>
      <c r="J30" s="2567">
        <v>0</v>
      </c>
      <c r="K30" s="2567">
        <v>0</v>
      </c>
      <c r="L30" s="2567">
        <v>0</v>
      </c>
      <c r="M30" s="2567">
        <v>0</v>
      </c>
      <c r="N30" s="2567">
        <v>0</v>
      </c>
      <c r="O30" s="2567">
        <v>0</v>
      </c>
      <c r="P30" s="2567">
        <v>0</v>
      </c>
      <c r="Q30" s="2567">
        <v>0</v>
      </c>
      <c r="R30" s="2567">
        <v>0</v>
      </c>
      <c r="S30" s="2567">
        <v>0</v>
      </c>
      <c r="T30" s="2567">
        <v>0</v>
      </c>
      <c r="U30" s="2559">
        <v>0</v>
      </c>
      <c r="V30" s="2559">
        <v>0</v>
      </c>
      <c r="W30" s="2559">
        <v>0</v>
      </c>
      <c r="X30" s="2559">
        <v>0</v>
      </c>
      <c r="Y30" s="2559">
        <v>0</v>
      </c>
      <c r="Z30" s="2559">
        <v>0</v>
      </c>
      <c r="AA30" s="2559">
        <v>0</v>
      </c>
      <c r="AB30" s="2559">
        <v>0</v>
      </c>
      <c r="AC30" s="2559">
        <v>0</v>
      </c>
      <c r="AD30" s="2559">
        <v>0</v>
      </c>
      <c r="AE30" s="2559">
        <v>0</v>
      </c>
      <c r="AF30" s="2559">
        <v>0</v>
      </c>
      <c r="AG30" s="2559">
        <v>0</v>
      </c>
      <c r="AH30" s="2559">
        <v>0</v>
      </c>
      <c r="AI30" s="2559">
        <v>0</v>
      </c>
      <c r="AJ30" s="2559">
        <v>0</v>
      </c>
      <c r="AK30" s="2559">
        <v>0</v>
      </c>
      <c r="AL30" s="2560">
        <v>0</v>
      </c>
      <c r="AM30" s="2560">
        <v>0</v>
      </c>
      <c r="AN30" s="2560">
        <v>0</v>
      </c>
      <c r="AO30" s="2560">
        <v>0</v>
      </c>
      <c r="AP30" s="2560">
        <v>0</v>
      </c>
      <c r="AQ30" s="2569">
        <v>0</v>
      </c>
      <c r="AR30" s="2565">
        <v>0</v>
      </c>
      <c r="AS30" s="2565">
        <v>0</v>
      </c>
      <c r="AT30" s="2565">
        <v>0</v>
      </c>
      <c r="AU30" s="2565">
        <v>0</v>
      </c>
      <c r="AV30" s="2565">
        <v>0</v>
      </c>
      <c r="AW30" s="2565">
        <v>0</v>
      </c>
      <c r="AX30" s="2565">
        <v>0</v>
      </c>
      <c r="AY30" s="2565">
        <v>0</v>
      </c>
      <c r="AZ30" s="2565">
        <v>0</v>
      </c>
      <c r="BA30" s="2565">
        <v>0</v>
      </c>
      <c r="BB30" s="2565">
        <v>0</v>
      </c>
      <c r="BC30" s="2565">
        <v>0</v>
      </c>
      <c r="BD30" s="2565">
        <v>0</v>
      </c>
      <c r="BE30" s="2565">
        <v>0</v>
      </c>
      <c r="BF30" s="2565">
        <v>0</v>
      </c>
      <c r="BG30" s="2565">
        <v>0</v>
      </c>
      <c r="BH30" s="2565">
        <v>0</v>
      </c>
      <c r="BI30" s="2565">
        <v>0</v>
      </c>
      <c r="BJ30" s="2565">
        <v>0</v>
      </c>
      <c r="BK30" s="2565">
        <v>0</v>
      </c>
      <c r="BL30" s="2565">
        <v>0</v>
      </c>
      <c r="BM30" s="2565">
        <v>0</v>
      </c>
      <c r="BN30" s="2564">
        <v>0</v>
      </c>
      <c r="BO30" s="2527">
        <v>0</v>
      </c>
      <c r="BP30" s="2532">
        <v>0</v>
      </c>
    </row>
    <row r="31" spans="1:68" s="20" customFormat="1" ht="14.25" x14ac:dyDescent="0.2">
      <c r="A31" s="2530" t="str">
        <f>TGASWKS</f>
        <v>Gas works</v>
      </c>
      <c r="B31" s="2531" t="s">
        <v>1010</v>
      </c>
      <c r="C31" s="2567">
        <v>0</v>
      </c>
      <c r="D31" s="2567">
        <v>0</v>
      </c>
      <c r="E31" s="2567">
        <v>0</v>
      </c>
      <c r="F31" s="2567">
        <v>0</v>
      </c>
      <c r="G31" s="2567">
        <v>0</v>
      </c>
      <c r="H31" s="2567">
        <v>0</v>
      </c>
      <c r="I31" s="2567">
        <v>0</v>
      </c>
      <c r="J31" s="2567">
        <v>0</v>
      </c>
      <c r="K31" s="2567">
        <v>0</v>
      </c>
      <c r="L31" s="2567">
        <v>0</v>
      </c>
      <c r="M31" s="2567">
        <v>0</v>
      </c>
      <c r="N31" s="2567">
        <v>0</v>
      </c>
      <c r="O31" s="2567">
        <v>0</v>
      </c>
      <c r="P31" s="2567">
        <v>0</v>
      </c>
      <c r="Q31" s="2567">
        <v>0</v>
      </c>
      <c r="R31" s="2567">
        <v>0</v>
      </c>
      <c r="S31" s="2567">
        <v>0</v>
      </c>
      <c r="T31" s="2567">
        <v>0</v>
      </c>
      <c r="U31" s="2559">
        <v>0</v>
      </c>
      <c r="V31" s="2559">
        <v>0</v>
      </c>
      <c r="W31" s="2559">
        <v>0</v>
      </c>
      <c r="X31" s="2559">
        <v>0</v>
      </c>
      <c r="Y31" s="2559">
        <v>0</v>
      </c>
      <c r="Z31" s="2559">
        <v>0</v>
      </c>
      <c r="AA31" s="2559">
        <v>0</v>
      </c>
      <c r="AB31" s="2559">
        <v>0</v>
      </c>
      <c r="AC31" s="2559">
        <v>0</v>
      </c>
      <c r="AD31" s="2559">
        <v>0</v>
      </c>
      <c r="AE31" s="2559">
        <v>0</v>
      </c>
      <c r="AF31" s="2559">
        <v>0</v>
      </c>
      <c r="AG31" s="2559">
        <v>0</v>
      </c>
      <c r="AH31" s="2559">
        <v>0</v>
      </c>
      <c r="AI31" s="2559">
        <v>0</v>
      </c>
      <c r="AJ31" s="2559">
        <v>0</v>
      </c>
      <c r="AK31" s="2559">
        <v>0</v>
      </c>
      <c r="AL31" s="2560">
        <v>0</v>
      </c>
      <c r="AM31" s="2560">
        <v>0</v>
      </c>
      <c r="AN31" s="2560">
        <v>0</v>
      </c>
      <c r="AO31" s="2560">
        <v>0</v>
      </c>
      <c r="AP31" s="2560">
        <v>0</v>
      </c>
      <c r="AQ31" s="2561">
        <v>0</v>
      </c>
      <c r="AR31" s="2565">
        <v>0</v>
      </c>
      <c r="AS31" s="2565">
        <v>0</v>
      </c>
      <c r="AT31" s="2565">
        <v>0</v>
      </c>
      <c r="AU31" s="2565">
        <v>0</v>
      </c>
      <c r="AV31" s="2565">
        <v>0</v>
      </c>
      <c r="AW31" s="2565">
        <v>0</v>
      </c>
      <c r="AX31" s="2565">
        <v>0</v>
      </c>
      <c r="AY31" s="2565">
        <v>0</v>
      </c>
      <c r="AZ31" s="2565">
        <v>0</v>
      </c>
      <c r="BA31" s="2565">
        <v>0</v>
      </c>
      <c r="BB31" s="2565">
        <v>0</v>
      </c>
      <c r="BC31" s="2565">
        <v>0</v>
      </c>
      <c r="BD31" s="2565">
        <v>0</v>
      </c>
      <c r="BE31" s="2565">
        <v>0</v>
      </c>
      <c r="BF31" s="2565">
        <v>0</v>
      </c>
      <c r="BG31" s="2565">
        <v>0</v>
      </c>
      <c r="BH31" s="2565">
        <v>0</v>
      </c>
      <c r="BI31" s="2565">
        <v>0</v>
      </c>
      <c r="BJ31" s="2565">
        <v>0</v>
      </c>
      <c r="BK31" s="2565">
        <v>0</v>
      </c>
      <c r="BL31" s="2565">
        <v>0</v>
      </c>
      <c r="BM31" s="2565">
        <v>0</v>
      </c>
      <c r="BN31" s="2564">
        <v>0</v>
      </c>
      <c r="BO31" s="2527">
        <v>0</v>
      </c>
      <c r="BP31" s="2532">
        <v>0</v>
      </c>
    </row>
    <row r="32" spans="1:68" s="20" customFormat="1" ht="14.25" x14ac:dyDescent="0.2">
      <c r="A32" s="2530" t="str">
        <f>TBLASTFUR</f>
        <v>Blast furnaces</v>
      </c>
      <c r="B32" s="2531" t="s">
        <v>1017</v>
      </c>
      <c r="C32" s="2567">
        <v>0</v>
      </c>
      <c r="D32" s="2567">
        <v>0</v>
      </c>
      <c r="E32" s="2567">
        <v>0</v>
      </c>
      <c r="F32" s="2567">
        <v>0</v>
      </c>
      <c r="G32" s="2567">
        <v>0</v>
      </c>
      <c r="H32" s="2567">
        <v>0</v>
      </c>
      <c r="I32" s="2567">
        <v>1049.742</v>
      </c>
      <c r="J32" s="2567">
        <v>0</v>
      </c>
      <c r="K32" s="2567">
        <v>0</v>
      </c>
      <c r="L32" s="2567">
        <v>0</v>
      </c>
      <c r="M32" s="2567">
        <v>0</v>
      </c>
      <c r="N32" s="2567">
        <v>0</v>
      </c>
      <c r="O32" s="2567">
        <v>0</v>
      </c>
      <c r="P32" s="2567">
        <v>0</v>
      </c>
      <c r="Q32" s="2567">
        <v>0</v>
      </c>
      <c r="R32" s="2567">
        <v>0</v>
      </c>
      <c r="S32" s="2567">
        <v>0</v>
      </c>
      <c r="T32" s="2567">
        <v>0</v>
      </c>
      <c r="U32" s="2559">
        <v>0</v>
      </c>
      <c r="V32" s="2559">
        <v>0</v>
      </c>
      <c r="W32" s="2559">
        <v>0</v>
      </c>
      <c r="X32" s="2559">
        <v>0</v>
      </c>
      <c r="Y32" s="2559">
        <v>0</v>
      </c>
      <c r="Z32" s="2559">
        <v>0</v>
      </c>
      <c r="AA32" s="2559">
        <v>0</v>
      </c>
      <c r="AB32" s="2559">
        <v>0</v>
      </c>
      <c r="AC32" s="2559">
        <v>0</v>
      </c>
      <c r="AD32" s="2559">
        <v>0</v>
      </c>
      <c r="AE32" s="2559">
        <v>0</v>
      </c>
      <c r="AF32" s="2559">
        <v>0</v>
      </c>
      <c r="AG32" s="2559">
        <v>0</v>
      </c>
      <c r="AH32" s="2559">
        <v>0</v>
      </c>
      <c r="AI32" s="2559">
        <v>0</v>
      </c>
      <c r="AJ32" s="2559">
        <v>0</v>
      </c>
      <c r="AK32" s="2559">
        <v>0</v>
      </c>
      <c r="AL32" s="2560">
        <v>0</v>
      </c>
      <c r="AM32" s="2560">
        <v>0</v>
      </c>
      <c r="AN32" s="2560">
        <v>0</v>
      </c>
      <c r="AO32" s="2560">
        <v>0</v>
      </c>
      <c r="AP32" s="2560">
        <v>0</v>
      </c>
      <c r="AQ32" s="2569">
        <v>0</v>
      </c>
      <c r="AR32" s="2562">
        <v>0</v>
      </c>
      <c r="AS32" s="2562">
        <v>0</v>
      </c>
      <c r="AT32" s="2562">
        <v>0</v>
      </c>
      <c r="AU32" s="2562">
        <v>0</v>
      </c>
      <c r="AV32" s="2562">
        <v>0</v>
      </c>
      <c r="AW32" s="2562">
        <v>0</v>
      </c>
      <c r="AX32" s="2562">
        <v>0</v>
      </c>
      <c r="AY32" s="2562">
        <v>0</v>
      </c>
      <c r="AZ32" s="2562">
        <v>0</v>
      </c>
      <c r="BA32" s="2562">
        <v>0</v>
      </c>
      <c r="BB32" s="2562">
        <v>0</v>
      </c>
      <c r="BC32" s="2565">
        <v>0</v>
      </c>
      <c r="BD32" s="2565">
        <v>0</v>
      </c>
      <c r="BE32" s="2565">
        <v>0</v>
      </c>
      <c r="BF32" s="2565">
        <v>0</v>
      </c>
      <c r="BG32" s="2565">
        <v>0</v>
      </c>
      <c r="BH32" s="2565">
        <v>0</v>
      </c>
      <c r="BI32" s="2565">
        <v>0</v>
      </c>
      <c r="BJ32" s="2565">
        <v>0</v>
      </c>
      <c r="BK32" s="2565">
        <v>0</v>
      </c>
      <c r="BL32" s="2565">
        <v>0</v>
      </c>
      <c r="BM32" s="2565">
        <v>0</v>
      </c>
      <c r="BN32" s="2564">
        <v>0</v>
      </c>
      <c r="BO32" s="2527">
        <v>0</v>
      </c>
      <c r="BP32" s="2532">
        <v>0</v>
      </c>
    </row>
    <row r="33" spans="1:68" s="20" customFormat="1" ht="14.25" x14ac:dyDescent="0.2">
      <c r="A33" s="2530" t="str">
        <f>TPETCHEM</f>
        <v>Petrochemical plants</v>
      </c>
      <c r="B33" s="2531" t="s">
        <v>1024</v>
      </c>
      <c r="C33" s="2565">
        <v>0</v>
      </c>
      <c r="D33" s="2565">
        <v>0</v>
      </c>
      <c r="E33" s="2565">
        <v>0</v>
      </c>
      <c r="F33" s="2565">
        <v>0</v>
      </c>
      <c r="G33" s="2565">
        <v>0</v>
      </c>
      <c r="H33" s="2565">
        <v>0</v>
      </c>
      <c r="I33" s="2565">
        <v>0</v>
      </c>
      <c r="J33" s="2565">
        <v>0</v>
      </c>
      <c r="K33" s="2565">
        <v>0</v>
      </c>
      <c r="L33" s="2565">
        <v>0</v>
      </c>
      <c r="M33" s="2565">
        <v>0</v>
      </c>
      <c r="N33" s="2565">
        <v>0</v>
      </c>
      <c r="O33" s="2565">
        <v>0</v>
      </c>
      <c r="P33" s="2565">
        <v>0</v>
      </c>
      <c r="Q33" s="2565">
        <v>0</v>
      </c>
      <c r="R33" s="2565">
        <v>0</v>
      </c>
      <c r="S33" s="2565">
        <v>0</v>
      </c>
      <c r="T33" s="2565">
        <v>0</v>
      </c>
      <c r="U33" s="2559">
        <v>0</v>
      </c>
      <c r="V33" s="2559">
        <v>0</v>
      </c>
      <c r="W33" s="2559">
        <v>0</v>
      </c>
      <c r="X33" s="2559">
        <v>0</v>
      </c>
      <c r="Y33" s="2559">
        <v>0</v>
      </c>
      <c r="Z33" s="2559">
        <v>0</v>
      </c>
      <c r="AA33" s="2559">
        <v>0</v>
      </c>
      <c r="AB33" s="2559">
        <v>0</v>
      </c>
      <c r="AC33" s="2559">
        <v>0</v>
      </c>
      <c r="AD33" s="2559">
        <v>0</v>
      </c>
      <c r="AE33" s="2559">
        <v>0</v>
      </c>
      <c r="AF33" s="2559">
        <v>0</v>
      </c>
      <c r="AG33" s="2559">
        <v>0</v>
      </c>
      <c r="AH33" s="2559">
        <v>0</v>
      </c>
      <c r="AI33" s="2559">
        <v>0</v>
      </c>
      <c r="AJ33" s="2559">
        <v>0</v>
      </c>
      <c r="AK33" s="2559">
        <v>0</v>
      </c>
      <c r="AL33" s="2560">
        <v>0</v>
      </c>
      <c r="AM33" s="2560">
        <v>0</v>
      </c>
      <c r="AN33" s="2560">
        <v>0</v>
      </c>
      <c r="AO33" s="2560">
        <v>0</v>
      </c>
      <c r="AP33" s="2560">
        <v>0</v>
      </c>
      <c r="AQ33" s="2569">
        <v>0</v>
      </c>
      <c r="AR33" s="2562">
        <v>0</v>
      </c>
      <c r="AS33" s="2562">
        <v>0</v>
      </c>
      <c r="AT33" s="2562">
        <v>0</v>
      </c>
      <c r="AU33" s="2562">
        <v>0</v>
      </c>
      <c r="AV33" s="2562">
        <v>0</v>
      </c>
      <c r="AW33" s="2562">
        <v>0</v>
      </c>
      <c r="AX33" s="2562">
        <v>0</v>
      </c>
      <c r="AY33" s="2562">
        <v>0</v>
      </c>
      <c r="AZ33" s="2562">
        <v>0</v>
      </c>
      <c r="BA33" s="2562">
        <v>0</v>
      </c>
      <c r="BB33" s="2562">
        <v>0</v>
      </c>
      <c r="BC33" s="2565">
        <v>0</v>
      </c>
      <c r="BD33" s="2565">
        <v>0</v>
      </c>
      <c r="BE33" s="2565">
        <v>0</v>
      </c>
      <c r="BF33" s="2565">
        <v>0</v>
      </c>
      <c r="BG33" s="2565">
        <v>0</v>
      </c>
      <c r="BH33" s="2565">
        <v>0</v>
      </c>
      <c r="BI33" s="2565">
        <v>0</v>
      </c>
      <c r="BJ33" s="2565">
        <v>0</v>
      </c>
      <c r="BK33" s="2565">
        <v>0</v>
      </c>
      <c r="BL33" s="2565">
        <v>0</v>
      </c>
      <c r="BM33" s="2565">
        <v>0</v>
      </c>
      <c r="BN33" s="2564">
        <v>0</v>
      </c>
      <c r="BO33" s="2527">
        <v>0</v>
      </c>
      <c r="BP33" s="2532">
        <v>0</v>
      </c>
    </row>
    <row r="34" spans="1:68" s="20" customFormat="1" ht="14.25" x14ac:dyDescent="0.2">
      <c r="A34" s="2530" t="str">
        <f>TBKB</f>
        <v>BKB / peat briquette plants</v>
      </c>
      <c r="B34" s="2531" t="s">
        <v>1030</v>
      </c>
      <c r="C34" s="2567">
        <v>0</v>
      </c>
      <c r="D34" s="2567">
        <v>0</v>
      </c>
      <c r="E34" s="2567">
        <v>0</v>
      </c>
      <c r="F34" s="2567">
        <v>0</v>
      </c>
      <c r="G34" s="2567">
        <v>0</v>
      </c>
      <c r="H34" s="2567">
        <v>0</v>
      </c>
      <c r="I34" s="2567">
        <v>0</v>
      </c>
      <c r="J34" s="2567">
        <v>0</v>
      </c>
      <c r="K34" s="2567">
        <v>0</v>
      </c>
      <c r="L34" s="2567">
        <v>0</v>
      </c>
      <c r="M34" s="2567">
        <v>0</v>
      </c>
      <c r="N34" s="2567">
        <v>0</v>
      </c>
      <c r="O34" s="2567">
        <v>0</v>
      </c>
      <c r="P34" s="2567">
        <v>0</v>
      </c>
      <c r="Q34" s="2567">
        <v>0</v>
      </c>
      <c r="R34" s="2567">
        <v>0</v>
      </c>
      <c r="S34" s="2567">
        <v>0</v>
      </c>
      <c r="T34" s="2567">
        <v>0</v>
      </c>
      <c r="U34" s="2559">
        <v>0</v>
      </c>
      <c r="V34" s="2559">
        <v>0</v>
      </c>
      <c r="W34" s="2559">
        <v>0</v>
      </c>
      <c r="X34" s="2559">
        <v>0</v>
      </c>
      <c r="Y34" s="2559">
        <v>0</v>
      </c>
      <c r="Z34" s="2559">
        <v>0</v>
      </c>
      <c r="AA34" s="2559">
        <v>0</v>
      </c>
      <c r="AB34" s="2559">
        <v>0</v>
      </c>
      <c r="AC34" s="2559">
        <v>0</v>
      </c>
      <c r="AD34" s="2559">
        <v>0</v>
      </c>
      <c r="AE34" s="2559">
        <v>0</v>
      </c>
      <c r="AF34" s="2559">
        <v>0</v>
      </c>
      <c r="AG34" s="2559">
        <v>0</v>
      </c>
      <c r="AH34" s="2559">
        <v>0</v>
      </c>
      <c r="AI34" s="2559">
        <v>0</v>
      </c>
      <c r="AJ34" s="2559">
        <v>0</v>
      </c>
      <c r="AK34" s="2559">
        <v>0</v>
      </c>
      <c r="AL34" s="2560">
        <v>0</v>
      </c>
      <c r="AM34" s="2560">
        <v>0</v>
      </c>
      <c r="AN34" s="2560">
        <v>0</v>
      </c>
      <c r="AO34" s="2560">
        <v>0</v>
      </c>
      <c r="AP34" s="2560">
        <v>0</v>
      </c>
      <c r="AQ34" s="2561">
        <v>0</v>
      </c>
      <c r="AR34" s="2565">
        <v>0</v>
      </c>
      <c r="AS34" s="2565">
        <v>0</v>
      </c>
      <c r="AT34" s="2565">
        <v>0</v>
      </c>
      <c r="AU34" s="2565">
        <v>0</v>
      </c>
      <c r="AV34" s="2565">
        <v>0</v>
      </c>
      <c r="AW34" s="2565">
        <v>0</v>
      </c>
      <c r="AX34" s="2565">
        <v>0</v>
      </c>
      <c r="AY34" s="2565">
        <v>0</v>
      </c>
      <c r="AZ34" s="2565">
        <v>0</v>
      </c>
      <c r="BA34" s="2565">
        <v>0</v>
      </c>
      <c r="BB34" s="2565">
        <v>0</v>
      </c>
      <c r="BC34" s="2565">
        <v>0</v>
      </c>
      <c r="BD34" s="2565">
        <v>0</v>
      </c>
      <c r="BE34" s="2565">
        <v>0</v>
      </c>
      <c r="BF34" s="2565">
        <v>0</v>
      </c>
      <c r="BG34" s="2565">
        <v>0</v>
      </c>
      <c r="BH34" s="2565">
        <v>0</v>
      </c>
      <c r="BI34" s="2565">
        <v>0</v>
      </c>
      <c r="BJ34" s="2565">
        <v>0</v>
      </c>
      <c r="BK34" s="2565">
        <v>0</v>
      </c>
      <c r="BL34" s="2565">
        <v>0</v>
      </c>
      <c r="BM34" s="2565">
        <v>0</v>
      </c>
      <c r="BN34" s="2564">
        <v>0</v>
      </c>
      <c r="BO34" s="2527">
        <v>0</v>
      </c>
      <c r="BP34" s="2532">
        <v>0</v>
      </c>
    </row>
    <row r="35" spans="1:68" s="20" customFormat="1" ht="14.25" x14ac:dyDescent="0.2">
      <c r="A35" s="2530" t="str">
        <f>TREFINER</f>
        <v>Oil refineries</v>
      </c>
      <c r="B35" s="2531" t="s">
        <v>1037</v>
      </c>
      <c r="C35" s="2565">
        <v>0</v>
      </c>
      <c r="D35" s="2565">
        <v>0</v>
      </c>
      <c r="E35" s="2565">
        <v>0</v>
      </c>
      <c r="F35" s="2565">
        <v>0</v>
      </c>
      <c r="G35" s="2565">
        <v>0</v>
      </c>
      <c r="H35" s="2565">
        <v>0</v>
      </c>
      <c r="I35" s="2565">
        <v>0</v>
      </c>
      <c r="J35" s="2565">
        <v>0</v>
      </c>
      <c r="K35" s="2565">
        <v>0</v>
      </c>
      <c r="L35" s="2565">
        <v>0</v>
      </c>
      <c r="M35" s="2565">
        <v>0</v>
      </c>
      <c r="N35" s="2565">
        <v>0</v>
      </c>
      <c r="O35" s="2565">
        <v>0</v>
      </c>
      <c r="P35" s="2565">
        <v>0</v>
      </c>
      <c r="Q35" s="2565">
        <v>0</v>
      </c>
      <c r="R35" s="2565">
        <v>0</v>
      </c>
      <c r="S35" s="2565">
        <v>0</v>
      </c>
      <c r="T35" s="2565">
        <v>0</v>
      </c>
      <c r="U35" s="2559">
        <v>19079.3</v>
      </c>
      <c r="V35" s="2559">
        <v>393.02</v>
      </c>
      <c r="W35" s="2559">
        <v>152</v>
      </c>
      <c r="X35" s="2559"/>
      <c r="Y35" s="2559"/>
      <c r="Z35" s="2559">
        <v>270.18732421875001</v>
      </c>
      <c r="AA35" s="2559">
        <v>0</v>
      </c>
      <c r="AB35" s="2559">
        <v>0</v>
      </c>
      <c r="AC35" s="2559">
        <v>0</v>
      </c>
      <c r="AD35" s="2559">
        <v>0</v>
      </c>
      <c r="AE35" s="2559">
        <v>0</v>
      </c>
      <c r="AF35" s="2559">
        <v>0</v>
      </c>
      <c r="AG35" s="2559">
        <v>0</v>
      </c>
      <c r="AH35" s="2559">
        <v>0</v>
      </c>
      <c r="AI35" s="2559">
        <v>0</v>
      </c>
      <c r="AJ35" s="2559">
        <v>297276.0625</v>
      </c>
      <c r="AK35" s="2559">
        <v>0</v>
      </c>
      <c r="AL35" s="2560">
        <v>0</v>
      </c>
      <c r="AM35" s="2560">
        <v>0</v>
      </c>
      <c r="AN35" s="2560">
        <v>0</v>
      </c>
      <c r="AO35" s="2560">
        <v>0</v>
      </c>
      <c r="AP35" s="2560">
        <v>0</v>
      </c>
      <c r="AQ35" s="2569">
        <v>0</v>
      </c>
      <c r="AR35" s="2565">
        <v>0</v>
      </c>
      <c r="AS35" s="2565">
        <v>0</v>
      </c>
      <c r="AT35" s="2565">
        <v>0</v>
      </c>
      <c r="AU35" s="2565">
        <v>0</v>
      </c>
      <c r="AV35" s="2565">
        <v>0</v>
      </c>
      <c r="AW35" s="2565">
        <v>0</v>
      </c>
      <c r="AX35" s="2565">
        <v>0</v>
      </c>
      <c r="AY35" s="2565">
        <v>0</v>
      </c>
      <c r="AZ35" s="2565">
        <v>0</v>
      </c>
      <c r="BA35" s="2565">
        <v>0</v>
      </c>
      <c r="BB35" s="2565">
        <v>0</v>
      </c>
      <c r="BC35" s="2565">
        <v>0</v>
      </c>
      <c r="BD35" s="2565">
        <v>0</v>
      </c>
      <c r="BE35" s="2565">
        <v>0</v>
      </c>
      <c r="BF35" s="2565">
        <v>0</v>
      </c>
      <c r="BG35" s="2565">
        <v>0</v>
      </c>
      <c r="BH35" s="2565">
        <v>0</v>
      </c>
      <c r="BI35" s="2565">
        <v>0</v>
      </c>
      <c r="BJ35" s="2565">
        <v>0</v>
      </c>
      <c r="BK35" s="2565">
        <v>0</v>
      </c>
      <c r="BL35" s="2565">
        <v>0</v>
      </c>
      <c r="BM35" s="2565">
        <v>0</v>
      </c>
      <c r="BN35" s="2564">
        <v>0</v>
      </c>
      <c r="BO35" s="2527">
        <v>0</v>
      </c>
      <c r="BP35" s="2532">
        <v>0</v>
      </c>
    </row>
    <row r="36" spans="1:68" s="20" customFormat="1" ht="14.25" x14ac:dyDescent="0.2">
      <c r="A36" s="2530" t="str">
        <f>TCOALLIQ</f>
        <v>Coal liquefaction plants</v>
      </c>
      <c r="B36" s="2531" t="s">
        <v>1044</v>
      </c>
      <c r="C36" s="2567">
        <v>0</v>
      </c>
      <c r="D36" s="2567">
        <v>0</v>
      </c>
      <c r="E36" s="2567">
        <v>9916.5</v>
      </c>
      <c r="F36" s="2567"/>
      <c r="G36" s="2567">
        <v>0</v>
      </c>
      <c r="H36" s="2567">
        <v>0</v>
      </c>
      <c r="I36" s="2567">
        <v>0</v>
      </c>
      <c r="J36" s="2567">
        <v>0</v>
      </c>
      <c r="K36" s="2567">
        <v>0</v>
      </c>
      <c r="L36" s="2567">
        <v>0</v>
      </c>
      <c r="M36" s="2567">
        <v>0</v>
      </c>
      <c r="N36" s="2567">
        <v>0</v>
      </c>
      <c r="O36" s="2567">
        <v>0</v>
      </c>
      <c r="P36" s="2567">
        <v>0</v>
      </c>
      <c r="Q36" s="2567">
        <v>0</v>
      </c>
      <c r="R36" s="2567">
        <v>0</v>
      </c>
      <c r="S36" s="2567">
        <v>0</v>
      </c>
      <c r="T36" s="2567">
        <v>0</v>
      </c>
      <c r="U36" s="2559">
        <v>0</v>
      </c>
      <c r="V36" s="2559">
        <v>0</v>
      </c>
      <c r="W36" s="2559">
        <v>0</v>
      </c>
      <c r="X36" s="2559">
        <v>0</v>
      </c>
      <c r="Y36" s="2559">
        <v>0</v>
      </c>
      <c r="Z36" s="2559">
        <v>0</v>
      </c>
      <c r="AA36" s="2559">
        <v>0</v>
      </c>
      <c r="AB36" s="2559">
        <v>0</v>
      </c>
      <c r="AC36" s="2559">
        <v>0</v>
      </c>
      <c r="AD36" s="2559">
        <v>0</v>
      </c>
      <c r="AE36" s="2559">
        <v>0</v>
      </c>
      <c r="AF36" s="2559">
        <v>0</v>
      </c>
      <c r="AG36" s="2559">
        <v>0</v>
      </c>
      <c r="AH36" s="2559">
        <v>0</v>
      </c>
      <c r="AI36" s="2559">
        <v>0</v>
      </c>
      <c r="AJ36" s="2559">
        <v>0</v>
      </c>
      <c r="AK36" s="2559">
        <v>0</v>
      </c>
      <c r="AL36" s="2560">
        <v>0</v>
      </c>
      <c r="AM36" s="2560">
        <v>0</v>
      </c>
      <c r="AN36" s="2560">
        <v>0</v>
      </c>
      <c r="AO36" s="2560">
        <v>0</v>
      </c>
      <c r="AP36" s="2560">
        <v>0</v>
      </c>
      <c r="AQ36" s="2569">
        <v>0</v>
      </c>
      <c r="AR36" s="2562">
        <v>0</v>
      </c>
      <c r="AS36" s="2562">
        <v>0</v>
      </c>
      <c r="AT36" s="2562">
        <v>0</v>
      </c>
      <c r="AU36" s="2562">
        <v>0</v>
      </c>
      <c r="AV36" s="2562">
        <v>0</v>
      </c>
      <c r="AW36" s="2562">
        <v>0</v>
      </c>
      <c r="AX36" s="2562">
        <v>0</v>
      </c>
      <c r="AY36" s="2562">
        <v>0</v>
      </c>
      <c r="AZ36" s="2562">
        <v>0</v>
      </c>
      <c r="BA36" s="2562">
        <v>0</v>
      </c>
      <c r="BB36" s="2562">
        <v>0</v>
      </c>
      <c r="BC36" s="2565">
        <v>0</v>
      </c>
      <c r="BD36" s="2565">
        <v>0</v>
      </c>
      <c r="BE36" s="2565">
        <v>0</v>
      </c>
      <c r="BF36" s="2565">
        <v>0</v>
      </c>
      <c r="BG36" s="2565">
        <v>0</v>
      </c>
      <c r="BH36" s="2565">
        <v>0</v>
      </c>
      <c r="BI36" s="2565">
        <v>0</v>
      </c>
      <c r="BJ36" s="2565">
        <v>0</v>
      </c>
      <c r="BK36" s="2565">
        <v>0</v>
      </c>
      <c r="BL36" s="2565">
        <v>0</v>
      </c>
      <c r="BM36" s="2565">
        <v>0</v>
      </c>
      <c r="BN36" s="2564">
        <v>0</v>
      </c>
      <c r="BO36" s="2527">
        <v>0</v>
      </c>
      <c r="BP36" s="2532">
        <v>0</v>
      </c>
    </row>
    <row r="37" spans="1:68" s="20" customFormat="1" ht="14.25" x14ac:dyDescent="0.2">
      <c r="A37" s="2530" t="str">
        <f>TGTL</f>
        <v>Gas-to-liquids (GTL) plants</v>
      </c>
      <c r="B37" s="2531" t="s">
        <v>1051</v>
      </c>
      <c r="C37" s="2565">
        <v>0</v>
      </c>
      <c r="D37" s="2565">
        <v>0</v>
      </c>
      <c r="E37" s="2565">
        <v>0</v>
      </c>
      <c r="F37" s="2565">
        <v>0</v>
      </c>
      <c r="G37" s="2565">
        <v>0</v>
      </c>
      <c r="H37" s="2565">
        <v>0</v>
      </c>
      <c r="I37" s="2565">
        <v>0</v>
      </c>
      <c r="J37" s="2565">
        <v>0</v>
      </c>
      <c r="K37" s="2565">
        <v>0</v>
      </c>
      <c r="L37" s="2565">
        <v>0</v>
      </c>
      <c r="M37" s="2565">
        <v>0</v>
      </c>
      <c r="N37" s="2565">
        <v>0</v>
      </c>
      <c r="O37" s="2565">
        <v>0</v>
      </c>
      <c r="P37" s="2565">
        <v>0</v>
      </c>
      <c r="Q37" s="2565">
        <v>0</v>
      </c>
      <c r="R37" s="2565">
        <v>0</v>
      </c>
      <c r="S37" s="2565">
        <v>0</v>
      </c>
      <c r="T37" s="2565">
        <v>0</v>
      </c>
      <c r="U37" s="2559">
        <v>0</v>
      </c>
      <c r="V37" s="2559">
        <v>0</v>
      </c>
      <c r="W37" s="2559">
        <v>0</v>
      </c>
      <c r="X37" s="2559">
        <v>0</v>
      </c>
      <c r="Y37" s="2559">
        <v>0</v>
      </c>
      <c r="Z37" s="2559">
        <v>0</v>
      </c>
      <c r="AA37" s="2559">
        <v>0</v>
      </c>
      <c r="AB37" s="2559">
        <v>0</v>
      </c>
      <c r="AC37" s="2559">
        <v>0</v>
      </c>
      <c r="AD37" s="2559">
        <v>0</v>
      </c>
      <c r="AE37" s="2559">
        <v>0</v>
      </c>
      <c r="AF37" s="2559">
        <v>0</v>
      </c>
      <c r="AG37" s="2559">
        <v>0</v>
      </c>
      <c r="AH37" s="2559">
        <v>0</v>
      </c>
      <c r="AI37" s="2559">
        <v>0</v>
      </c>
      <c r="AJ37" s="2559">
        <v>0</v>
      </c>
      <c r="AK37" s="2559">
        <v>0</v>
      </c>
      <c r="AL37" s="2560">
        <v>0</v>
      </c>
      <c r="AM37" s="2560">
        <v>0</v>
      </c>
      <c r="AN37" s="2560">
        <v>0</v>
      </c>
      <c r="AO37" s="2560">
        <v>0</v>
      </c>
      <c r="AP37" s="2560">
        <v>0</v>
      </c>
      <c r="AQ37" s="2585">
        <v>58034.78125</v>
      </c>
      <c r="AR37" s="2562">
        <v>0</v>
      </c>
      <c r="AS37" s="2562">
        <v>0</v>
      </c>
      <c r="AT37" s="2562">
        <v>0</v>
      </c>
      <c r="AU37" s="2562">
        <v>0</v>
      </c>
      <c r="AV37" s="2562">
        <v>0</v>
      </c>
      <c r="AW37" s="2562">
        <v>0</v>
      </c>
      <c r="AX37" s="2562">
        <v>0</v>
      </c>
      <c r="AY37" s="2562">
        <v>0</v>
      </c>
      <c r="AZ37" s="2562">
        <v>0</v>
      </c>
      <c r="BA37" s="2562">
        <v>0</v>
      </c>
      <c r="BB37" s="2562">
        <v>0</v>
      </c>
      <c r="BC37" s="2565">
        <v>0</v>
      </c>
      <c r="BD37" s="2565">
        <v>0</v>
      </c>
      <c r="BE37" s="2565">
        <v>0</v>
      </c>
      <c r="BF37" s="2565">
        <v>0</v>
      </c>
      <c r="BG37" s="2565">
        <v>0</v>
      </c>
      <c r="BH37" s="2565">
        <v>0</v>
      </c>
      <c r="BI37" s="2565">
        <v>0</v>
      </c>
      <c r="BJ37" s="2565">
        <v>0</v>
      </c>
      <c r="BK37" s="2565">
        <v>0</v>
      </c>
      <c r="BL37" s="2565">
        <v>0</v>
      </c>
      <c r="BM37" s="2565">
        <v>0</v>
      </c>
      <c r="BN37" s="2564">
        <v>0</v>
      </c>
      <c r="BO37" s="2527">
        <v>0</v>
      </c>
      <c r="BP37" s="2532">
        <v>0</v>
      </c>
    </row>
    <row r="38" spans="1:68" s="20" customFormat="1" ht="14.25" x14ac:dyDescent="0.2">
      <c r="A38" s="2530" t="str">
        <f>TBLENDGAS</f>
        <v>For blended natural gas</v>
      </c>
      <c r="B38" s="2531" t="s">
        <v>1058</v>
      </c>
      <c r="C38" s="2567">
        <v>0</v>
      </c>
      <c r="D38" s="2567">
        <v>0</v>
      </c>
      <c r="E38" s="2567"/>
      <c r="F38" s="2567">
        <v>0</v>
      </c>
      <c r="G38" s="2567">
        <v>0</v>
      </c>
      <c r="H38" s="2567">
        <v>0</v>
      </c>
      <c r="I38" s="2567">
        <v>0</v>
      </c>
      <c r="J38" s="2567">
        <v>0</v>
      </c>
      <c r="K38" s="2567">
        <v>0</v>
      </c>
      <c r="L38" s="2567">
        <v>0</v>
      </c>
      <c r="M38" s="2567">
        <v>0</v>
      </c>
      <c r="N38" s="2567">
        <v>0</v>
      </c>
      <c r="O38" s="2567">
        <v>0</v>
      </c>
      <c r="P38" s="2567">
        <v>0</v>
      </c>
      <c r="Q38" s="2567">
        <v>0</v>
      </c>
      <c r="R38" s="2567">
        <v>0</v>
      </c>
      <c r="S38" s="2567">
        <v>0</v>
      </c>
      <c r="T38" s="2567">
        <v>0</v>
      </c>
      <c r="U38" s="2559">
        <v>0</v>
      </c>
      <c r="V38" s="2559">
        <v>0</v>
      </c>
      <c r="W38" s="2559">
        <v>0</v>
      </c>
      <c r="X38" s="2559">
        <v>0</v>
      </c>
      <c r="Y38" s="2559">
        <v>0</v>
      </c>
      <c r="Z38" s="2559">
        <v>0</v>
      </c>
      <c r="AA38" s="2559">
        <v>0</v>
      </c>
      <c r="AB38" s="2559">
        <v>0</v>
      </c>
      <c r="AC38" s="2559">
        <v>0</v>
      </c>
      <c r="AD38" s="2559">
        <v>0</v>
      </c>
      <c r="AE38" s="2559">
        <v>0</v>
      </c>
      <c r="AF38" s="2559">
        <v>0</v>
      </c>
      <c r="AG38" s="2559">
        <v>0</v>
      </c>
      <c r="AH38" s="2559">
        <v>0</v>
      </c>
      <c r="AI38" s="2559">
        <v>0</v>
      </c>
      <c r="AJ38" s="2559">
        <v>0</v>
      </c>
      <c r="AK38" s="2559">
        <v>0</v>
      </c>
      <c r="AL38" s="2560">
        <v>0</v>
      </c>
      <c r="AM38" s="2560">
        <v>0</v>
      </c>
      <c r="AN38" s="2560">
        <v>0</v>
      </c>
      <c r="AO38" s="2560">
        <v>0</v>
      </c>
      <c r="AP38" s="2560">
        <v>0</v>
      </c>
      <c r="AQ38" s="2561">
        <v>0</v>
      </c>
      <c r="AR38" s="2565">
        <v>0</v>
      </c>
      <c r="AS38" s="2565">
        <v>0</v>
      </c>
      <c r="AT38" s="2565">
        <v>0</v>
      </c>
      <c r="AU38" s="2565">
        <v>0</v>
      </c>
      <c r="AV38" s="2565">
        <v>0</v>
      </c>
      <c r="AW38" s="2565">
        <v>0</v>
      </c>
      <c r="AX38" s="2565">
        <v>0</v>
      </c>
      <c r="AY38" s="2565">
        <v>0</v>
      </c>
      <c r="AZ38" s="2565">
        <v>0</v>
      </c>
      <c r="BA38" s="2565">
        <v>0</v>
      </c>
      <c r="BB38" s="2565">
        <v>0</v>
      </c>
      <c r="BC38" s="2565">
        <v>0</v>
      </c>
      <c r="BD38" s="2565">
        <v>0</v>
      </c>
      <c r="BE38" s="2565">
        <v>0</v>
      </c>
      <c r="BF38" s="2565">
        <v>0</v>
      </c>
      <c r="BG38" s="2565">
        <v>0</v>
      </c>
      <c r="BH38" s="2565">
        <v>0</v>
      </c>
      <c r="BI38" s="2565">
        <v>0</v>
      </c>
      <c r="BJ38" s="2565">
        <v>0</v>
      </c>
      <c r="BK38" s="2565">
        <v>0</v>
      </c>
      <c r="BL38" s="2565">
        <v>0</v>
      </c>
      <c r="BM38" s="2565">
        <v>0</v>
      </c>
      <c r="BN38" s="2564">
        <v>0</v>
      </c>
      <c r="BO38" s="2527">
        <v>0</v>
      </c>
      <c r="BP38" s="2532">
        <v>0</v>
      </c>
    </row>
    <row r="39" spans="1:68" s="20" customFormat="1" ht="14.25" x14ac:dyDescent="0.2">
      <c r="A39" s="2530" t="str">
        <f>TCHARCOAL</f>
        <v>Charcoal production plants</v>
      </c>
      <c r="B39" s="2531" t="s">
        <v>1065</v>
      </c>
      <c r="C39" s="2565">
        <v>0</v>
      </c>
      <c r="D39" s="2565">
        <v>0</v>
      </c>
      <c r="E39" s="2565">
        <v>0</v>
      </c>
      <c r="F39" s="2565">
        <v>0</v>
      </c>
      <c r="G39" s="2565">
        <v>0</v>
      </c>
      <c r="H39" s="2565">
        <v>0</v>
      </c>
      <c r="I39" s="2565">
        <v>0</v>
      </c>
      <c r="J39" s="2565">
        <v>0</v>
      </c>
      <c r="K39" s="2565">
        <v>0</v>
      </c>
      <c r="L39" s="2565">
        <v>0</v>
      </c>
      <c r="M39" s="2565">
        <v>0</v>
      </c>
      <c r="N39" s="2565">
        <v>0</v>
      </c>
      <c r="O39" s="2565">
        <v>0</v>
      </c>
      <c r="P39" s="2565">
        <v>0</v>
      </c>
      <c r="Q39" s="2565">
        <v>0</v>
      </c>
      <c r="R39" s="2565">
        <v>0</v>
      </c>
      <c r="S39" s="2565">
        <v>0</v>
      </c>
      <c r="T39" s="2565">
        <v>0</v>
      </c>
      <c r="U39" s="2559">
        <v>0</v>
      </c>
      <c r="V39" s="2559">
        <v>0</v>
      </c>
      <c r="W39" s="2559">
        <v>0</v>
      </c>
      <c r="X39" s="2559">
        <v>0</v>
      </c>
      <c r="Y39" s="2559">
        <v>0</v>
      </c>
      <c r="Z39" s="2559">
        <v>0</v>
      </c>
      <c r="AA39" s="2559">
        <v>0</v>
      </c>
      <c r="AB39" s="2559">
        <v>0</v>
      </c>
      <c r="AC39" s="2559">
        <v>0</v>
      </c>
      <c r="AD39" s="2559">
        <v>0</v>
      </c>
      <c r="AE39" s="2559">
        <v>0</v>
      </c>
      <c r="AF39" s="2559">
        <v>0</v>
      </c>
      <c r="AG39" s="2559">
        <v>0</v>
      </c>
      <c r="AH39" s="2559">
        <v>0</v>
      </c>
      <c r="AI39" s="2559">
        <v>0</v>
      </c>
      <c r="AJ39" s="2559">
        <v>0</v>
      </c>
      <c r="AK39" s="2559">
        <v>0</v>
      </c>
      <c r="AL39" s="2560">
        <v>0</v>
      </c>
      <c r="AM39" s="2560">
        <v>0</v>
      </c>
      <c r="AN39" s="2560">
        <v>0</v>
      </c>
      <c r="AO39" s="2560">
        <v>0</v>
      </c>
      <c r="AP39" s="2560">
        <v>0</v>
      </c>
      <c r="AQ39" s="2569">
        <v>0</v>
      </c>
      <c r="AR39" s="2565">
        <v>0</v>
      </c>
      <c r="AS39" s="2565">
        <v>0</v>
      </c>
      <c r="AT39" s="2565">
        <v>0</v>
      </c>
      <c r="AU39" s="2565">
        <v>0</v>
      </c>
      <c r="AV39" s="2565">
        <v>0</v>
      </c>
      <c r="AW39" s="2565">
        <v>0</v>
      </c>
      <c r="AX39" s="2565">
        <v>0</v>
      </c>
      <c r="AY39" s="2565">
        <v>0</v>
      </c>
      <c r="AZ39" s="2565">
        <v>0</v>
      </c>
      <c r="BA39" s="2565">
        <v>0</v>
      </c>
      <c r="BB39" s="2565">
        <v>0</v>
      </c>
      <c r="BC39" s="2565">
        <v>0</v>
      </c>
      <c r="BD39" s="2565">
        <v>0</v>
      </c>
      <c r="BE39" s="2565">
        <v>0</v>
      </c>
      <c r="BF39" s="2565">
        <v>0</v>
      </c>
      <c r="BG39" s="2565">
        <v>0</v>
      </c>
      <c r="BH39" s="2565">
        <v>0</v>
      </c>
      <c r="BI39" s="2565">
        <v>0</v>
      </c>
      <c r="BJ39" s="2565">
        <v>0</v>
      </c>
      <c r="BK39" s="2565">
        <v>0</v>
      </c>
      <c r="BL39" s="2565">
        <v>0</v>
      </c>
      <c r="BM39" s="2565">
        <v>0</v>
      </c>
      <c r="BN39" s="2564">
        <v>0</v>
      </c>
      <c r="BO39" s="2527">
        <v>0</v>
      </c>
      <c r="BP39" s="2532">
        <v>0</v>
      </c>
    </row>
    <row r="40" spans="1:68" s="20" customFormat="1" ht="14.25" x14ac:dyDescent="0.2">
      <c r="A40" s="2530" t="str">
        <f>TNONSPEC</f>
        <v>Non-specified (transformation)</v>
      </c>
      <c r="B40" s="2531" t="s">
        <v>1072</v>
      </c>
      <c r="C40" s="2567">
        <v>0</v>
      </c>
      <c r="D40" s="2567">
        <v>0</v>
      </c>
      <c r="E40" s="2567">
        <v>0</v>
      </c>
      <c r="F40" s="2567">
        <v>0</v>
      </c>
      <c r="G40" s="2567">
        <v>0</v>
      </c>
      <c r="H40" s="2567">
        <v>0</v>
      </c>
      <c r="I40" s="2567">
        <v>0</v>
      </c>
      <c r="J40" s="2567">
        <v>0</v>
      </c>
      <c r="K40" s="2567">
        <v>0</v>
      </c>
      <c r="L40" s="2567">
        <v>0</v>
      </c>
      <c r="M40" s="2567">
        <v>0</v>
      </c>
      <c r="N40" s="2567">
        <v>0</v>
      </c>
      <c r="O40" s="2567">
        <v>0</v>
      </c>
      <c r="P40" s="2567">
        <v>0</v>
      </c>
      <c r="Q40" s="2567">
        <v>0</v>
      </c>
      <c r="R40" s="2567">
        <v>0</v>
      </c>
      <c r="S40" s="2567">
        <v>0</v>
      </c>
      <c r="T40" s="2567">
        <v>0</v>
      </c>
      <c r="U40" s="2559">
        <v>0</v>
      </c>
      <c r="V40" s="2559">
        <v>0</v>
      </c>
      <c r="W40" s="2559">
        <v>0</v>
      </c>
      <c r="X40" s="2559">
        <v>0</v>
      </c>
      <c r="Y40" s="2559">
        <v>0</v>
      </c>
      <c r="Z40" s="2559">
        <v>0</v>
      </c>
      <c r="AA40" s="2559">
        <v>0</v>
      </c>
      <c r="AB40" s="2559">
        <v>0</v>
      </c>
      <c r="AC40" s="2559">
        <v>0</v>
      </c>
      <c r="AD40" s="2559">
        <v>0</v>
      </c>
      <c r="AE40" s="2559">
        <v>0</v>
      </c>
      <c r="AF40" s="2559">
        <v>0</v>
      </c>
      <c r="AG40" s="2559">
        <v>0</v>
      </c>
      <c r="AH40" s="2559">
        <v>0</v>
      </c>
      <c r="AI40" s="2559">
        <v>0</v>
      </c>
      <c r="AJ40" s="2559">
        <v>0</v>
      </c>
      <c r="AK40" s="2559">
        <v>0</v>
      </c>
      <c r="AL40" s="2560">
        <v>0</v>
      </c>
      <c r="AM40" s="2560">
        <v>0</v>
      </c>
      <c r="AN40" s="2560">
        <v>0</v>
      </c>
      <c r="AO40" s="2560">
        <v>0</v>
      </c>
      <c r="AP40" s="2560">
        <v>0</v>
      </c>
      <c r="AQ40" s="2569">
        <v>0</v>
      </c>
      <c r="AR40" s="2562">
        <v>0</v>
      </c>
      <c r="AS40" s="2562">
        <v>0</v>
      </c>
      <c r="AT40" s="2562">
        <v>0</v>
      </c>
      <c r="AU40" s="2570">
        <v>221501.67</v>
      </c>
      <c r="AV40" s="2562">
        <v>0</v>
      </c>
      <c r="AW40" s="2562">
        <v>0</v>
      </c>
      <c r="AX40" s="2562">
        <v>0</v>
      </c>
      <c r="AY40" s="2562">
        <v>0</v>
      </c>
      <c r="AZ40" s="2562">
        <v>0</v>
      </c>
      <c r="BA40" s="2562">
        <v>0</v>
      </c>
      <c r="BB40" s="2562">
        <v>0</v>
      </c>
      <c r="BC40" s="2565">
        <v>0</v>
      </c>
      <c r="BD40" s="2565">
        <v>0</v>
      </c>
      <c r="BE40" s="2565">
        <v>0</v>
      </c>
      <c r="BF40" s="2565">
        <v>0</v>
      </c>
      <c r="BG40" s="2565">
        <v>0</v>
      </c>
      <c r="BH40" s="2565">
        <v>0</v>
      </c>
      <c r="BI40" s="2565">
        <v>0</v>
      </c>
      <c r="BJ40" s="2565">
        <v>0</v>
      </c>
      <c r="BK40" s="2565">
        <v>0</v>
      </c>
      <c r="BL40" s="2565">
        <v>0</v>
      </c>
      <c r="BM40" s="2565">
        <v>0</v>
      </c>
      <c r="BN40" s="2564">
        <v>0</v>
      </c>
      <c r="BO40" s="2527">
        <v>0</v>
      </c>
      <c r="BP40" s="2532">
        <v>0</v>
      </c>
    </row>
    <row r="41" spans="1:68" s="20" customFormat="1" ht="15" x14ac:dyDescent="0.25">
      <c r="A41" s="2534" t="str">
        <f>TOTENGY</f>
        <v>Energy industry own use</v>
      </c>
      <c r="B41" s="2535" t="s">
        <v>1082</v>
      </c>
      <c r="C41" s="2573">
        <f t="shared" ref="C41:V41" si="8">SUM(C42:C58)</f>
        <v>0</v>
      </c>
      <c r="D41" s="2573">
        <f t="shared" si="8"/>
        <v>0</v>
      </c>
      <c r="E41" s="2573">
        <f t="shared" si="8"/>
        <v>12683.5</v>
      </c>
      <c r="F41" s="2573">
        <f t="shared" si="8"/>
        <v>0</v>
      </c>
      <c r="G41" s="2573">
        <f t="shared" si="8"/>
        <v>0</v>
      </c>
      <c r="H41" s="2573">
        <f t="shared" si="8"/>
        <v>0</v>
      </c>
      <c r="I41" s="2573">
        <f t="shared" si="8"/>
        <v>0</v>
      </c>
      <c r="J41" s="2573">
        <f t="shared" si="8"/>
        <v>0</v>
      </c>
      <c r="K41" s="2573">
        <f t="shared" si="8"/>
        <v>0</v>
      </c>
      <c r="L41" s="2573">
        <f t="shared" si="8"/>
        <v>0</v>
      </c>
      <c r="M41" s="2573">
        <f t="shared" si="8"/>
        <v>1228.47</v>
      </c>
      <c r="N41" s="2573">
        <f t="shared" si="8"/>
        <v>0</v>
      </c>
      <c r="O41" s="2573">
        <f t="shared" si="8"/>
        <v>0</v>
      </c>
      <c r="P41" s="2573">
        <f t="shared" si="8"/>
        <v>0</v>
      </c>
      <c r="Q41" s="2573">
        <f t="shared" si="8"/>
        <v>0</v>
      </c>
      <c r="R41" s="2573">
        <f t="shared" si="8"/>
        <v>0</v>
      </c>
      <c r="S41" s="2573">
        <f t="shared" si="8"/>
        <v>0</v>
      </c>
      <c r="T41" s="2574">
        <f t="shared" si="8"/>
        <v>0</v>
      </c>
      <c r="U41" s="2573">
        <f t="shared" si="8"/>
        <v>0</v>
      </c>
      <c r="V41" s="2573">
        <f t="shared" si="8"/>
        <v>0</v>
      </c>
      <c r="W41" s="2573">
        <v>0</v>
      </c>
      <c r="X41" s="2573">
        <v>0</v>
      </c>
      <c r="Y41" s="2573">
        <v>0</v>
      </c>
      <c r="Z41" s="2573">
        <f t="shared" ref="Z41:AZ41" si="9">SUM(Z42:Z58)</f>
        <v>0</v>
      </c>
      <c r="AA41" s="2573">
        <f t="shared" si="9"/>
        <v>0</v>
      </c>
      <c r="AB41" s="2573">
        <f t="shared" si="9"/>
        <v>0</v>
      </c>
      <c r="AC41" s="2573">
        <f t="shared" si="9"/>
        <v>0</v>
      </c>
      <c r="AD41" s="2573">
        <f t="shared" si="9"/>
        <v>0</v>
      </c>
      <c r="AE41" s="2573">
        <f t="shared" si="9"/>
        <v>0</v>
      </c>
      <c r="AF41" s="2573">
        <f t="shared" si="9"/>
        <v>0</v>
      </c>
      <c r="AG41" s="2573">
        <f t="shared" si="9"/>
        <v>0</v>
      </c>
      <c r="AH41" s="2573">
        <f t="shared" si="9"/>
        <v>0</v>
      </c>
      <c r="AI41" s="2573">
        <f t="shared" si="9"/>
        <v>0</v>
      </c>
      <c r="AJ41" s="2573">
        <f t="shared" si="9"/>
        <v>0</v>
      </c>
      <c r="AK41" s="2573">
        <f>SUM(AK42:AK58)</f>
        <v>0</v>
      </c>
      <c r="AL41" s="2573">
        <f t="shared" si="9"/>
        <v>0</v>
      </c>
      <c r="AM41" s="2573">
        <f t="shared" si="9"/>
        <v>0</v>
      </c>
      <c r="AN41" s="2573">
        <f t="shared" si="9"/>
        <v>0</v>
      </c>
      <c r="AO41" s="2573">
        <f t="shared" si="9"/>
        <v>0</v>
      </c>
      <c r="AP41" s="2573">
        <f t="shared" si="9"/>
        <v>0</v>
      </c>
      <c r="AQ41" s="2575">
        <f t="shared" si="9"/>
        <v>15423.9853515625</v>
      </c>
      <c r="AR41" s="2573">
        <f t="shared" si="9"/>
        <v>0</v>
      </c>
      <c r="AS41" s="2573">
        <f t="shared" si="9"/>
        <v>0</v>
      </c>
      <c r="AT41" s="2573">
        <f t="shared" si="9"/>
        <v>0</v>
      </c>
      <c r="AU41" s="2573">
        <f t="shared" si="9"/>
        <v>0</v>
      </c>
      <c r="AV41" s="2573">
        <f t="shared" si="9"/>
        <v>0</v>
      </c>
      <c r="AW41" s="2573">
        <f t="shared" si="9"/>
        <v>0</v>
      </c>
      <c r="AX41" s="2573">
        <f t="shared" si="9"/>
        <v>0</v>
      </c>
      <c r="AY41" s="2573">
        <f t="shared" si="9"/>
        <v>0</v>
      </c>
      <c r="AZ41" s="2573">
        <f t="shared" si="9"/>
        <v>0</v>
      </c>
      <c r="BA41" s="2573">
        <v>0</v>
      </c>
      <c r="BB41" s="2574">
        <f>SUM(BB42:BB58)</f>
        <v>0</v>
      </c>
      <c r="BC41" s="2573">
        <v>0</v>
      </c>
      <c r="BD41" s="2573">
        <v>0</v>
      </c>
      <c r="BE41" s="2573">
        <f>SUM(BE42:BE58)</f>
        <v>0</v>
      </c>
      <c r="BF41" s="2573">
        <v>0</v>
      </c>
      <c r="BG41" s="2573">
        <f>SUM(BG42:BG58)</f>
        <v>0</v>
      </c>
      <c r="BH41" s="2573">
        <v>0</v>
      </c>
      <c r="BI41" s="2573">
        <v>0</v>
      </c>
      <c r="BJ41" s="2573">
        <v>0</v>
      </c>
      <c r="BK41" s="2573">
        <v>0</v>
      </c>
      <c r="BL41" s="2573">
        <v>0</v>
      </c>
      <c r="BM41" s="2573">
        <v>0</v>
      </c>
      <c r="BN41" s="2573">
        <f>SUM(BN42:BN58)</f>
        <v>16506.186999999998</v>
      </c>
      <c r="BO41" s="2536">
        <f>SUM(BO42:BO58)</f>
        <v>0</v>
      </c>
      <c r="BP41" s="2537">
        <v>0</v>
      </c>
    </row>
    <row r="42" spans="1:68" s="20" customFormat="1" ht="14.25" x14ac:dyDescent="0.2">
      <c r="A42" s="2530" t="str">
        <f>EMINES</f>
        <v>Coal mines</v>
      </c>
      <c r="B42" s="2531" t="s">
        <v>1089</v>
      </c>
      <c r="C42" s="2567">
        <v>0</v>
      </c>
      <c r="D42" s="2567">
        <v>0</v>
      </c>
      <c r="E42" s="2567">
        <v>0</v>
      </c>
      <c r="F42" s="2567">
        <v>0</v>
      </c>
      <c r="G42" s="2567">
        <v>0</v>
      </c>
      <c r="H42" s="2567">
        <v>0</v>
      </c>
      <c r="I42" s="2567">
        <v>0</v>
      </c>
      <c r="J42" s="2567">
        <v>0</v>
      </c>
      <c r="K42" s="2567">
        <v>0</v>
      </c>
      <c r="L42" s="2567">
        <v>0</v>
      </c>
      <c r="M42" s="2567">
        <v>0</v>
      </c>
      <c r="N42" s="2567">
        <v>0</v>
      </c>
      <c r="O42" s="2567">
        <v>0</v>
      </c>
      <c r="P42" s="2567">
        <v>0</v>
      </c>
      <c r="Q42" s="2565">
        <v>0</v>
      </c>
      <c r="R42" s="2567">
        <v>0</v>
      </c>
      <c r="S42" s="2567">
        <v>0</v>
      </c>
      <c r="T42" s="2586">
        <v>0</v>
      </c>
      <c r="U42" s="2559">
        <v>0</v>
      </c>
      <c r="V42" s="2559">
        <v>0</v>
      </c>
      <c r="W42" s="2565">
        <v>0</v>
      </c>
      <c r="X42" s="2565">
        <v>0</v>
      </c>
      <c r="Y42" s="2565">
        <v>0</v>
      </c>
      <c r="Z42" s="2559">
        <v>0</v>
      </c>
      <c r="AA42" s="2559">
        <v>0</v>
      </c>
      <c r="AB42" s="2559">
        <v>0</v>
      </c>
      <c r="AC42" s="2559">
        <v>0</v>
      </c>
      <c r="AD42" s="2559">
        <v>0</v>
      </c>
      <c r="AE42" s="2559">
        <v>0</v>
      </c>
      <c r="AF42" s="2559">
        <v>0</v>
      </c>
      <c r="AG42" s="2559">
        <v>0</v>
      </c>
      <c r="AH42" s="2559">
        <v>0</v>
      </c>
      <c r="AI42" s="2559">
        <v>0</v>
      </c>
      <c r="AJ42" s="2559">
        <v>0</v>
      </c>
      <c r="AK42" s="2559">
        <v>0</v>
      </c>
      <c r="AL42" s="2560">
        <v>0</v>
      </c>
      <c r="AM42" s="2560">
        <v>0</v>
      </c>
      <c r="AN42" s="2560">
        <v>0</v>
      </c>
      <c r="AO42" s="2560">
        <v>0</v>
      </c>
      <c r="AP42" s="2560">
        <v>0</v>
      </c>
      <c r="AQ42" s="2569">
        <v>0</v>
      </c>
      <c r="AR42" s="2562">
        <v>0</v>
      </c>
      <c r="AS42" s="2562">
        <v>0</v>
      </c>
      <c r="AT42" s="2562">
        <v>0</v>
      </c>
      <c r="AU42" s="2562">
        <v>0</v>
      </c>
      <c r="AV42" s="2562">
        <v>0</v>
      </c>
      <c r="AW42" s="2562">
        <v>0</v>
      </c>
      <c r="AX42" s="2562">
        <v>0</v>
      </c>
      <c r="AY42" s="2562">
        <v>0</v>
      </c>
      <c r="AZ42" s="2562">
        <v>0</v>
      </c>
      <c r="BA42" s="2562">
        <v>0</v>
      </c>
      <c r="BB42" s="2587">
        <v>0</v>
      </c>
      <c r="BC42" s="2565">
        <v>0</v>
      </c>
      <c r="BD42" s="2565">
        <v>0</v>
      </c>
      <c r="BE42" s="2564">
        <v>0</v>
      </c>
      <c r="BF42" s="2565">
        <v>0</v>
      </c>
      <c r="BG42" s="2564">
        <v>0</v>
      </c>
      <c r="BH42" s="2565">
        <v>0</v>
      </c>
      <c r="BI42" s="2565">
        <v>0</v>
      </c>
      <c r="BJ42" s="2565">
        <v>0</v>
      </c>
      <c r="BK42" s="2565">
        <v>0</v>
      </c>
      <c r="BL42" s="2565">
        <v>0</v>
      </c>
      <c r="BM42" s="2565">
        <v>0</v>
      </c>
      <c r="BN42" s="2564">
        <v>0</v>
      </c>
      <c r="BO42" s="2527">
        <v>0</v>
      </c>
      <c r="BP42" s="2532">
        <v>0</v>
      </c>
    </row>
    <row r="43" spans="1:68" s="20" customFormat="1" ht="14.25" x14ac:dyDescent="0.2">
      <c r="A43" s="2530" t="str">
        <f>EOILGASEX</f>
        <v>Oil and gas extraction</v>
      </c>
      <c r="B43" s="2531" t="s">
        <v>1096</v>
      </c>
      <c r="C43" s="2565">
        <v>0</v>
      </c>
      <c r="D43" s="2565">
        <v>0</v>
      </c>
      <c r="E43" s="2565">
        <v>0</v>
      </c>
      <c r="F43" s="2565">
        <v>0</v>
      </c>
      <c r="G43" s="2565">
        <v>0</v>
      </c>
      <c r="H43" s="2565">
        <v>0</v>
      </c>
      <c r="I43" s="2565">
        <v>0</v>
      </c>
      <c r="J43" s="2565">
        <v>0</v>
      </c>
      <c r="K43" s="2565">
        <v>0</v>
      </c>
      <c r="L43" s="2565">
        <v>0</v>
      </c>
      <c r="M43" s="2565">
        <v>0</v>
      </c>
      <c r="N43" s="2565">
        <v>0</v>
      </c>
      <c r="O43" s="2565">
        <v>0</v>
      </c>
      <c r="P43" s="2565">
        <v>0</v>
      </c>
      <c r="Q43" s="2565">
        <v>0</v>
      </c>
      <c r="R43" s="2565">
        <v>0</v>
      </c>
      <c r="S43" s="2565">
        <v>0</v>
      </c>
      <c r="T43" s="2576">
        <v>0</v>
      </c>
      <c r="U43" s="2559">
        <v>0</v>
      </c>
      <c r="V43" s="2559">
        <v>0</v>
      </c>
      <c r="W43" s="2565">
        <v>0</v>
      </c>
      <c r="X43" s="2565">
        <v>0</v>
      </c>
      <c r="Y43" s="2565">
        <v>0</v>
      </c>
      <c r="Z43" s="2559">
        <v>0</v>
      </c>
      <c r="AA43" s="2559">
        <v>0</v>
      </c>
      <c r="AB43" s="2559">
        <v>0</v>
      </c>
      <c r="AC43" s="2559">
        <v>0</v>
      </c>
      <c r="AD43" s="2559">
        <v>0</v>
      </c>
      <c r="AE43" s="2559">
        <v>0</v>
      </c>
      <c r="AF43" s="2559">
        <v>0</v>
      </c>
      <c r="AG43" s="2559">
        <v>0</v>
      </c>
      <c r="AH43" s="2559">
        <v>0</v>
      </c>
      <c r="AI43" s="2559">
        <v>0</v>
      </c>
      <c r="AJ43" s="2559">
        <v>0</v>
      </c>
      <c r="AK43" s="2559">
        <v>0</v>
      </c>
      <c r="AL43" s="2560">
        <v>0</v>
      </c>
      <c r="AM43" s="2560">
        <v>0</v>
      </c>
      <c r="AN43" s="2560">
        <v>0</v>
      </c>
      <c r="AO43" s="2560">
        <v>0</v>
      </c>
      <c r="AP43" s="2560">
        <v>0</v>
      </c>
      <c r="AQ43" s="2569">
        <v>0</v>
      </c>
      <c r="AR43" s="2565">
        <v>0</v>
      </c>
      <c r="AS43" s="2565">
        <v>0</v>
      </c>
      <c r="AT43" s="2565">
        <v>0</v>
      </c>
      <c r="AU43" s="2565">
        <v>0</v>
      </c>
      <c r="AV43" s="2565">
        <v>0</v>
      </c>
      <c r="AW43" s="2562">
        <v>0</v>
      </c>
      <c r="AX43" s="2562">
        <v>0</v>
      </c>
      <c r="AY43" s="2562">
        <v>0</v>
      </c>
      <c r="AZ43" s="2565">
        <v>0</v>
      </c>
      <c r="BA43" s="2565">
        <v>0</v>
      </c>
      <c r="BB43" s="2576">
        <v>0</v>
      </c>
      <c r="BC43" s="2565">
        <v>0</v>
      </c>
      <c r="BD43" s="2565">
        <v>0</v>
      </c>
      <c r="BE43" s="2565">
        <v>0</v>
      </c>
      <c r="BF43" s="2565">
        <v>0</v>
      </c>
      <c r="BG43" s="2565">
        <v>0</v>
      </c>
      <c r="BH43" s="2565">
        <v>0</v>
      </c>
      <c r="BI43" s="2565">
        <v>0</v>
      </c>
      <c r="BJ43" s="2565">
        <v>0</v>
      </c>
      <c r="BK43" s="2565">
        <v>0</v>
      </c>
      <c r="BL43" s="2565">
        <v>0</v>
      </c>
      <c r="BM43" s="2565">
        <v>0</v>
      </c>
      <c r="BN43" s="2564">
        <v>0</v>
      </c>
      <c r="BO43" s="2527">
        <v>0</v>
      </c>
      <c r="BP43" s="2532">
        <v>0</v>
      </c>
    </row>
    <row r="44" spans="1:68" s="20" customFormat="1" ht="14.25" x14ac:dyDescent="0.2">
      <c r="A44" s="2530" t="str">
        <f>EPATFUEL</f>
        <v>Patent fuel plants</v>
      </c>
      <c r="B44" s="2531" t="s">
        <v>1103</v>
      </c>
      <c r="C44" s="2567">
        <v>0</v>
      </c>
      <c r="D44" s="2567">
        <v>0</v>
      </c>
      <c r="E44" s="2567">
        <v>0</v>
      </c>
      <c r="F44" s="2567">
        <v>0</v>
      </c>
      <c r="G44" s="2567">
        <v>0</v>
      </c>
      <c r="H44" s="2567">
        <v>0</v>
      </c>
      <c r="I44" s="2567">
        <v>0</v>
      </c>
      <c r="J44" s="2567">
        <v>0</v>
      </c>
      <c r="K44" s="2567">
        <v>0</v>
      </c>
      <c r="L44" s="2567">
        <v>0</v>
      </c>
      <c r="M44" s="2567">
        <v>0</v>
      </c>
      <c r="N44" s="2567">
        <v>0</v>
      </c>
      <c r="O44" s="2567">
        <v>0</v>
      </c>
      <c r="P44" s="2567">
        <v>0</v>
      </c>
      <c r="Q44" s="2565">
        <v>0</v>
      </c>
      <c r="R44" s="2567">
        <v>0</v>
      </c>
      <c r="S44" s="2567">
        <v>0</v>
      </c>
      <c r="T44" s="2586">
        <v>0</v>
      </c>
      <c r="U44" s="2565">
        <v>0</v>
      </c>
      <c r="V44" s="2565">
        <v>0</v>
      </c>
      <c r="W44" s="2565">
        <v>0</v>
      </c>
      <c r="X44" s="2565">
        <v>0</v>
      </c>
      <c r="Y44" s="2565">
        <v>0</v>
      </c>
      <c r="Z44" s="2565">
        <v>0</v>
      </c>
      <c r="AA44" s="2565">
        <v>0</v>
      </c>
      <c r="AB44" s="2565">
        <v>0</v>
      </c>
      <c r="AC44" s="2565">
        <v>0</v>
      </c>
      <c r="AD44" s="2565">
        <v>0</v>
      </c>
      <c r="AE44" s="2565">
        <v>0</v>
      </c>
      <c r="AF44" s="2565">
        <v>0</v>
      </c>
      <c r="AG44" s="2565">
        <v>0</v>
      </c>
      <c r="AH44" s="2565">
        <v>0</v>
      </c>
      <c r="AI44" s="2565">
        <v>0</v>
      </c>
      <c r="AJ44" s="2565">
        <v>0</v>
      </c>
      <c r="AK44" s="2565">
        <v>0</v>
      </c>
      <c r="AL44" s="2560">
        <v>0</v>
      </c>
      <c r="AM44" s="2560">
        <v>0</v>
      </c>
      <c r="AN44" s="2560">
        <v>0</v>
      </c>
      <c r="AO44" s="2560">
        <v>0</v>
      </c>
      <c r="AP44" s="2560">
        <v>0</v>
      </c>
      <c r="AQ44" s="2561">
        <v>0</v>
      </c>
      <c r="AR44" s="2562">
        <v>0</v>
      </c>
      <c r="AS44" s="2562">
        <v>0</v>
      </c>
      <c r="AT44" s="2562">
        <v>0</v>
      </c>
      <c r="AU44" s="2562">
        <v>0</v>
      </c>
      <c r="AV44" s="2562">
        <v>0</v>
      </c>
      <c r="AW44" s="2562">
        <v>0</v>
      </c>
      <c r="AX44" s="2562">
        <v>0</v>
      </c>
      <c r="AY44" s="2562">
        <v>0</v>
      </c>
      <c r="AZ44" s="2562">
        <v>0</v>
      </c>
      <c r="BA44" s="2562">
        <v>0</v>
      </c>
      <c r="BB44" s="2587">
        <v>0</v>
      </c>
      <c r="BC44" s="2565">
        <v>0</v>
      </c>
      <c r="BD44" s="2565">
        <v>0</v>
      </c>
      <c r="BE44" s="2564">
        <v>0</v>
      </c>
      <c r="BF44" s="2565">
        <v>0</v>
      </c>
      <c r="BG44" s="2564">
        <v>0</v>
      </c>
      <c r="BH44" s="2565">
        <v>0</v>
      </c>
      <c r="BI44" s="2565">
        <v>0</v>
      </c>
      <c r="BJ44" s="2565">
        <v>0</v>
      </c>
      <c r="BK44" s="2565">
        <v>0</v>
      </c>
      <c r="BL44" s="2565">
        <v>0</v>
      </c>
      <c r="BM44" s="2565">
        <v>0</v>
      </c>
      <c r="BN44" s="2564">
        <v>0</v>
      </c>
      <c r="BO44" s="2527">
        <v>0</v>
      </c>
      <c r="BP44" s="2532">
        <v>0</v>
      </c>
    </row>
    <row r="45" spans="1:68" s="20" customFormat="1" ht="14.25" x14ac:dyDescent="0.2">
      <c r="A45" s="2530" t="str">
        <f>ECOKEOVS</f>
        <v>Coke ovens</v>
      </c>
      <c r="B45" s="2531" t="s">
        <v>1107</v>
      </c>
      <c r="C45" s="2567">
        <v>0</v>
      </c>
      <c r="D45" s="2567">
        <v>0</v>
      </c>
      <c r="E45" s="2567">
        <v>0</v>
      </c>
      <c r="F45" s="2567">
        <v>0</v>
      </c>
      <c r="G45" s="2567">
        <v>0</v>
      </c>
      <c r="H45" s="2567">
        <v>0</v>
      </c>
      <c r="I45" s="2567">
        <v>0</v>
      </c>
      <c r="J45" s="2567">
        <v>0</v>
      </c>
      <c r="K45" s="2567">
        <v>0</v>
      </c>
      <c r="L45" s="2567">
        <v>0</v>
      </c>
      <c r="M45" s="2567">
        <v>0</v>
      </c>
      <c r="N45" s="2567">
        <v>0</v>
      </c>
      <c r="O45" s="2567">
        <v>0</v>
      </c>
      <c r="P45" s="2567">
        <v>0</v>
      </c>
      <c r="Q45" s="2565">
        <v>0</v>
      </c>
      <c r="R45" s="2567">
        <v>0</v>
      </c>
      <c r="S45" s="2567">
        <v>0</v>
      </c>
      <c r="T45" s="2586">
        <v>0</v>
      </c>
      <c r="U45" s="2559">
        <v>0</v>
      </c>
      <c r="V45" s="2559">
        <v>0</v>
      </c>
      <c r="W45" s="2565">
        <v>0</v>
      </c>
      <c r="X45" s="2565">
        <v>0</v>
      </c>
      <c r="Y45" s="2565">
        <v>0</v>
      </c>
      <c r="Z45" s="2559">
        <v>0</v>
      </c>
      <c r="AA45" s="2559">
        <v>0</v>
      </c>
      <c r="AB45" s="2559">
        <v>0</v>
      </c>
      <c r="AC45" s="2559">
        <v>0</v>
      </c>
      <c r="AD45" s="2559">
        <v>0</v>
      </c>
      <c r="AE45" s="2559">
        <v>0</v>
      </c>
      <c r="AF45" s="2559">
        <v>0</v>
      </c>
      <c r="AG45" s="2559">
        <v>0</v>
      </c>
      <c r="AH45" s="2559">
        <v>0</v>
      </c>
      <c r="AI45" s="2559">
        <v>0</v>
      </c>
      <c r="AJ45" s="2559">
        <v>0</v>
      </c>
      <c r="AK45" s="2559">
        <v>0</v>
      </c>
      <c r="AL45" s="2560">
        <v>0</v>
      </c>
      <c r="AM45" s="2560">
        <v>0</v>
      </c>
      <c r="AN45" s="2560">
        <v>0</v>
      </c>
      <c r="AO45" s="2560">
        <v>0</v>
      </c>
      <c r="AP45" s="2560">
        <v>0</v>
      </c>
      <c r="AQ45" s="2569">
        <v>0</v>
      </c>
      <c r="AR45" s="2562">
        <v>0</v>
      </c>
      <c r="AS45" s="2562">
        <v>0</v>
      </c>
      <c r="AT45" s="2562">
        <v>0</v>
      </c>
      <c r="AU45" s="2562">
        <v>0</v>
      </c>
      <c r="AV45" s="2562">
        <v>0</v>
      </c>
      <c r="AW45" s="2562">
        <v>0</v>
      </c>
      <c r="AX45" s="2562">
        <v>0</v>
      </c>
      <c r="AY45" s="2562">
        <v>0</v>
      </c>
      <c r="AZ45" s="2562">
        <v>0</v>
      </c>
      <c r="BA45" s="2562">
        <v>0</v>
      </c>
      <c r="BB45" s="2587">
        <v>0</v>
      </c>
      <c r="BC45" s="2565">
        <v>0</v>
      </c>
      <c r="BD45" s="2565">
        <v>0</v>
      </c>
      <c r="BE45" s="2564">
        <v>0</v>
      </c>
      <c r="BF45" s="2565">
        <v>0</v>
      </c>
      <c r="BG45" s="2564">
        <v>0</v>
      </c>
      <c r="BH45" s="2565">
        <v>0</v>
      </c>
      <c r="BI45" s="2565">
        <v>0</v>
      </c>
      <c r="BJ45" s="2565">
        <v>0</v>
      </c>
      <c r="BK45" s="2565">
        <v>0</v>
      </c>
      <c r="BL45" s="2565">
        <v>0</v>
      </c>
      <c r="BM45" s="2565">
        <v>0</v>
      </c>
      <c r="BN45" s="2564">
        <v>0</v>
      </c>
      <c r="BO45" s="2527">
        <v>0</v>
      </c>
      <c r="BP45" s="2532">
        <v>0</v>
      </c>
    </row>
    <row r="46" spans="1:68" s="20" customFormat="1" ht="14.25" x14ac:dyDescent="0.2">
      <c r="A46" s="2530" t="str">
        <f>EGASWKS</f>
        <v>Gas works</v>
      </c>
      <c r="B46" s="2531" t="s">
        <v>1111</v>
      </c>
      <c r="C46" s="2567">
        <v>0</v>
      </c>
      <c r="D46" s="2567">
        <v>0</v>
      </c>
      <c r="E46" s="2567">
        <v>0</v>
      </c>
      <c r="F46" s="2567">
        <v>0</v>
      </c>
      <c r="G46" s="2567">
        <v>0</v>
      </c>
      <c r="H46" s="2567">
        <v>0</v>
      </c>
      <c r="I46" s="2567">
        <v>0</v>
      </c>
      <c r="J46" s="2567">
        <v>0</v>
      </c>
      <c r="K46" s="2567">
        <v>0</v>
      </c>
      <c r="L46" s="2567">
        <v>0</v>
      </c>
      <c r="M46" s="2567">
        <v>0</v>
      </c>
      <c r="N46" s="2567">
        <v>0</v>
      </c>
      <c r="O46" s="2567">
        <v>0</v>
      </c>
      <c r="P46" s="2567">
        <v>0</v>
      </c>
      <c r="Q46" s="2565">
        <v>0</v>
      </c>
      <c r="R46" s="2567">
        <v>0</v>
      </c>
      <c r="S46" s="2567">
        <v>0</v>
      </c>
      <c r="T46" s="2586">
        <v>0</v>
      </c>
      <c r="U46" s="2559">
        <v>0</v>
      </c>
      <c r="V46" s="2559">
        <v>0</v>
      </c>
      <c r="W46" s="2565">
        <v>0</v>
      </c>
      <c r="X46" s="2565">
        <v>0</v>
      </c>
      <c r="Y46" s="2565">
        <v>0</v>
      </c>
      <c r="Z46" s="2559">
        <v>0</v>
      </c>
      <c r="AA46" s="2559">
        <v>0</v>
      </c>
      <c r="AB46" s="2559">
        <v>0</v>
      </c>
      <c r="AC46" s="2559">
        <v>0</v>
      </c>
      <c r="AD46" s="2559">
        <v>0</v>
      </c>
      <c r="AE46" s="2559">
        <v>0</v>
      </c>
      <c r="AF46" s="2559">
        <v>0</v>
      </c>
      <c r="AG46" s="2559">
        <v>0</v>
      </c>
      <c r="AH46" s="2559">
        <v>0</v>
      </c>
      <c r="AI46" s="2559">
        <v>0</v>
      </c>
      <c r="AJ46" s="2559">
        <v>0</v>
      </c>
      <c r="AK46" s="2559">
        <v>0</v>
      </c>
      <c r="AL46" s="2560">
        <v>0</v>
      </c>
      <c r="AM46" s="2560">
        <v>0</v>
      </c>
      <c r="AN46" s="2560">
        <v>0</v>
      </c>
      <c r="AO46" s="2560">
        <v>0</v>
      </c>
      <c r="AP46" s="2560">
        <v>0</v>
      </c>
      <c r="AQ46" s="2569">
        <v>0</v>
      </c>
      <c r="AR46" s="2562">
        <v>0</v>
      </c>
      <c r="AS46" s="2562">
        <v>0</v>
      </c>
      <c r="AT46" s="2562">
        <v>0</v>
      </c>
      <c r="AU46" s="2562">
        <v>0</v>
      </c>
      <c r="AV46" s="2562">
        <v>0</v>
      </c>
      <c r="AW46" s="2562">
        <v>0</v>
      </c>
      <c r="AX46" s="2562">
        <v>0</v>
      </c>
      <c r="AY46" s="2562">
        <v>0</v>
      </c>
      <c r="AZ46" s="2562">
        <v>0</v>
      </c>
      <c r="BA46" s="2562">
        <v>0</v>
      </c>
      <c r="BB46" s="2587">
        <v>0</v>
      </c>
      <c r="BC46" s="2565">
        <v>0</v>
      </c>
      <c r="BD46" s="2565">
        <v>0</v>
      </c>
      <c r="BE46" s="2564">
        <v>0</v>
      </c>
      <c r="BF46" s="2565">
        <v>0</v>
      </c>
      <c r="BG46" s="2564">
        <v>0</v>
      </c>
      <c r="BH46" s="2565">
        <v>0</v>
      </c>
      <c r="BI46" s="2565">
        <v>0</v>
      </c>
      <c r="BJ46" s="2565">
        <v>0</v>
      </c>
      <c r="BK46" s="2565">
        <v>0</v>
      </c>
      <c r="BL46" s="2565">
        <v>0</v>
      </c>
      <c r="BM46" s="2565">
        <v>0</v>
      </c>
      <c r="BN46" s="2564">
        <v>0</v>
      </c>
      <c r="BO46" s="2527">
        <v>0</v>
      </c>
      <c r="BP46" s="2532">
        <v>0</v>
      </c>
    </row>
    <row r="47" spans="1:68" s="20" customFormat="1" ht="14.25" x14ac:dyDescent="0.2">
      <c r="A47" s="2530" t="str">
        <f>EBIOGAS</f>
        <v>Gasification plants for biogases</v>
      </c>
      <c r="B47" s="2531" t="s">
        <v>1116</v>
      </c>
      <c r="C47" s="2565">
        <v>0</v>
      </c>
      <c r="D47" s="2565">
        <v>0</v>
      </c>
      <c r="E47" s="2565">
        <v>0</v>
      </c>
      <c r="F47" s="2565">
        <v>0</v>
      </c>
      <c r="G47" s="2565">
        <v>0</v>
      </c>
      <c r="H47" s="2565">
        <v>0</v>
      </c>
      <c r="I47" s="2565">
        <v>0</v>
      </c>
      <c r="J47" s="2565">
        <v>0</v>
      </c>
      <c r="K47" s="2565">
        <v>0</v>
      </c>
      <c r="L47" s="2565">
        <v>0</v>
      </c>
      <c r="M47" s="2565">
        <v>0</v>
      </c>
      <c r="N47" s="2565">
        <v>0</v>
      </c>
      <c r="O47" s="2565">
        <v>0</v>
      </c>
      <c r="P47" s="2565">
        <v>0</v>
      </c>
      <c r="Q47" s="2565">
        <v>0</v>
      </c>
      <c r="R47" s="2565">
        <v>0</v>
      </c>
      <c r="S47" s="2565">
        <v>0</v>
      </c>
      <c r="T47" s="2576">
        <v>0</v>
      </c>
      <c r="U47" s="2565">
        <v>0</v>
      </c>
      <c r="V47" s="2565">
        <v>0</v>
      </c>
      <c r="W47" s="2565">
        <v>0</v>
      </c>
      <c r="X47" s="2565">
        <v>0</v>
      </c>
      <c r="Y47" s="2565">
        <v>0</v>
      </c>
      <c r="Z47" s="2565">
        <v>0</v>
      </c>
      <c r="AA47" s="2565">
        <v>0</v>
      </c>
      <c r="AB47" s="2565">
        <v>0</v>
      </c>
      <c r="AC47" s="2565">
        <v>0</v>
      </c>
      <c r="AD47" s="2565">
        <v>0</v>
      </c>
      <c r="AE47" s="2565">
        <v>0</v>
      </c>
      <c r="AF47" s="2565">
        <v>0</v>
      </c>
      <c r="AG47" s="2565">
        <v>0</v>
      </c>
      <c r="AH47" s="2565">
        <v>0</v>
      </c>
      <c r="AI47" s="2565">
        <v>0</v>
      </c>
      <c r="AJ47" s="2565">
        <v>0</v>
      </c>
      <c r="AK47" s="2565">
        <v>0</v>
      </c>
      <c r="AL47" s="2560">
        <v>0</v>
      </c>
      <c r="AM47" s="2560">
        <v>0</v>
      </c>
      <c r="AN47" s="2560">
        <v>0</v>
      </c>
      <c r="AO47" s="2560">
        <v>0</v>
      </c>
      <c r="AP47" s="2560">
        <v>0</v>
      </c>
      <c r="AQ47" s="2561">
        <v>0</v>
      </c>
      <c r="AR47" s="2562">
        <v>0</v>
      </c>
      <c r="AS47" s="2562">
        <v>0</v>
      </c>
      <c r="AT47" s="2562">
        <v>0</v>
      </c>
      <c r="AU47" s="2562">
        <v>0</v>
      </c>
      <c r="AV47" s="2562">
        <v>0</v>
      </c>
      <c r="AW47" s="2562">
        <v>0</v>
      </c>
      <c r="AX47" s="2562">
        <v>0</v>
      </c>
      <c r="AY47" s="2562">
        <v>0</v>
      </c>
      <c r="AZ47" s="2562">
        <v>0</v>
      </c>
      <c r="BA47" s="2562">
        <v>0</v>
      </c>
      <c r="BB47" s="2587">
        <v>0</v>
      </c>
      <c r="BC47" s="2565">
        <v>0</v>
      </c>
      <c r="BD47" s="2565">
        <v>0</v>
      </c>
      <c r="BE47" s="2564">
        <v>0</v>
      </c>
      <c r="BF47" s="2565">
        <v>0</v>
      </c>
      <c r="BG47" s="2564">
        <v>0</v>
      </c>
      <c r="BH47" s="2565">
        <v>0</v>
      </c>
      <c r="BI47" s="2565">
        <v>0</v>
      </c>
      <c r="BJ47" s="2565">
        <v>0</v>
      </c>
      <c r="BK47" s="2565">
        <v>0</v>
      </c>
      <c r="BL47" s="2565">
        <v>0</v>
      </c>
      <c r="BM47" s="2565">
        <v>0</v>
      </c>
      <c r="BN47" s="2564">
        <v>0</v>
      </c>
      <c r="BO47" s="2527">
        <v>0</v>
      </c>
      <c r="BP47" s="2532">
        <v>0</v>
      </c>
    </row>
    <row r="48" spans="1:68" s="20" customFormat="1" ht="14.25" x14ac:dyDescent="0.2">
      <c r="A48" s="2530" t="str">
        <f>EBLASTFUR</f>
        <v>Blast furnaces</v>
      </c>
      <c r="B48" s="2531" t="s">
        <v>1123</v>
      </c>
      <c r="C48" s="2567">
        <v>0</v>
      </c>
      <c r="D48" s="2567">
        <v>0</v>
      </c>
      <c r="E48" s="2567">
        <v>0</v>
      </c>
      <c r="F48" s="2567">
        <v>0</v>
      </c>
      <c r="G48" s="2567">
        <v>0</v>
      </c>
      <c r="H48" s="2567">
        <v>0</v>
      </c>
      <c r="I48" s="2567">
        <v>0</v>
      </c>
      <c r="J48" s="2567">
        <v>0</v>
      </c>
      <c r="K48" s="2567">
        <v>0</v>
      </c>
      <c r="L48" s="2567">
        <v>0</v>
      </c>
      <c r="M48" s="2567">
        <v>0</v>
      </c>
      <c r="N48" s="2567">
        <v>0</v>
      </c>
      <c r="O48" s="2567">
        <v>0</v>
      </c>
      <c r="P48" s="2567">
        <v>0</v>
      </c>
      <c r="Q48" s="2565">
        <v>0</v>
      </c>
      <c r="R48" s="2567">
        <v>0</v>
      </c>
      <c r="S48" s="2567">
        <v>0</v>
      </c>
      <c r="T48" s="2586">
        <v>0</v>
      </c>
      <c r="U48" s="2559">
        <v>0</v>
      </c>
      <c r="V48" s="2559">
        <v>0</v>
      </c>
      <c r="W48" s="2565">
        <v>0</v>
      </c>
      <c r="X48" s="2565">
        <v>0</v>
      </c>
      <c r="Y48" s="2565">
        <v>0</v>
      </c>
      <c r="Z48" s="2559">
        <v>0</v>
      </c>
      <c r="AA48" s="2559">
        <v>0</v>
      </c>
      <c r="AB48" s="2559">
        <v>0</v>
      </c>
      <c r="AC48" s="2559">
        <v>0</v>
      </c>
      <c r="AD48" s="2559">
        <v>0</v>
      </c>
      <c r="AE48" s="2559">
        <v>0</v>
      </c>
      <c r="AF48" s="2559">
        <v>0</v>
      </c>
      <c r="AG48" s="2559">
        <v>0</v>
      </c>
      <c r="AH48" s="2559">
        <v>0</v>
      </c>
      <c r="AI48" s="2559">
        <v>0</v>
      </c>
      <c r="AJ48" s="2559">
        <v>0</v>
      </c>
      <c r="AK48" s="2559">
        <v>0</v>
      </c>
      <c r="AL48" s="2560">
        <v>0</v>
      </c>
      <c r="AM48" s="2560">
        <v>0</v>
      </c>
      <c r="AN48" s="2560">
        <v>0</v>
      </c>
      <c r="AO48" s="2560">
        <v>0</v>
      </c>
      <c r="AP48" s="2560">
        <v>0</v>
      </c>
      <c r="AQ48" s="2569">
        <v>0</v>
      </c>
      <c r="AR48" s="2562">
        <v>0</v>
      </c>
      <c r="AS48" s="2562">
        <v>0</v>
      </c>
      <c r="AT48" s="2562">
        <v>0</v>
      </c>
      <c r="AU48" s="2562">
        <v>0</v>
      </c>
      <c r="AV48" s="2562">
        <v>0</v>
      </c>
      <c r="AW48" s="2562">
        <v>0</v>
      </c>
      <c r="AX48" s="2562">
        <v>0</v>
      </c>
      <c r="AY48" s="2562">
        <v>0</v>
      </c>
      <c r="AZ48" s="2562">
        <v>0</v>
      </c>
      <c r="BA48" s="2562">
        <v>0</v>
      </c>
      <c r="BB48" s="2587">
        <v>0</v>
      </c>
      <c r="BC48" s="2565">
        <v>0</v>
      </c>
      <c r="BD48" s="2565">
        <v>0</v>
      </c>
      <c r="BE48" s="2564">
        <v>0</v>
      </c>
      <c r="BF48" s="2565">
        <v>0</v>
      </c>
      <c r="BG48" s="2564">
        <v>0</v>
      </c>
      <c r="BH48" s="2565">
        <v>0</v>
      </c>
      <c r="BI48" s="2565">
        <v>0</v>
      </c>
      <c r="BJ48" s="2565">
        <v>0</v>
      </c>
      <c r="BK48" s="2565">
        <v>0</v>
      </c>
      <c r="BL48" s="2565">
        <v>0</v>
      </c>
      <c r="BM48" s="2565">
        <v>0</v>
      </c>
      <c r="BN48" s="2564">
        <v>0</v>
      </c>
      <c r="BO48" s="2527">
        <v>0</v>
      </c>
      <c r="BP48" s="2532">
        <v>0</v>
      </c>
    </row>
    <row r="49" spans="1:68" s="20" customFormat="1" ht="14.25" x14ac:dyDescent="0.2">
      <c r="A49" s="2530" t="str">
        <f>EBKB</f>
        <v>BKB / peat briquette plants</v>
      </c>
      <c r="B49" s="2531" t="s">
        <v>1127</v>
      </c>
      <c r="C49" s="2567">
        <v>0</v>
      </c>
      <c r="D49" s="2567">
        <v>0</v>
      </c>
      <c r="E49" s="2567">
        <v>0</v>
      </c>
      <c r="F49" s="2567">
        <v>0</v>
      </c>
      <c r="G49" s="2567">
        <v>0</v>
      </c>
      <c r="H49" s="2567">
        <v>0</v>
      </c>
      <c r="I49" s="2567">
        <v>0</v>
      </c>
      <c r="J49" s="2567">
        <v>0</v>
      </c>
      <c r="K49" s="2567">
        <v>0</v>
      </c>
      <c r="L49" s="2567">
        <v>0</v>
      </c>
      <c r="M49" s="2567">
        <v>0</v>
      </c>
      <c r="N49" s="2567">
        <v>0</v>
      </c>
      <c r="O49" s="2567">
        <v>0</v>
      </c>
      <c r="P49" s="2567">
        <v>0</v>
      </c>
      <c r="Q49" s="2565">
        <v>0</v>
      </c>
      <c r="R49" s="2567">
        <v>0</v>
      </c>
      <c r="S49" s="2567">
        <v>0</v>
      </c>
      <c r="T49" s="2586">
        <v>0</v>
      </c>
      <c r="U49" s="2565">
        <v>0</v>
      </c>
      <c r="V49" s="2565">
        <v>0</v>
      </c>
      <c r="W49" s="2565">
        <v>0</v>
      </c>
      <c r="X49" s="2565">
        <v>0</v>
      </c>
      <c r="Y49" s="2565">
        <v>0</v>
      </c>
      <c r="Z49" s="2565">
        <v>0</v>
      </c>
      <c r="AA49" s="2565">
        <v>0</v>
      </c>
      <c r="AB49" s="2565">
        <v>0</v>
      </c>
      <c r="AC49" s="2565">
        <v>0</v>
      </c>
      <c r="AD49" s="2565">
        <v>0</v>
      </c>
      <c r="AE49" s="2565">
        <v>0</v>
      </c>
      <c r="AF49" s="2565">
        <v>0</v>
      </c>
      <c r="AG49" s="2565">
        <v>0</v>
      </c>
      <c r="AH49" s="2565">
        <v>0</v>
      </c>
      <c r="AI49" s="2565">
        <v>0</v>
      </c>
      <c r="AJ49" s="2565">
        <v>0</v>
      </c>
      <c r="AK49" s="2565">
        <v>0</v>
      </c>
      <c r="AL49" s="2560">
        <v>0</v>
      </c>
      <c r="AM49" s="2560">
        <v>0</v>
      </c>
      <c r="AN49" s="2560">
        <v>0</v>
      </c>
      <c r="AO49" s="2560">
        <v>0</v>
      </c>
      <c r="AP49" s="2560">
        <v>0</v>
      </c>
      <c r="AQ49" s="2561">
        <v>0</v>
      </c>
      <c r="AR49" s="2562">
        <v>0</v>
      </c>
      <c r="AS49" s="2562">
        <v>0</v>
      </c>
      <c r="AT49" s="2562">
        <v>0</v>
      </c>
      <c r="AU49" s="2562">
        <v>0</v>
      </c>
      <c r="AV49" s="2562">
        <v>0</v>
      </c>
      <c r="AW49" s="2562">
        <v>0</v>
      </c>
      <c r="AX49" s="2562">
        <v>0</v>
      </c>
      <c r="AY49" s="2562">
        <v>0</v>
      </c>
      <c r="AZ49" s="2562">
        <v>0</v>
      </c>
      <c r="BA49" s="2562">
        <v>0</v>
      </c>
      <c r="BB49" s="2587">
        <v>0</v>
      </c>
      <c r="BC49" s="2565">
        <v>0</v>
      </c>
      <c r="BD49" s="2565">
        <v>0</v>
      </c>
      <c r="BE49" s="2564">
        <v>0</v>
      </c>
      <c r="BF49" s="2565">
        <v>0</v>
      </c>
      <c r="BG49" s="2564">
        <v>0</v>
      </c>
      <c r="BH49" s="2565">
        <v>0</v>
      </c>
      <c r="BI49" s="2565">
        <v>0</v>
      </c>
      <c r="BJ49" s="2565">
        <v>0</v>
      </c>
      <c r="BK49" s="2565">
        <v>0</v>
      </c>
      <c r="BL49" s="2565">
        <v>0</v>
      </c>
      <c r="BM49" s="2565">
        <v>0</v>
      </c>
      <c r="BN49" s="2564">
        <v>0</v>
      </c>
      <c r="BO49" s="2527">
        <v>0</v>
      </c>
      <c r="BP49" s="2532">
        <v>0</v>
      </c>
    </row>
    <row r="50" spans="1:68" s="20" customFormat="1" ht="14.25" x14ac:dyDescent="0.2">
      <c r="A50" s="2530" t="str">
        <f>EREFINER</f>
        <v>Oil refineries</v>
      </c>
      <c r="B50" s="2531" t="s">
        <v>1132</v>
      </c>
      <c r="C50" s="2567">
        <v>0</v>
      </c>
      <c r="D50" s="2567">
        <v>0</v>
      </c>
      <c r="E50" s="2567">
        <v>0</v>
      </c>
      <c r="F50" s="2567">
        <v>0</v>
      </c>
      <c r="G50" s="2567">
        <v>0</v>
      </c>
      <c r="H50" s="2567">
        <v>0</v>
      </c>
      <c r="I50" s="2567">
        <v>0</v>
      </c>
      <c r="J50" s="2567">
        <v>0</v>
      </c>
      <c r="K50" s="2567">
        <v>0</v>
      </c>
      <c r="L50" s="2567">
        <v>0</v>
      </c>
      <c r="M50" s="2567">
        <v>0</v>
      </c>
      <c r="N50" s="2567">
        <v>0</v>
      </c>
      <c r="O50" s="2567">
        <v>0</v>
      </c>
      <c r="P50" s="2567">
        <v>0</v>
      </c>
      <c r="Q50" s="2565">
        <v>0</v>
      </c>
      <c r="R50" s="2567">
        <v>0</v>
      </c>
      <c r="S50" s="2567">
        <v>0</v>
      </c>
      <c r="T50" s="2586">
        <v>0</v>
      </c>
      <c r="U50" s="2565">
        <v>0</v>
      </c>
      <c r="V50" s="2565">
        <v>0</v>
      </c>
      <c r="W50" s="2565">
        <v>0</v>
      </c>
      <c r="X50" s="2565">
        <v>0</v>
      </c>
      <c r="Y50" s="2565">
        <v>0</v>
      </c>
      <c r="Z50" s="2559">
        <v>0</v>
      </c>
      <c r="AA50" s="2559">
        <v>0</v>
      </c>
      <c r="AB50" s="2559">
        <v>0</v>
      </c>
      <c r="AC50" s="2559">
        <v>0</v>
      </c>
      <c r="AD50" s="2559">
        <v>0</v>
      </c>
      <c r="AE50" s="2559">
        <v>0</v>
      </c>
      <c r="AF50" s="2559">
        <v>0</v>
      </c>
      <c r="AG50" s="2559">
        <v>0</v>
      </c>
      <c r="AH50" s="2559">
        <v>0</v>
      </c>
      <c r="AI50" s="2559">
        <v>0</v>
      </c>
      <c r="AJ50" s="2559">
        <v>0</v>
      </c>
      <c r="AK50" s="2559">
        <v>0</v>
      </c>
      <c r="AL50" s="2560">
        <v>0</v>
      </c>
      <c r="AM50" s="2560">
        <v>0</v>
      </c>
      <c r="AN50" s="2560">
        <v>0</v>
      </c>
      <c r="AO50" s="2560">
        <v>0</v>
      </c>
      <c r="AP50" s="2560">
        <v>0</v>
      </c>
      <c r="AQ50" s="2569">
        <v>0</v>
      </c>
      <c r="AR50" s="2562">
        <v>0</v>
      </c>
      <c r="AS50" s="2562">
        <v>0</v>
      </c>
      <c r="AT50" s="2562">
        <v>0</v>
      </c>
      <c r="AU50" s="2562">
        <v>0</v>
      </c>
      <c r="AV50" s="2562">
        <v>0</v>
      </c>
      <c r="AW50" s="2562">
        <v>0</v>
      </c>
      <c r="AX50" s="2562">
        <v>0</v>
      </c>
      <c r="AY50" s="2562">
        <v>0</v>
      </c>
      <c r="AZ50" s="2562">
        <v>0</v>
      </c>
      <c r="BA50" s="2562">
        <v>0</v>
      </c>
      <c r="BB50" s="2587">
        <v>0</v>
      </c>
      <c r="BC50" s="2565">
        <v>0</v>
      </c>
      <c r="BD50" s="2565">
        <v>0</v>
      </c>
      <c r="BE50" s="2564">
        <v>0</v>
      </c>
      <c r="BF50" s="2565">
        <v>0</v>
      </c>
      <c r="BG50" s="2564">
        <v>0</v>
      </c>
      <c r="BH50" s="2565">
        <v>0</v>
      </c>
      <c r="BI50" s="2565">
        <v>0</v>
      </c>
      <c r="BJ50" s="2565">
        <v>0</v>
      </c>
      <c r="BK50" s="2565">
        <v>0</v>
      </c>
      <c r="BL50" s="2565">
        <v>0</v>
      </c>
      <c r="BM50" s="2565">
        <v>0</v>
      </c>
      <c r="BN50" s="2564">
        <v>12404.28</v>
      </c>
      <c r="BO50" s="2527">
        <v>0</v>
      </c>
      <c r="BP50" s="2532">
        <v>0</v>
      </c>
    </row>
    <row r="51" spans="1:68" s="20" customFormat="1" ht="14.25" x14ac:dyDescent="0.2">
      <c r="A51" s="2530" t="str">
        <f>ECOALLIQ</f>
        <v>Coal liquefaction plants</v>
      </c>
      <c r="B51" s="2531" t="s">
        <v>1137</v>
      </c>
      <c r="C51" s="2567">
        <v>0</v>
      </c>
      <c r="D51" s="2567">
        <v>0</v>
      </c>
      <c r="E51" s="2567">
        <v>12683.5</v>
      </c>
      <c r="F51" s="2567">
        <v>0</v>
      </c>
      <c r="G51" s="2567">
        <v>0</v>
      </c>
      <c r="H51" s="2567">
        <v>0</v>
      </c>
      <c r="I51" s="2567">
        <v>0</v>
      </c>
      <c r="J51" s="2567">
        <v>0</v>
      </c>
      <c r="K51" s="2567">
        <v>0</v>
      </c>
      <c r="L51" s="2567">
        <v>0</v>
      </c>
      <c r="M51" s="2567">
        <v>0</v>
      </c>
      <c r="N51" s="2567">
        <v>0</v>
      </c>
      <c r="O51" s="2567">
        <v>0</v>
      </c>
      <c r="P51" s="2567">
        <v>0</v>
      </c>
      <c r="Q51" s="2565">
        <v>0</v>
      </c>
      <c r="R51" s="2567">
        <v>0</v>
      </c>
      <c r="S51" s="2567">
        <v>0</v>
      </c>
      <c r="T51" s="2586">
        <v>0</v>
      </c>
      <c r="U51" s="2565">
        <v>0</v>
      </c>
      <c r="V51" s="2565">
        <v>0</v>
      </c>
      <c r="W51" s="2565">
        <v>0</v>
      </c>
      <c r="X51" s="2565">
        <v>0</v>
      </c>
      <c r="Y51" s="2565">
        <v>0</v>
      </c>
      <c r="Z51" s="2565">
        <v>0</v>
      </c>
      <c r="AA51" s="2565">
        <v>0</v>
      </c>
      <c r="AB51" s="2565">
        <v>0</v>
      </c>
      <c r="AC51" s="2565">
        <v>0</v>
      </c>
      <c r="AD51" s="2565">
        <v>0</v>
      </c>
      <c r="AE51" s="2565">
        <v>0</v>
      </c>
      <c r="AF51" s="2565">
        <v>0</v>
      </c>
      <c r="AG51" s="2565">
        <v>0</v>
      </c>
      <c r="AH51" s="2565">
        <v>0</v>
      </c>
      <c r="AI51" s="2565">
        <v>0</v>
      </c>
      <c r="AJ51" s="2565">
        <v>0</v>
      </c>
      <c r="AK51" s="2565">
        <v>0</v>
      </c>
      <c r="AL51" s="2560">
        <v>0</v>
      </c>
      <c r="AM51" s="2560">
        <v>0</v>
      </c>
      <c r="AN51" s="2560">
        <v>0</v>
      </c>
      <c r="AO51" s="2560">
        <v>0</v>
      </c>
      <c r="AP51" s="2560">
        <v>0</v>
      </c>
      <c r="AQ51" s="2561">
        <v>0</v>
      </c>
      <c r="AR51" s="2565">
        <v>0</v>
      </c>
      <c r="AS51" s="2565">
        <v>0</v>
      </c>
      <c r="AT51" s="2565">
        <v>0</v>
      </c>
      <c r="AU51" s="2565">
        <v>0</v>
      </c>
      <c r="AV51" s="2565">
        <v>0</v>
      </c>
      <c r="AW51" s="2565">
        <v>0</v>
      </c>
      <c r="AX51" s="2565">
        <v>0</v>
      </c>
      <c r="AY51" s="2565">
        <v>0</v>
      </c>
      <c r="AZ51" s="2565">
        <v>0</v>
      </c>
      <c r="BA51" s="2565">
        <v>0</v>
      </c>
      <c r="BB51" s="2576">
        <v>0</v>
      </c>
      <c r="BC51" s="2565">
        <v>0</v>
      </c>
      <c r="BD51" s="2565">
        <v>0</v>
      </c>
      <c r="BE51" s="2565">
        <v>0</v>
      </c>
      <c r="BF51" s="2565">
        <v>0</v>
      </c>
      <c r="BG51" s="2565">
        <v>0</v>
      </c>
      <c r="BH51" s="2565">
        <v>0</v>
      </c>
      <c r="BI51" s="2565">
        <v>0</v>
      </c>
      <c r="BJ51" s="2565">
        <v>0</v>
      </c>
      <c r="BK51" s="2565">
        <v>0</v>
      </c>
      <c r="BL51" s="2565">
        <v>0</v>
      </c>
      <c r="BM51" s="2565">
        <v>0</v>
      </c>
      <c r="BN51" s="2564">
        <v>0</v>
      </c>
      <c r="BO51" s="2527">
        <v>0</v>
      </c>
      <c r="BP51" s="2532">
        <v>0</v>
      </c>
    </row>
    <row r="52" spans="1:68" s="20" customFormat="1" ht="14.25" x14ac:dyDescent="0.2">
      <c r="A52" s="2530" t="str">
        <f>ELNG</f>
        <v>Liquefaction (LNG) / regasification plants</v>
      </c>
      <c r="B52" s="2531" t="s">
        <v>1143</v>
      </c>
      <c r="C52" s="2565">
        <v>0</v>
      </c>
      <c r="D52" s="2565">
        <v>0</v>
      </c>
      <c r="E52" s="2565">
        <v>0</v>
      </c>
      <c r="F52" s="2565">
        <v>0</v>
      </c>
      <c r="G52" s="2565">
        <v>0</v>
      </c>
      <c r="H52" s="2565">
        <v>0</v>
      </c>
      <c r="I52" s="2565">
        <v>0</v>
      </c>
      <c r="J52" s="2565">
        <v>0</v>
      </c>
      <c r="K52" s="2565">
        <v>0</v>
      </c>
      <c r="L52" s="2565">
        <v>0</v>
      </c>
      <c r="M52" s="2565">
        <v>0</v>
      </c>
      <c r="N52" s="2565">
        <v>0</v>
      </c>
      <c r="O52" s="2565">
        <v>0</v>
      </c>
      <c r="P52" s="2565">
        <v>0</v>
      </c>
      <c r="Q52" s="2565">
        <v>0</v>
      </c>
      <c r="R52" s="2565">
        <v>0</v>
      </c>
      <c r="S52" s="2565">
        <v>0</v>
      </c>
      <c r="T52" s="2576">
        <v>0</v>
      </c>
      <c r="U52" s="2565">
        <v>0</v>
      </c>
      <c r="V52" s="2565">
        <v>0</v>
      </c>
      <c r="W52" s="2565">
        <v>0</v>
      </c>
      <c r="X52" s="2565">
        <v>0</v>
      </c>
      <c r="Y52" s="2565">
        <v>0</v>
      </c>
      <c r="Z52" s="2565">
        <v>0</v>
      </c>
      <c r="AA52" s="2565">
        <v>0</v>
      </c>
      <c r="AB52" s="2565">
        <v>0</v>
      </c>
      <c r="AC52" s="2565">
        <v>0</v>
      </c>
      <c r="AD52" s="2565">
        <v>0</v>
      </c>
      <c r="AE52" s="2565">
        <v>0</v>
      </c>
      <c r="AF52" s="2565">
        <v>0</v>
      </c>
      <c r="AG52" s="2565">
        <v>0</v>
      </c>
      <c r="AH52" s="2565">
        <v>0</v>
      </c>
      <c r="AI52" s="2565">
        <v>0</v>
      </c>
      <c r="AJ52" s="2565">
        <v>0</v>
      </c>
      <c r="AK52" s="2565">
        <v>0</v>
      </c>
      <c r="AL52" s="2560">
        <v>0</v>
      </c>
      <c r="AM52" s="2560">
        <v>0</v>
      </c>
      <c r="AN52" s="2560">
        <v>0</v>
      </c>
      <c r="AO52" s="2560">
        <v>0</v>
      </c>
      <c r="AP52" s="2560">
        <v>0</v>
      </c>
      <c r="AQ52" s="2569">
        <v>0</v>
      </c>
      <c r="AR52" s="2565">
        <v>0</v>
      </c>
      <c r="AS52" s="2565">
        <v>0</v>
      </c>
      <c r="AT52" s="2565">
        <v>0</v>
      </c>
      <c r="AU52" s="2565">
        <v>0</v>
      </c>
      <c r="AV52" s="2565">
        <v>0</v>
      </c>
      <c r="AW52" s="2565">
        <v>0</v>
      </c>
      <c r="AX52" s="2565">
        <v>0</v>
      </c>
      <c r="AY52" s="2565">
        <v>0</v>
      </c>
      <c r="AZ52" s="2565">
        <v>0</v>
      </c>
      <c r="BA52" s="2565">
        <v>0</v>
      </c>
      <c r="BB52" s="2576">
        <v>0</v>
      </c>
      <c r="BC52" s="2565">
        <v>0</v>
      </c>
      <c r="BD52" s="2565">
        <v>0</v>
      </c>
      <c r="BE52" s="2565">
        <v>0</v>
      </c>
      <c r="BF52" s="2565">
        <v>0</v>
      </c>
      <c r="BG52" s="2565">
        <v>0</v>
      </c>
      <c r="BH52" s="2565">
        <v>0</v>
      </c>
      <c r="BI52" s="2565">
        <v>0</v>
      </c>
      <c r="BJ52" s="2565">
        <v>0</v>
      </c>
      <c r="BK52" s="2565">
        <v>0</v>
      </c>
      <c r="BL52" s="2565">
        <v>0</v>
      </c>
      <c r="BM52" s="2565">
        <v>0</v>
      </c>
      <c r="BN52" s="2564">
        <v>0</v>
      </c>
      <c r="BO52" s="2527">
        <v>0</v>
      </c>
      <c r="BP52" s="2532">
        <v>0</v>
      </c>
    </row>
    <row r="53" spans="1:68" s="20" customFormat="1" ht="14.25" x14ac:dyDescent="0.2">
      <c r="A53" s="2530" t="str">
        <f>EGTL</f>
        <v>Gas-to-liquids (GTL) plants</v>
      </c>
      <c r="B53" s="2531" t="s">
        <v>1150</v>
      </c>
      <c r="C53" s="2565">
        <v>0</v>
      </c>
      <c r="D53" s="2565">
        <v>0</v>
      </c>
      <c r="E53" s="2565">
        <v>0</v>
      </c>
      <c r="F53" s="2565">
        <v>0</v>
      </c>
      <c r="G53" s="2565">
        <v>0</v>
      </c>
      <c r="H53" s="2565">
        <v>0</v>
      </c>
      <c r="I53" s="2565">
        <v>0</v>
      </c>
      <c r="J53" s="2565">
        <v>0</v>
      </c>
      <c r="K53" s="2565">
        <v>0</v>
      </c>
      <c r="L53" s="2565">
        <v>0</v>
      </c>
      <c r="M53" s="2565">
        <v>0</v>
      </c>
      <c r="N53" s="2565">
        <v>0</v>
      </c>
      <c r="O53" s="2565">
        <v>0</v>
      </c>
      <c r="P53" s="2565">
        <v>0</v>
      </c>
      <c r="Q53" s="2565">
        <v>0</v>
      </c>
      <c r="R53" s="2565">
        <v>0</v>
      </c>
      <c r="S53" s="2565">
        <v>0</v>
      </c>
      <c r="T53" s="2576">
        <v>0</v>
      </c>
      <c r="U53" s="2565">
        <v>0</v>
      </c>
      <c r="V53" s="2565">
        <v>0</v>
      </c>
      <c r="W53" s="2565">
        <v>0</v>
      </c>
      <c r="X53" s="2565">
        <v>0</v>
      </c>
      <c r="Y53" s="2565">
        <v>0</v>
      </c>
      <c r="Z53" s="2565">
        <v>0</v>
      </c>
      <c r="AA53" s="2565">
        <v>0</v>
      </c>
      <c r="AB53" s="2565">
        <v>0</v>
      </c>
      <c r="AC53" s="2565">
        <v>0</v>
      </c>
      <c r="AD53" s="2565">
        <v>0</v>
      </c>
      <c r="AE53" s="2565">
        <v>0</v>
      </c>
      <c r="AF53" s="2565">
        <v>0</v>
      </c>
      <c r="AG53" s="2565">
        <v>0</v>
      </c>
      <c r="AH53" s="2565">
        <v>0</v>
      </c>
      <c r="AI53" s="2565">
        <v>0</v>
      </c>
      <c r="AJ53" s="2565">
        <v>0</v>
      </c>
      <c r="AK53" s="2565">
        <v>0</v>
      </c>
      <c r="AL53" s="2560">
        <v>0</v>
      </c>
      <c r="AM53" s="2560">
        <v>0</v>
      </c>
      <c r="AN53" s="2560">
        <v>0</v>
      </c>
      <c r="AO53" s="2560">
        <v>0</v>
      </c>
      <c r="AP53" s="2560">
        <v>0</v>
      </c>
      <c r="AQ53" s="2569">
        <v>0</v>
      </c>
      <c r="AR53" s="2565">
        <v>0</v>
      </c>
      <c r="AS53" s="2565">
        <v>0</v>
      </c>
      <c r="AT53" s="2565">
        <v>0</v>
      </c>
      <c r="AU53" s="2565">
        <v>0</v>
      </c>
      <c r="AV53" s="2565">
        <v>0</v>
      </c>
      <c r="AW53" s="2565">
        <v>0</v>
      </c>
      <c r="AX53" s="2565">
        <v>0</v>
      </c>
      <c r="AY53" s="2565">
        <v>0</v>
      </c>
      <c r="AZ53" s="2565">
        <v>0</v>
      </c>
      <c r="BA53" s="2565">
        <v>0</v>
      </c>
      <c r="BB53" s="2576">
        <v>0</v>
      </c>
      <c r="BC53" s="2565">
        <v>0</v>
      </c>
      <c r="BD53" s="2565">
        <v>0</v>
      </c>
      <c r="BE53" s="2565">
        <v>0</v>
      </c>
      <c r="BF53" s="2565">
        <v>0</v>
      </c>
      <c r="BG53" s="2565">
        <v>0</v>
      </c>
      <c r="BH53" s="2565">
        <v>0</v>
      </c>
      <c r="BI53" s="2565">
        <v>0</v>
      </c>
      <c r="BJ53" s="2565">
        <v>0</v>
      </c>
      <c r="BK53" s="2565">
        <v>0</v>
      </c>
      <c r="BL53" s="2565">
        <v>0</v>
      </c>
      <c r="BM53" s="2565">
        <v>0</v>
      </c>
      <c r="BN53" s="2564">
        <v>0</v>
      </c>
      <c r="BO53" s="2527">
        <v>0</v>
      </c>
      <c r="BP53" s="2532">
        <v>0</v>
      </c>
    </row>
    <row r="54" spans="1:68" s="20" customFormat="1" ht="14.25" x14ac:dyDescent="0.2">
      <c r="A54" s="2530" t="str">
        <f>EPOWERPLT</f>
        <v>Own use in electricity, CHP and heat plants</v>
      </c>
      <c r="B54" s="2531" t="s">
        <v>1155</v>
      </c>
      <c r="C54" s="2567">
        <v>0</v>
      </c>
      <c r="D54" s="2567">
        <v>0</v>
      </c>
      <c r="E54" s="2567">
        <v>0</v>
      </c>
      <c r="F54" s="2567">
        <v>0</v>
      </c>
      <c r="G54" s="2567">
        <v>0</v>
      </c>
      <c r="H54" s="2567">
        <v>0</v>
      </c>
      <c r="I54" s="2567">
        <v>0</v>
      </c>
      <c r="J54" s="2567">
        <v>0</v>
      </c>
      <c r="K54" s="2567">
        <v>0</v>
      </c>
      <c r="L54" s="2567">
        <v>0</v>
      </c>
      <c r="M54" s="2567">
        <v>1228.47</v>
      </c>
      <c r="N54" s="2567">
        <v>0</v>
      </c>
      <c r="O54" s="2567">
        <v>0</v>
      </c>
      <c r="P54" s="2567">
        <v>0</v>
      </c>
      <c r="Q54" s="2565">
        <v>0</v>
      </c>
      <c r="R54" s="2567">
        <v>0</v>
      </c>
      <c r="S54" s="2567">
        <v>0</v>
      </c>
      <c r="T54" s="2586">
        <v>0</v>
      </c>
      <c r="U54" s="2559">
        <v>0</v>
      </c>
      <c r="V54" s="2559">
        <v>0</v>
      </c>
      <c r="W54" s="2565">
        <v>0</v>
      </c>
      <c r="X54" s="2565">
        <v>0</v>
      </c>
      <c r="Y54" s="2565">
        <v>0</v>
      </c>
      <c r="Z54" s="2559">
        <v>0</v>
      </c>
      <c r="AA54" s="2559">
        <v>0</v>
      </c>
      <c r="AB54" s="2559">
        <v>0</v>
      </c>
      <c r="AC54" s="2559">
        <v>0</v>
      </c>
      <c r="AD54" s="2559">
        <v>0</v>
      </c>
      <c r="AE54" s="2559">
        <v>0</v>
      </c>
      <c r="AF54" s="2559">
        <v>0</v>
      </c>
      <c r="AG54" s="2559">
        <v>0</v>
      </c>
      <c r="AH54" s="2559">
        <v>0</v>
      </c>
      <c r="AI54" s="2559">
        <v>0</v>
      </c>
      <c r="AJ54" s="2559">
        <v>0</v>
      </c>
      <c r="AK54" s="2559">
        <v>0</v>
      </c>
      <c r="AL54" s="2560">
        <v>0</v>
      </c>
      <c r="AM54" s="2560">
        <v>0</v>
      </c>
      <c r="AN54" s="2560">
        <v>0</v>
      </c>
      <c r="AO54" s="2560">
        <v>0</v>
      </c>
      <c r="AP54" s="2560">
        <v>0</v>
      </c>
      <c r="AQ54" s="2569">
        <v>15423.9853515625</v>
      </c>
      <c r="AR54" s="2562">
        <v>0</v>
      </c>
      <c r="AS54" s="2562">
        <v>0</v>
      </c>
      <c r="AT54" s="2562">
        <v>0</v>
      </c>
      <c r="AU54" s="2562">
        <v>0</v>
      </c>
      <c r="AV54" s="2562">
        <v>0</v>
      </c>
      <c r="AW54" s="2562">
        <v>0</v>
      </c>
      <c r="AX54" s="2562">
        <v>0</v>
      </c>
      <c r="AY54" s="2562">
        <v>0</v>
      </c>
      <c r="AZ54" s="2562">
        <v>0</v>
      </c>
      <c r="BA54" s="2562">
        <v>0</v>
      </c>
      <c r="BB54" s="2587">
        <v>0</v>
      </c>
      <c r="BC54" s="2565">
        <v>0</v>
      </c>
      <c r="BD54" s="2565">
        <v>0</v>
      </c>
      <c r="BE54" s="2564">
        <v>0</v>
      </c>
      <c r="BF54" s="2565">
        <v>0</v>
      </c>
      <c r="BG54" s="2564">
        <v>0</v>
      </c>
      <c r="BH54" s="2565">
        <v>0</v>
      </c>
      <c r="BI54" s="2565">
        <v>0</v>
      </c>
      <c r="BJ54" s="2565">
        <v>0</v>
      </c>
      <c r="BK54" s="2565">
        <v>0</v>
      </c>
      <c r="BL54" s="2565">
        <v>0</v>
      </c>
      <c r="BM54" s="2565">
        <v>0</v>
      </c>
      <c r="BN54" s="2564">
        <v>0.14799999999999999</v>
      </c>
      <c r="BO54" s="2527">
        <v>0</v>
      </c>
      <c r="BP54" s="2532">
        <v>0</v>
      </c>
    </row>
    <row r="55" spans="1:68" s="20" customFormat="1" ht="14.25" x14ac:dyDescent="0.2">
      <c r="A55" s="2530" t="str">
        <f>EPUMPST</f>
        <v>Used for pumped storage</v>
      </c>
      <c r="B55" s="2531" t="s">
        <v>1162</v>
      </c>
      <c r="C55" s="2565">
        <v>0</v>
      </c>
      <c r="D55" s="2565">
        <v>0</v>
      </c>
      <c r="E55" s="2565">
        <v>0</v>
      </c>
      <c r="F55" s="2565">
        <v>0</v>
      </c>
      <c r="G55" s="2565">
        <v>0</v>
      </c>
      <c r="H55" s="2565">
        <v>0</v>
      </c>
      <c r="I55" s="2565">
        <v>0</v>
      </c>
      <c r="J55" s="2565">
        <v>0</v>
      </c>
      <c r="K55" s="2565">
        <v>0</v>
      </c>
      <c r="L55" s="2565">
        <v>0</v>
      </c>
      <c r="M55" s="2565">
        <v>0</v>
      </c>
      <c r="N55" s="2565">
        <v>0</v>
      </c>
      <c r="O55" s="2565">
        <v>0</v>
      </c>
      <c r="P55" s="2565">
        <v>0</v>
      </c>
      <c r="Q55" s="2565">
        <v>0</v>
      </c>
      <c r="R55" s="2565">
        <v>0</v>
      </c>
      <c r="S55" s="2565">
        <v>0</v>
      </c>
      <c r="T55" s="2576">
        <v>0</v>
      </c>
      <c r="U55" s="2565">
        <v>0</v>
      </c>
      <c r="V55" s="2565">
        <v>0</v>
      </c>
      <c r="W55" s="2565">
        <v>0</v>
      </c>
      <c r="X55" s="2565">
        <v>0</v>
      </c>
      <c r="Y55" s="2565">
        <v>0</v>
      </c>
      <c r="Z55" s="2565">
        <v>0</v>
      </c>
      <c r="AA55" s="2565">
        <v>0</v>
      </c>
      <c r="AB55" s="2565">
        <v>0</v>
      </c>
      <c r="AC55" s="2565">
        <v>0</v>
      </c>
      <c r="AD55" s="2565">
        <v>0</v>
      </c>
      <c r="AE55" s="2565">
        <v>0</v>
      </c>
      <c r="AF55" s="2565">
        <v>0</v>
      </c>
      <c r="AG55" s="2565">
        <v>0</v>
      </c>
      <c r="AH55" s="2565">
        <v>0</v>
      </c>
      <c r="AI55" s="2565">
        <v>0</v>
      </c>
      <c r="AJ55" s="2565">
        <v>0</v>
      </c>
      <c r="AK55" s="2565">
        <v>0</v>
      </c>
      <c r="AL55" s="2560">
        <v>0</v>
      </c>
      <c r="AM55" s="2560">
        <v>0</v>
      </c>
      <c r="AN55" s="2560">
        <v>0</v>
      </c>
      <c r="AO55" s="2560">
        <v>0</v>
      </c>
      <c r="AP55" s="2560">
        <v>0</v>
      </c>
      <c r="AQ55" s="2561">
        <v>0</v>
      </c>
      <c r="AR55" s="2565">
        <v>0</v>
      </c>
      <c r="AS55" s="2565">
        <v>0</v>
      </c>
      <c r="AT55" s="2565">
        <v>0</v>
      </c>
      <c r="AU55" s="2565">
        <v>0</v>
      </c>
      <c r="AV55" s="2565">
        <v>0</v>
      </c>
      <c r="AW55" s="2565">
        <v>0</v>
      </c>
      <c r="AX55" s="2565">
        <v>0</v>
      </c>
      <c r="AY55" s="2565">
        <v>0</v>
      </c>
      <c r="AZ55" s="2565">
        <v>0</v>
      </c>
      <c r="BA55" s="2565">
        <v>0</v>
      </c>
      <c r="BB55" s="2576">
        <v>0</v>
      </c>
      <c r="BC55" s="2565">
        <v>0</v>
      </c>
      <c r="BD55" s="2565">
        <v>0</v>
      </c>
      <c r="BE55" s="2565">
        <v>0</v>
      </c>
      <c r="BF55" s="2565">
        <v>0</v>
      </c>
      <c r="BG55" s="2565">
        <v>0</v>
      </c>
      <c r="BH55" s="2565">
        <v>0</v>
      </c>
      <c r="BI55" s="2565">
        <v>0</v>
      </c>
      <c r="BJ55" s="2565">
        <v>0</v>
      </c>
      <c r="BK55" s="2565">
        <v>0</v>
      </c>
      <c r="BL55" s="2565">
        <v>0</v>
      </c>
      <c r="BM55" s="2565">
        <v>0</v>
      </c>
      <c r="BN55" s="2564">
        <v>4101.759</v>
      </c>
      <c r="BO55" s="2527">
        <v>0</v>
      </c>
      <c r="BP55" s="2532">
        <v>0</v>
      </c>
    </row>
    <row r="56" spans="1:68" s="20" customFormat="1" ht="14.25" x14ac:dyDescent="0.2">
      <c r="A56" s="2530" t="str">
        <f>ENUC</f>
        <v>Nuclear industry</v>
      </c>
      <c r="B56" s="2531" t="s">
        <v>1169</v>
      </c>
      <c r="C56" s="2565">
        <v>0</v>
      </c>
      <c r="D56" s="2565">
        <v>0</v>
      </c>
      <c r="E56" s="2565">
        <v>0</v>
      </c>
      <c r="F56" s="2565">
        <v>0</v>
      </c>
      <c r="G56" s="2565">
        <v>0</v>
      </c>
      <c r="H56" s="2565">
        <v>0</v>
      </c>
      <c r="I56" s="2565">
        <v>0</v>
      </c>
      <c r="J56" s="2565">
        <v>0</v>
      </c>
      <c r="K56" s="2565">
        <v>0</v>
      </c>
      <c r="L56" s="2565">
        <v>0</v>
      </c>
      <c r="M56" s="2565">
        <v>0</v>
      </c>
      <c r="N56" s="2565">
        <v>0</v>
      </c>
      <c r="O56" s="2565">
        <v>0</v>
      </c>
      <c r="P56" s="2565">
        <v>0</v>
      </c>
      <c r="Q56" s="2565">
        <v>0</v>
      </c>
      <c r="R56" s="2565">
        <v>0</v>
      </c>
      <c r="S56" s="2565">
        <v>0</v>
      </c>
      <c r="T56" s="2576">
        <v>0</v>
      </c>
      <c r="U56" s="2565">
        <v>0</v>
      </c>
      <c r="V56" s="2565">
        <v>0</v>
      </c>
      <c r="W56" s="2565">
        <v>0</v>
      </c>
      <c r="X56" s="2565">
        <v>0</v>
      </c>
      <c r="Y56" s="2565">
        <v>0</v>
      </c>
      <c r="Z56" s="2565">
        <v>0</v>
      </c>
      <c r="AA56" s="2565">
        <v>0</v>
      </c>
      <c r="AB56" s="2565">
        <v>0</v>
      </c>
      <c r="AC56" s="2565">
        <v>0</v>
      </c>
      <c r="AD56" s="2565">
        <v>0</v>
      </c>
      <c r="AE56" s="2565">
        <v>0</v>
      </c>
      <c r="AF56" s="2565">
        <v>0</v>
      </c>
      <c r="AG56" s="2565">
        <v>0</v>
      </c>
      <c r="AH56" s="2565">
        <v>0</v>
      </c>
      <c r="AI56" s="2565">
        <v>0</v>
      </c>
      <c r="AJ56" s="2565">
        <v>0</v>
      </c>
      <c r="AK56" s="2565">
        <v>0</v>
      </c>
      <c r="AL56" s="2560">
        <v>0</v>
      </c>
      <c r="AM56" s="2560">
        <v>0</v>
      </c>
      <c r="AN56" s="2560">
        <v>0</v>
      </c>
      <c r="AO56" s="2560">
        <v>0</v>
      </c>
      <c r="AP56" s="2560">
        <v>0</v>
      </c>
      <c r="AQ56" s="2561">
        <v>0</v>
      </c>
      <c r="AR56" s="2565">
        <v>0</v>
      </c>
      <c r="AS56" s="2565">
        <v>0</v>
      </c>
      <c r="AT56" s="2565">
        <v>0</v>
      </c>
      <c r="AU56" s="2565">
        <v>0</v>
      </c>
      <c r="AV56" s="2565">
        <v>0</v>
      </c>
      <c r="AW56" s="2565">
        <v>0</v>
      </c>
      <c r="AX56" s="2565">
        <v>0</v>
      </c>
      <c r="AY56" s="2565">
        <v>0</v>
      </c>
      <c r="AZ56" s="2565">
        <v>0</v>
      </c>
      <c r="BA56" s="2565">
        <v>0</v>
      </c>
      <c r="BB56" s="2576">
        <v>0</v>
      </c>
      <c r="BC56" s="2565">
        <v>0</v>
      </c>
      <c r="BD56" s="2565">
        <v>0</v>
      </c>
      <c r="BE56" s="2565">
        <v>0</v>
      </c>
      <c r="BF56" s="2565">
        <v>0</v>
      </c>
      <c r="BG56" s="2565">
        <v>0</v>
      </c>
      <c r="BH56" s="2565">
        <v>0</v>
      </c>
      <c r="BI56" s="2565">
        <v>0</v>
      </c>
      <c r="BJ56" s="2565">
        <v>0</v>
      </c>
      <c r="BK56" s="2565">
        <v>0</v>
      </c>
      <c r="BL56" s="2565">
        <v>0</v>
      </c>
      <c r="BM56" s="2565">
        <v>0</v>
      </c>
      <c r="BN56" s="2564">
        <v>0</v>
      </c>
      <c r="BO56" s="2527">
        <v>0</v>
      </c>
      <c r="BP56" s="2532">
        <v>0</v>
      </c>
    </row>
    <row r="57" spans="1:68" s="20" customFormat="1" ht="14.25" x14ac:dyDescent="0.2">
      <c r="A57" s="2530" t="str">
        <f>ECHARCOAL</f>
        <v>Charcoal production plants</v>
      </c>
      <c r="B57" s="2531" t="s">
        <v>1176</v>
      </c>
      <c r="C57" s="2565">
        <v>0</v>
      </c>
      <c r="D57" s="2565">
        <v>0</v>
      </c>
      <c r="E57" s="2565">
        <v>0</v>
      </c>
      <c r="F57" s="2565">
        <v>0</v>
      </c>
      <c r="G57" s="2565">
        <v>0</v>
      </c>
      <c r="H57" s="2565">
        <v>0</v>
      </c>
      <c r="I57" s="2565">
        <v>0</v>
      </c>
      <c r="J57" s="2565">
        <v>0</v>
      </c>
      <c r="K57" s="2565">
        <v>0</v>
      </c>
      <c r="L57" s="2565">
        <v>0</v>
      </c>
      <c r="M57" s="2565">
        <v>0</v>
      </c>
      <c r="N57" s="2565">
        <v>0</v>
      </c>
      <c r="O57" s="2565">
        <v>0</v>
      </c>
      <c r="P57" s="2565">
        <v>0</v>
      </c>
      <c r="Q57" s="2565">
        <v>0</v>
      </c>
      <c r="R57" s="2565">
        <v>0</v>
      </c>
      <c r="S57" s="2565">
        <v>0</v>
      </c>
      <c r="T57" s="2576">
        <v>0</v>
      </c>
      <c r="U57" s="2565">
        <v>0</v>
      </c>
      <c r="V57" s="2565">
        <v>0</v>
      </c>
      <c r="W57" s="2565">
        <v>0</v>
      </c>
      <c r="X57" s="2565">
        <v>0</v>
      </c>
      <c r="Y57" s="2565">
        <v>0</v>
      </c>
      <c r="Z57" s="2565">
        <v>0</v>
      </c>
      <c r="AA57" s="2565">
        <v>0</v>
      </c>
      <c r="AB57" s="2565">
        <v>0</v>
      </c>
      <c r="AC57" s="2565">
        <v>0</v>
      </c>
      <c r="AD57" s="2565">
        <v>0</v>
      </c>
      <c r="AE57" s="2565">
        <v>0</v>
      </c>
      <c r="AF57" s="2565">
        <v>0</v>
      </c>
      <c r="AG57" s="2565">
        <v>0</v>
      </c>
      <c r="AH57" s="2565">
        <v>0</v>
      </c>
      <c r="AI57" s="2565">
        <v>0</v>
      </c>
      <c r="AJ57" s="2565">
        <v>0</v>
      </c>
      <c r="AK57" s="2565">
        <v>0</v>
      </c>
      <c r="AL57" s="2560">
        <v>0</v>
      </c>
      <c r="AM57" s="2560">
        <v>0</v>
      </c>
      <c r="AN57" s="2560">
        <v>0</v>
      </c>
      <c r="AO57" s="2560">
        <v>0</v>
      </c>
      <c r="AP57" s="2560">
        <v>0</v>
      </c>
      <c r="AQ57" s="2561">
        <v>0</v>
      </c>
      <c r="AR57" s="2562">
        <v>0</v>
      </c>
      <c r="AS57" s="2562">
        <v>0</v>
      </c>
      <c r="AT57" s="2562">
        <v>0</v>
      </c>
      <c r="AU57" s="2562">
        <v>0</v>
      </c>
      <c r="AV57" s="2562">
        <v>0</v>
      </c>
      <c r="AW57" s="2562">
        <v>0</v>
      </c>
      <c r="AX57" s="2562">
        <v>0</v>
      </c>
      <c r="AY57" s="2562">
        <v>0</v>
      </c>
      <c r="AZ57" s="2562">
        <v>0</v>
      </c>
      <c r="BA57" s="2562">
        <v>0</v>
      </c>
      <c r="BB57" s="2587">
        <v>0</v>
      </c>
      <c r="BC57" s="2565">
        <v>0</v>
      </c>
      <c r="BD57" s="2565">
        <v>0</v>
      </c>
      <c r="BE57" s="2564">
        <v>0</v>
      </c>
      <c r="BF57" s="2565">
        <v>0</v>
      </c>
      <c r="BG57" s="2564">
        <v>0</v>
      </c>
      <c r="BH57" s="2565">
        <v>0</v>
      </c>
      <c r="BI57" s="2565">
        <v>0</v>
      </c>
      <c r="BJ57" s="2565">
        <v>0</v>
      </c>
      <c r="BK57" s="2565">
        <v>0</v>
      </c>
      <c r="BL57" s="2565">
        <v>0</v>
      </c>
      <c r="BM57" s="2565">
        <v>0</v>
      </c>
      <c r="BN57" s="2564">
        <v>0</v>
      </c>
      <c r="BO57" s="2527">
        <v>0</v>
      </c>
      <c r="BP57" s="2532">
        <v>0</v>
      </c>
    </row>
    <row r="58" spans="1:68" s="20" customFormat="1" ht="14.25" x14ac:dyDescent="0.2">
      <c r="A58" s="2530" t="str">
        <f>ENONSPEC</f>
        <v>Non-specified (Energy)</v>
      </c>
      <c r="B58" s="2531" t="s">
        <v>1180</v>
      </c>
      <c r="C58" s="2567">
        <v>0</v>
      </c>
      <c r="D58" s="2567">
        <v>0</v>
      </c>
      <c r="E58" s="2567">
        <v>0</v>
      </c>
      <c r="F58" s="2567">
        <v>0</v>
      </c>
      <c r="G58" s="2567">
        <v>0</v>
      </c>
      <c r="H58" s="2567">
        <v>0</v>
      </c>
      <c r="I58" s="2567">
        <v>0</v>
      </c>
      <c r="J58" s="2567">
        <v>0</v>
      </c>
      <c r="K58" s="2567">
        <v>0</v>
      </c>
      <c r="L58" s="2567">
        <v>0</v>
      </c>
      <c r="M58" s="2567">
        <v>0</v>
      </c>
      <c r="N58" s="2567">
        <v>0</v>
      </c>
      <c r="O58" s="2567">
        <v>0</v>
      </c>
      <c r="P58" s="2567">
        <v>0</v>
      </c>
      <c r="Q58" s="2565">
        <v>0</v>
      </c>
      <c r="R58" s="2567">
        <v>0</v>
      </c>
      <c r="S58" s="2567">
        <v>0</v>
      </c>
      <c r="T58" s="2586">
        <v>0</v>
      </c>
      <c r="U58" s="2559">
        <v>0</v>
      </c>
      <c r="V58" s="2559">
        <v>0</v>
      </c>
      <c r="W58" s="2565">
        <v>0</v>
      </c>
      <c r="X58" s="2565">
        <v>0</v>
      </c>
      <c r="Y58" s="2565">
        <v>0</v>
      </c>
      <c r="Z58" s="2559">
        <v>0</v>
      </c>
      <c r="AA58" s="2559">
        <v>0</v>
      </c>
      <c r="AB58" s="2559">
        <v>0</v>
      </c>
      <c r="AC58" s="2559">
        <v>0</v>
      </c>
      <c r="AD58" s="2559">
        <v>0</v>
      </c>
      <c r="AE58" s="2559">
        <v>0</v>
      </c>
      <c r="AF58" s="2559">
        <v>0</v>
      </c>
      <c r="AG58" s="2559">
        <v>0</v>
      </c>
      <c r="AH58" s="2559">
        <v>0</v>
      </c>
      <c r="AI58" s="2559">
        <v>0</v>
      </c>
      <c r="AJ58" s="2559">
        <v>0</v>
      </c>
      <c r="AK58" s="2559">
        <v>0</v>
      </c>
      <c r="AL58" s="2560">
        <v>0</v>
      </c>
      <c r="AM58" s="2560">
        <v>0</v>
      </c>
      <c r="AN58" s="2560">
        <v>0</v>
      </c>
      <c r="AO58" s="2560">
        <v>0</v>
      </c>
      <c r="AP58" s="2588">
        <v>0</v>
      </c>
      <c r="AQ58" s="2569">
        <v>0</v>
      </c>
      <c r="AR58" s="2562">
        <v>0</v>
      </c>
      <c r="AS58" s="2562">
        <v>0</v>
      </c>
      <c r="AT58" s="2562">
        <v>0</v>
      </c>
      <c r="AU58" s="2562">
        <v>0</v>
      </c>
      <c r="AV58" s="2562">
        <v>0</v>
      </c>
      <c r="AW58" s="2562">
        <v>0</v>
      </c>
      <c r="AX58" s="2562">
        <v>0</v>
      </c>
      <c r="AY58" s="2562">
        <v>0</v>
      </c>
      <c r="AZ58" s="2562">
        <v>0</v>
      </c>
      <c r="BA58" s="2562">
        <v>0</v>
      </c>
      <c r="BB58" s="2587">
        <v>0</v>
      </c>
      <c r="BC58" s="2565">
        <v>0</v>
      </c>
      <c r="BD58" s="2565">
        <v>0</v>
      </c>
      <c r="BE58" s="2564">
        <v>0</v>
      </c>
      <c r="BF58" s="2565">
        <v>0</v>
      </c>
      <c r="BG58" s="2564">
        <v>0</v>
      </c>
      <c r="BH58" s="2565">
        <v>0</v>
      </c>
      <c r="BI58" s="2565">
        <v>0</v>
      </c>
      <c r="BJ58" s="2565">
        <v>0</v>
      </c>
      <c r="BK58" s="2565">
        <v>0</v>
      </c>
      <c r="BL58" s="2565">
        <v>0</v>
      </c>
      <c r="BM58" s="2565">
        <v>0</v>
      </c>
      <c r="BN58" s="2564">
        <v>0</v>
      </c>
      <c r="BO58" s="2527">
        <v>0</v>
      </c>
      <c r="BP58" s="2532">
        <v>0</v>
      </c>
    </row>
    <row r="59" spans="1:68" s="20" customFormat="1" ht="14.25" x14ac:dyDescent="0.2">
      <c r="A59" s="2540" t="str">
        <f>DISTLOSS</f>
        <v>Losses</v>
      </c>
      <c r="B59" s="2541" t="s">
        <v>1187</v>
      </c>
      <c r="C59" s="2589">
        <v>0</v>
      </c>
      <c r="D59" s="2589">
        <v>0</v>
      </c>
      <c r="E59" s="2589">
        <v>0</v>
      </c>
      <c r="F59" s="2589">
        <v>0</v>
      </c>
      <c r="G59" s="2589">
        <v>0</v>
      </c>
      <c r="H59" s="2589">
        <v>0</v>
      </c>
      <c r="I59" s="2589">
        <v>0</v>
      </c>
      <c r="J59" s="2589">
        <v>0</v>
      </c>
      <c r="K59" s="2589">
        <v>0</v>
      </c>
      <c r="L59" s="2589">
        <v>0</v>
      </c>
      <c r="M59" s="2589">
        <v>0</v>
      </c>
      <c r="N59" s="2589">
        <v>0</v>
      </c>
      <c r="O59" s="2589">
        <v>0</v>
      </c>
      <c r="P59" s="2589">
        <v>0</v>
      </c>
      <c r="Q59" s="2590">
        <v>0</v>
      </c>
      <c r="R59" s="2589">
        <v>0</v>
      </c>
      <c r="S59" s="2589">
        <v>0</v>
      </c>
      <c r="T59" s="2591">
        <v>0</v>
      </c>
      <c r="U59" s="2592">
        <v>0</v>
      </c>
      <c r="V59" s="2592">
        <v>0</v>
      </c>
      <c r="W59" s="2590">
        <v>0</v>
      </c>
      <c r="X59" s="2590">
        <v>0</v>
      </c>
      <c r="Y59" s="2590">
        <v>0</v>
      </c>
      <c r="Z59" s="2592">
        <v>0</v>
      </c>
      <c r="AA59" s="2592">
        <v>0</v>
      </c>
      <c r="AB59" s="2592">
        <v>0</v>
      </c>
      <c r="AC59" s="2592">
        <v>0</v>
      </c>
      <c r="AD59" s="2592">
        <v>0</v>
      </c>
      <c r="AE59" s="2592">
        <v>0</v>
      </c>
      <c r="AF59" s="2592">
        <v>0</v>
      </c>
      <c r="AG59" s="2592">
        <v>0</v>
      </c>
      <c r="AH59" s="2592">
        <v>0</v>
      </c>
      <c r="AI59" s="2592">
        <v>0</v>
      </c>
      <c r="AJ59" s="2592">
        <v>0</v>
      </c>
      <c r="AK59" s="2592">
        <v>0</v>
      </c>
      <c r="AL59" s="2593">
        <v>0</v>
      </c>
      <c r="AM59" s="2593">
        <v>0</v>
      </c>
      <c r="AN59" s="2593">
        <v>0</v>
      </c>
      <c r="AO59" s="2593">
        <v>0</v>
      </c>
      <c r="AP59" s="2560">
        <v>0</v>
      </c>
      <c r="AQ59" s="2594">
        <v>0</v>
      </c>
      <c r="AR59" s="2595">
        <v>0</v>
      </c>
      <c r="AS59" s="2595">
        <v>0</v>
      </c>
      <c r="AT59" s="2595">
        <v>0</v>
      </c>
      <c r="AU59" s="2595">
        <v>0</v>
      </c>
      <c r="AV59" s="2595">
        <v>0</v>
      </c>
      <c r="AW59" s="2595">
        <v>0</v>
      </c>
      <c r="AX59" s="2595">
        <v>0</v>
      </c>
      <c r="AY59" s="2595">
        <v>0</v>
      </c>
      <c r="AZ59" s="2595">
        <v>0</v>
      </c>
      <c r="BA59" s="2595">
        <v>0</v>
      </c>
      <c r="BB59" s="2596">
        <v>0</v>
      </c>
      <c r="BC59" s="2590">
        <v>0</v>
      </c>
      <c r="BD59" s="2590">
        <v>0</v>
      </c>
      <c r="BE59" s="2597">
        <v>0</v>
      </c>
      <c r="BF59" s="2590">
        <v>0</v>
      </c>
      <c r="BG59" s="2597">
        <v>0</v>
      </c>
      <c r="BH59" s="2590">
        <v>0</v>
      </c>
      <c r="BI59" s="2590">
        <v>0</v>
      </c>
      <c r="BJ59" s="2590">
        <v>0</v>
      </c>
      <c r="BK59" s="2590">
        <v>0</v>
      </c>
      <c r="BL59" s="2590">
        <v>0</v>
      </c>
      <c r="BM59" s="2590">
        <v>0</v>
      </c>
      <c r="BN59" s="2590">
        <v>7686</v>
      </c>
      <c r="BO59" s="2542">
        <v>0</v>
      </c>
      <c r="BP59" s="2543">
        <v>0</v>
      </c>
    </row>
    <row r="60" spans="1:68" s="20" customFormat="1" ht="15" x14ac:dyDescent="0.25">
      <c r="A60" s="2534" t="str">
        <f>FINCONS</f>
        <v>Final consumption</v>
      </c>
      <c r="B60" s="2535" t="s">
        <v>1196</v>
      </c>
      <c r="C60" s="2573">
        <f t="shared" ref="C60:V60" si="10">C61+C75+C82+C88</f>
        <v>2395.8429999999998</v>
      </c>
      <c r="D60" s="2573">
        <f t="shared" si="10"/>
        <v>0</v>
      </c>
      <c r="E60" s="2573">
        <f t="shared" si="10"/>
        <v>17204.714</v>
      </c>
      <c r="F60" s="2573">
        <f t="shared" si="10"/>
        <v>0</v>
      </c>
      <c r="G60" s="2573">
        <f t="shared" si="10"/>
        <v>0</v>
      </c>
      <c r="H60" s="2573">
        <f t="shared" si="10"/>
        <v>0</v>
      </c>
      <c r="I60" s="2573">
        <f t="shared" si="10"/>
        <v>174.95699999999999</v>
      </c>
      <c r="J60" s="2573">
        <f t="shared" si="10"/>
        <v>0</v>
      </c>
      <c r="K60" s="2573">
        <f t="shared" si="10"/>
        <v>0</v>
      </c>
      <c r="L60" s="2573">
        <f t="shared" si="10"/>
        <v>0</v>
      </c>
      <c r="M60" s="2573">
        <f t="shared" si="10"/>
        <v>20563</v>
      </c>
      <c r="N60" s="2573">
        <f t="shared" si="10"/>
        <v>5439</v>
      </c>
      <c r="O60" s="2573">
        <f t="shared" si="10"/>
        <v>11129</v>
      </c>
      <c r="P60" s="2573">
        <f t="shared" si="10"/>
        <v>0</v>
      </c>
      <c r="Q60" s="2573">
        <f t="shared" si="10"/>
        <v>0</v>
      </c>
      <c r="R60" s="2573">
        <f t="shared" si="10"/>
        <v>0</v>
      </c>
      <c r="S60" s="2573">
        <f t="shared" si="10"/>
        <v>0</v>
      </c>
      <c r="T60" s="2574">
        <f t="shared" si="10"/>
        <v>0</v>
      </c>
      <c r="U60" s="2573">
        <f t="shared" si="10"/>
        <v>0</v>
      </c>
      <c r="V60" s="2573">
        <f t="shared" si="10"/>
        <v>0</v>
      </c>
      <c r="W60" s="2573">
        <v>0</v>
      </c>
      <c r="X60" s="2573">
        <v>0</v>
      </c>
      <c r="Y60" s="2573">
        <v>0</v>
      </c>
      <c r="Z60" s="2573">
        <f t="shared" ref="Z60:AZ60" si="11">Z61+Z75+Z82+Z88</f>
        <v>0</v>
      </c>
      <c r="AA60" s="2573">
        <f t="shared" si="11"/>
        <v>0</v>
      </c>
      <c r="AB60" s="2573">
        <f t="shared" si="11"/>
        <v>345488.94231739262</v>
      </c>
      <c r="AC60" s="2573">
        <f t="shared" si="11"/>
        <v>11404656.195227558</v>
      </c>
      <c r="AD60" s="2573">
        <f t="shared" si="11"/>
        <v>650773.75</v>
      </c>
      <c r="AE60" s="2573">
        <f t="shared" si="11"/>
        <v>2069877.5014078063</v>
      </c>
      <c r="AF60" s="2573">
        <f t="shared" si="11"/>
        <v>0</v>
      </c>
      <c r="AG60" s="2573">
        <f t="shared" si="11"/>
        <v>651252.84760638198</v>
      </c>
      <c r="AH60" s="2573">
        <f t="shared" si="11"/>
        <v>14089776.04406539</v>
      </c>
      <c r="AI60" s="2573">
        <f t="shared" si="11"/>
        <v>628547.49312748527</v>
      </c>
      <c r="AJ60" s="2573">
        <f t="shared" si="11"/>
        <v>1040.01</v>
      </c>
      <c r="AK60" s="2573">
        <f t="shared" si="11"/>
        <v>85.689277343750007</v>
      </c>
      <c r="AL60" s="2573">
        <f t="shared" si="11"/>
        <v>319.19884765625</v>
      </c>
      <c r="AM60" s="2573">
        <f t="shared" si="11"/>
        <v>622.82336035156254</v>
      </c>
      <c r="AN60" s="2573">
        <f t="shared" si="11"/>
        <v>337.05264028930662</v>
      </c>
      <c r="AO60" s="2573">
        <f t="shared" si="11"/>
        <v>0</v>
      </c>
      <c r="AP60" s="2573">
        <f t="shared" si="11"/>
        <v>26.908172183990477</v>
      </c>
      <c r="AQ60" s="2575">
        <f t="shared" si="11"/>
        <v>78767.929016113281</v>
      </c>
      <c r="AR60" s="2573">
        <f t="shared" si="11"/>
        <v>0</v>
      </c>
      <c r="AS60" s="2573">
        <f t="shared" si="11"/>
        <v>0</v>
      </c>
      <c r="AT60" s="2573">
        <f t="shared" si="11"/>
        <v>0</v>
      </c>
      <c r="AU60" s="2573">
        <f t="shared" si="11"/>
        <v>425422.29000000004</v>
      </c>
      <c r="AV60" s="2573">
        <f t="shared" si="11"/>
        <v>0</v>
      </c>
      <c r="AW60" s="2573">
        <f t="shared" si="11"/>
        <v>0</v>
      </c>
      <c r="AX60" s="2573">
        <f t="shared" si="11"/>
        <v>0</v>
      </c>
      <c r="AY60" s="2573">
        <f t="shared" si="11"/>
        <v>0</v>
      </c>
      <c r="AZ60" s="2573">
        <f t="shared" si="11"/>
        <v>0</v>
      </c>
      <c r="BA60" s="2573">
        <v>0</v>
      </c>
      <c r="BB60" s="2574">
        <f>BB61+BB75+BB82+BB88</f>
        <v>0</v>
      </c>
      <c r="BC60" s="2573">
        <v>0</v>
      </c>
      <c r="BD60" s="2573">
        <v>0</v>
      </c>
      <c r="BE60" s="2573">
        <f>BE61+BE75+BE82+BE88</f>
        <v>0</v>
      </c>
      <c r="BF60" s="2573">
        <v>0</v>
      </c>
      <c r="BG60" s="2573">
        <f>BG61+BG75+BG82+BG88</f>
        <v>0</v>
      </c>
      <c r="BH60" s="2573">
        <v>0</v>
      </c>
      <c r="BI60" s="2573">
        <v>0</v>
      </c>
      <c r="BJ60" s="2573">
        <v>0</v>
      </c>
      <c r="BK60" s="2573">
        <v>0</v>
      </c>
      <c r="BL60" s="2573">
        <v>0</v>
      </c>
      <c r="BM60" s="2573">
        <v>0</v>
      </c>
      <c r="BN60" s="2573">
        <f>BN61+BN75+BN82+BN88</f>
        <v>199023.57899999997</v>
      </c>
      <c r="BO60" s="2536">
        <f>BO61+BO75+BO82+BO88</f>
        <v>0</v>
      </c>
      <c r="BP60" s="2537">
        <v>0</v>
      </c>
    </row>
    <row r="61" spans="1:68" s="20" customFormat="1" ht="15" x14ac:dyDescent="0.25">
      <c r="A61" s="2544" t="str">
        <f>TOTIND</f>
        <v>Industry</v>
      </c>
      <c r="B61" s="2535" t="s">
        <v>1199</v>
      </c>
      <c r="C61" s="2573">
        <f t="shared" ref="C61:V61" si="12">SUM(C62:C74)</f>
        <v>2286.924</v>
      </c>
      <c r="D61" s="2573">
        <f t="shared" si="12"/>
        <v>0</v>
      </c>
      <c r="E61" s="2573">
        <f t="shared" si="12"/>
        <v>15907.725999999999</v>
      </c>
      <c r="F61" s="2573">
        <f t="shared" si="12"/>
        <v>0</v>
      </c>
      <c r="G61" s="2573">
        <f t="shared" si="12"/>
        <v>0</v>
      </c>
      <c r="H61" s="2573">
        <f t="shared" si="12"/>
        <v>0</v>
      </c>
      <c r="I61" s="2573">
        <f t="shared" si="12"/>
        <v>174.95699999999999</v>
      </c>
      <c r="J61" s="2573">
        <f t="shared" si="12"/>
        <v>0</v>
      </c>
      <c r="K61" s="2573">
        <f t="shared" si="12"/>
        <v>0</v>
      </c>
      <c r="L61" s="2573">
        <f t="shared" si="12"/>
        <v>0</v>
      </c>
      <c r="M61" s="2573">
        <f t="shared" si="12"/>
        <v>20563</v>
      </c>
      <c r="N61" s="2573">
        <f t="shared" si="12"/>
        <v>5439</v>
      </c>
      <c r="O61" s="2573">
        <f t="shared" si="12"/>
        <v>11129</v>
      </c>
      <c r="P61" s="2573">
        <f t="shared" si="12"/>
        <v>0</v>
      </c>
      <c r="Q61" s="2573">
        <f t="shared" si="12"/>
        <v>0</v>
      </c>
      <c r="R61" s="2573">
        <f t="shared" si="12"/>
        <v>0</v>
      </c>
      <c r="S61" s="2573">
        <f t="shared" si="12"/>
        <v>0</v>
      </c>
      <c r="T61" s="2574">
        <f t="shared" si="12"/>
        <v>0</v>
      </c>
      <c r="U61" s="2573">
        <f t="shared" si="12"/>
        <v>0</v>
      </c>
      <c r="V61" s="2573">
        <f t="shared" si="12"/>
        <v>0</v>
      </c>
      <c r="W61" s="2573">
        <v>0</v>
      </c>
      <c r="X61" s="2573">
        <v>0</v>
      </c>
      <c r="Y61" s="2573">
        <v>0</v>
      </c>
      <c r="Z61" s="2573">
        <f t="shared" ref="Z61:AZ61" si="13">SUM(Z62:Z74)</f>
        <v>0</v>
      </c>
      <c r="AA61" s="2573">
        <f t="shared" si="13"/>
        <v>0</v>
      </c>
      <c r="AB61" s="2573">
        <f t="shared" si="13"/>
        <v>16014.87060546875</v>
      </c>
      <c r="AC61" s="2573">
        <f t="shared" si="13"/>
        <v>182970.77607345581</v>
      </c>
      <c r="AD61" s="2573">
        <f t="shared" si="13"/>
        <v>0</v>
      </c>
      <c r="AE61" s="2573">
        <f t="shared" si="13"/>
        <v>125.75231552124023</v>
      </c>
      <c r="AF61" s="2573">
        <f t="shared" si="13"/>
        <v>0</v>
      </c>
      <c r="AG61" s="2573">
        <f t="shared" si="13"/>
        <v>19949.294817447662</v>
      </c>
      <c r="AH61" s="2573">
        <f t="shared" si="13"/>
        <v>1897990.8483886719</v>
      </c>
      <c r="AI61" s="2573">
        <f t="shared" si="13"/>
        <v>207556.06790161133</v>
      </c>
      <c r="AJ61" s="2573">
        <f t="shared" si="13"/>
        <v>0</v>
      </c>
      <c r="AK61" s="2573">
        <f t="shared" si="13"/>
        <v>0</v>
      </c>
      <c r="AL61" s="2573">
        <f t="shared" si="13"/>
        <v>0</v>
      </c>
      <c r="AM61" s="2573">
        <f t="shared" si="13"/>
        <v>0</v>
      </c>
      <c r="AN61" s="2573">
        <f t="shared" si="13"/>
        <v>0</v>
      </c>
      <c r="AO61" s="2573">
        <f t="shared" si="13"/>
        <v>0</v>
      </c>
      <c r="AP61" s="2573">
        <f t="shared" si="13"/>
        <v>0</v>
      </c>
      <c r="AQ61" s="2575">
        <f t="shared" si="13"/>
        <v>77301.9990234375</v>
      </c>
      <c r="AR61" s="2573">
        <f t="shared" si="13"/>
        <v>0</v>
      </c>
      <c r="AS61" s="2573">
        <f t="shared" si="13"/>
        <v>0</v>
      </c>
      <c r="AT61" s="2573">
        <f t="shared" si="13"/>
        <v>0</v>
      </c>
      <c r="AU61" s="2573">
        <f t="shared" si="13"/>
        <v>81176.2</v>
      </c>
      <c r="AV61" s="2573">
        <f t="shared" si="13"/>
        <v>0</v>
      </c>
      <c r="AW61" s="2573">
        <f t="shared" si="13"/>
        <v>0</v>
      </c>
      <c r="AX61" s="2573">
        <f t="shared" si="13"/>
        <v>0</v>
      </c>
      <c r="AY61" s="2573">
        <f t="shared" si="13"/>
        <v>0</v>
      </c>
      <c r="AZ61" s="2573">
        <f t="shared" si="13"/>
        <v>0</v>
      </c>
      <c r="BA61" s="2573">
        <v>0</v>
      </c>
      <c r="BB61" s="2574">
        <f>SUM(BB62:BB74)</f>
        <v>0</v>
      </c>
      <c r="BC61" s="2573">
        <v>0</v>
      </c>
      <c r="BD61" s="2573">
        <v>0</v>
      </c>
      <c r="BE61" s="2573">
        <f>SUM(BE62:BE74)</f>
        <v>0</v>
      </c>
      <c r="BF61" s="2573">
        <v>0</v>
      </c>
      <c r="BG61" s="2573">
        <f>SUM(BG62:BG74)</f>
        <v>0</v>
      </c>
      <c r="BH61" s="2573">
        <v>0</v>
      </c>
      <c r="BI61" s="2573">
        <v>0</v>
      </c>
      <c r="BJ61" s="2573">
        <v>0</v>
      </c>
      <c r="BK61" s="2573">
        <v>0</v>
      </c>
      <c r="BL61" s="2573">
        <v>0</v>
      </c>
      <c r="BM61" s="2573">
        <v>0</v>
      </c>
      <c r="BN61" s="2573">
        <f>SUM(BN62:BN74)</f>
        <v>103584.77199999998</v>
      </c>
      <c r="BO61" s="2536">
        <f>SUM(BO62:BO74)</f>
        <v>0</v>
      </c>
      <c r="BP61" s="2537">
        <v>0</v>
      </c>
    </row>
    <row r="62" spans="1:68" s="20" customFormat="1" ht="14.25" x14ac:dyDescent="0.2">
      <c r="A62" s="2545" t="str">
        <f>IRONSTL</f>
        <v>Iron and steel</v>
      </c>
      <c r="B62" s="2531" t="s">
        <v>1206</v>
      </c>
      <c r="C62" s="2567">
        <v>3.18</v>
      </c>
      <c r="D62" s="2567">
        <v>0</v>
      </c>
      <c r="E62" s="2567">
        <v>3076.7570000000001</v>
      </c>
      <c r="F62" s="2567">
        <v>0</v>
      </c>
      <c r="G62" s="2567">
        <v>0</v>
      </c>
      <c r="H62" s="2567">
        <v>0</v>
      </c>
      <c r="I62" s="2567">
        <v>174.95699999999999</v>
      </c>
      <c r="J62" s="2567">
        <v>0</v>
      </c>
      <c r="K62" s="2567">
        <v>0</v>
      </c>
      <c r="L62" s="2567">
        <v>0</v>
      </c>
      <c r="M62" s="2567">
        <v>5883</v>
      </c>
      <c r="N62" s="2567">
        <v>5439</v>
      </c>
      <c r="O62" s="2567">
        <v>11129</v>
      </c>
      <c r="P62" s="2567">
        <v>0</v>
      </c>
      <c r="Q62" s="2565">
        <v>0</v>
      </c>
      <c r="R62" s="2567">
        <v>0</v>
      </c>
      <c r="S62" s="2567">
        <v>0</v>
      </c>
      <c r="T62" s="2586">
        <v>0</v>
      </c>
      <c r="U62" s="2559">
        <v>0</v>
      </c>
      <c r="V62" s="2559">
        <v>0</v>
      </c>
      <c r="W62" s="2559">
        <v>0</v>
      </c>
      <c r="X62" s="2559">
        <v>0</v>
      </c>
      <c r="Y62" s="2559">
        <v>0</v>
      </c>
      <c r="Z62" s="2559">
        <v>0</v>
      </c>
      <c r="AA62" s="2559"/>
      <c r="AB62" s="2559"/>
      <c r="AC62" s="2559"/>
      <c r="AD62" s="2559"/>
      <c r="AE62" s="2559">
        <v>87.226554870605469</v>
      </c>
      <c r="AF62" s="2559"/>
      <c r="AG62" s="2559"/>
      <c r="AH62" s="2559">
        <v>12674.9716796875</v>
      </c>
      <c r="AI62" s="2559">
        <v>4233.57421875</v>
      </c>
      <c r="AJ62" s="2559">
        <v>0</v>
      </c>
      <c r="AK62" s="2559">
        <v>0</v>
      </c>
      <c r="AL62" s="2560">
        <v>0</v>
      </c>
      <c r="AM62" s="2560">
        <v>0</v>
      </c>
      <c r="AN62" s="2560">
        <v>0</v>
      </c>
      <c r="AO62" s="2560">
        <v>0</v>
      </c>
      <c r="AP62" s="2560">
        <v>0</v>
      </c>
      <c r="AQ62" s="2569">
        <v>10001</v>
      </c>
      <c r="AR62" s="2562">
        <v>0</v>
      </c>
      <c r="AS62" s="2562">
        <v>0</v>
      </c>
      <c r="AT62" s="2562">
        <v>0</v>
      </c>
      <c r="AU62" s="2562">
        <v>0</v>
      </c>
      <c r="AV62" s="2562">
        <v>0</v>
      </c>
      <c r="AW62" s="2562">
        <v>0</v>
      </c>
      <c r="AX62" s="2562">
        <v>0</v>
      </c>
      <c r="AY62" s="2562">
        <v>0</v>
      </c>
      <c r="AZ62" s="2562">
        <v>0</v>
      </c>
      <c r="BA62" s="2562">
        <v>0</v>
      </c>
      <c r="BB62" s="2587">
        <v>0</v>
      </c>
      <c r="BC62" s="2565">
        <v>0</v>
      </c>
      <c r="BD62" s="2565">
        <v>0</v>
      </c>
      <c r="BE62" s="2564">
        <v>0</v>
      </c>
      <c r="BF62" s="2565">
        <v>0</v>
      </c>
      <c r="BG62" s="2564">
        <v>0</v>
      </c>
      <c r="BH62" s="2565">
        <v>0</v>
      </c>
      <c r="BI62" s="2565">
        <v>0</v>
      </c>
      <c r="BJ62" s="2565">
        <v>0</v>
      </c>
      <c r="BK62" s="2565">
        <v>0</v>
      </c>
      <c r="BL62" s="2565">
        <v>0</v>
      </c>
      <c r="BM62" s="2565">
        <v>0</v>
      </c>
      <c r="BN62" s="2564">
        <v>18823.759999999998</v>
      </c>
      <c r="BO62" s="2527">
        <v>0</v>
      </c>
      <c r="BP62" s="2532">
        <v>0</v>
      </c>
    </row>
    <row r="63" spans="1:68" s="20" customFormat="1" ht="14.25" x14ac:dyDescent="0.2">
      <c r="A63" s="2545" t="str">
        <f>CHEMICAL</f>
        <v>Chemical and petrochemical</v>
      </c>
      <c r="B63" s="2531" t="s">
        <v>1213</v>
      </c>
      <c r="C63" s="2567">
        <v>0</v>
      </c>
      <c r="D63" s="2567">
        <v>0</v>
      </c>
      <c r="E63" s="2567">
        <v>1625.7650000000001</v>
      </c>
      <c r="F63" s="2567">
        <v>0</v>
      </c>
      <c r="G63" s="2567">
        <v>0</v>
      </c>
      <c r="H63" s="2567">
        <v>0</v>
      </c>
      <c r="I63" s="2567">
        <v>0</v>
      </c>
      <c r="J63" s="2567">
        <v>0</v>
      </c>
      <c r="K63" s="2567">
        <v>0</v>
      </c>
      <c r="L63" s="2567">
        <v>0</v>
      </c>
      <c r="M63" s="2567">
        <v>5289</v>
      </c>
      <c r="N63" s="2567">
        <v>0</v>
      </c>
      <c r="O63" s="2567">
        <v>0</v>
      </c>
      <c r="P63" s="2567">
        <v>0</v>
      </c>
      <c r="Q63" s="2565">
        <v>0</v>
      </c>
      <c r="R63" s="2567">
        <v>0</v>
      </c>
      <c r="S63" s="2567">
        <v>0</v>
      </c>
      <c r="T63" s="2586">
        <v>0</v>
      </c>
      <c r="U63" s="2559">
        <v>0</v>
      </c>
      <c r="V63" s="2559">
        <v>0</v>
      </c>
      <c r="W63" s="2559">
        <v>0</v>
      </c>
      <c r="X63" s="2559">
        <v>0</v>
      </c>
      <c r="Y63" s="2559">
        <v>0</v>
      </c>
      <c r="Z63" s="2559">
        <v>0</v>
      </c>
      <c r="AA63" s="2559"/>
      <c r="AB63" s="2559"/>
      <c r="AC63" s="2559">
        <v>96.15899658203125</v>
      </c>
      <c r="AD63" s="2559"/>
      <c r="AE63" s="2559"/>
      <c r="AF63" s="2559"/>
      <c r="AG63" s="2559">
        <v>67.888999938964844</v>
      </c>
      <c r="AH63" s="2559">
        <v>1234.865966796875</v>
      </c>
      <c r="AI63" s="2559">
        <v>1110.699951171875</v>
      </c>
      <c r="AJ63" s="2559">
        <v>0</v>
      </c>
      <c r="AK63" s="2559">
        <v>0</v>
      </c>
      <c r="AL63" s="2560">
        <v>0</v>
      </c>
      <c r="AM63" s="2560">
        <v>0</v>
      </c>
      <c r="AN63" s="2560">
        <v>0</v>
      </c>
      <c r="AO63" s="2560">
        <v>0</v>
      </c>
      <c r="AP63" s="2560">
        <v>0</v>
      </c>
      <c r="AQ63" s="2569">
        <v>46510</v>
      </c>
      <c r="AR63" s="2562">
        <v>0</v>
      </c>
      <c r="AS63" s="2562">
        <v>0</v>
      </c>
      <c r="AT63" s="2562">
        <v>0</v>
      </c>
      <c r="AU63" s="2562">
        <v>0</v>
      </c>
      <c r="AV63" s="2562">
        <v>0</v>
      </c>
      <c r="AW63" s="2562">
        <v>0</v>
      </c>
      <c r="AX63" s="2562">
        <v>0</v>
      </c>
      <c r="AY63" s="2562">
        <v>0</v>
      </c>
      <c r="AZ63" s="2562">
        <v>0</v>
      </c>
      <c r="BA63" s="2562">
        <v>0</v>
      </c>
      <c r="BB63" s="2587">
        <v>0</v>
      </c>
      <c r="BC63" s="2565">
        <v>0</v>
      </c>
      <c r="BD63" s="2565">
        <v>0</v>
      </c>
      <c r="BE63" s="2564">
        <v>0</v>
      </c>
      <c r="BF63" s="2565">
        <v>0</v>
      </c>
      <c r="BG63" s="2564">
        <v>0</v>
      </c>
      <c r="BH63" s="2565">
        <v>0</v>
      </c>
      <c r="BI63" s="2565">
        <v>0</v>
      </c>
      <c r="BJ63" s="2565">
        <v>0</v>
      </c>
      <c r="BK63" s="2565">
        <v>0</v>
      </c>
      <c r="BL63" s="2565">
        <v>0</v>
      </c>
      <c r="BM63" s="2565">
        <v>0</v>
      </c>
      <c r="BN63" s="2564">
        <v>7972.8130000000001</v>
      </c>
      <c r="BO63" s="2527">
        <v>0</v>
      </c>
      <c r="BP63" s="2532">
        <v>0</v>
      </c>
    </row>
    <row r="64" spans="1:68" s="20" customFormat="1" ht="14.25" x14ac:dyDescent="0.2">
      <c r="A64" s="2545" t="str">
        <f>NONFERR</f>
        <v>Non-ferrous metals</v>
      </c>
      <c r="B64" s="2531" t="s">
        <v>1220</v>
      </c>
      <c r="C64" s="2567">
        <v>2283.7440000000001</v>
      </c>
      <c r="D64" s="2567"/>
      <c r="E64" s="2567">
        <v>21.718</v>
      </c>
      <c r="F64" s="2567">
        <v>0</v>
      </c>
      <c r="G64" s="2567">
        <v>0</v>
      </c>
      <c r="H64" s="2567">
        <v>0</v>
      </c>
      <c r="I64" s="2567">
        <v>0</v>
      </c>
      <c r="J64" s="2567">
        <v>0</v>
      </c>
      <c r="K64" s="2567">
        <v>0</v>
      </c>
      <c r="L64" s="2567">
        <v>0</v>
      </c>
      <c r="M64" s="2567">
        <v>1724</v>
      </c>
      <c r="N64" s="2567">
        <v>0</v>
      </c>
      <c r="O64" s="2567">
        <v>0</v>
      </c>
      <c r="P64" s="2567">
        <v>0</v>
      </c>
      <c r="Q64" s="2565">
        <v>0</v>
      </c>
      <c r="R64" s="2567">
        <v>0</v>
      </c>
      <c r="S64" s="2567">
        <v>0</v>
      </c>
      <c r="T64" s="2586">
        <v>0</v>
      </c>
      <c r="U64" s="2559">
        <v>0</v>
      </c>
      <c r="V64" s="2559">
        <v>0</v>
      </c>
      <c r="W64" s="2559">
        <v>0</v>
      </c>
      <c r="X64" s="2559">
        <v>0</v>
      </c>
      <c r="Y64" s="2559">
        <v>0</v>
      </c>
      <c r="Z64" s="2559">
        <v>0</v>
      </c>
      <c r="AA64" s="2559"/>
      <c r="AB64" s="2559"/>
      <c r="AC64" s="2559"/>
      <c r="AD64" s="2559"/>
      <c r="AE64" s="2559"/>
      <c r="AF64" s="2559"/>
      <c r="AG64" s="2559"/>
      <c r="AH64" s="2559"/>
      <c r="AI64" s="2559"/>
      <c r="AJ64" s="2559">
        <v>0</v>
      </c>
      <c r="AK64" s="2559">
        <v>0</v>
      </c>
      <c r="AL64" s="2560">
        <v>0</v>
      </c>
      <c r="AM64" s="2560">
        <v>0</v>
      </c>
      <c r="AN64" s="2560">
        <v>0</v>
      </c>
      <c r="AO64" s="2560">
        <v>0</v>
      </c>
      <c r="AP64" s="2560">
        <v>0</v>
      </c>
      <c r="AQ64" s="2569">
        <v>386</v>
      </c>
      <c r="AR64" s="2562">
        <v>0</v>
      </c>
      <c r="AS64" s="2562">
        <v>0</v>
      </c>
      <c r="AT64" s="2562">
        <v>0</v>
      </c>
      <c r="AU64" s="2562">
        <v>0</v>
      </c>
      <c r="AV64" s="2562">
        <v>0</v>
      </c>
      <c r="AW64" s="2562">
        <v>0</v>
      </c>
      <c r="AX64" s="2562">
        <v>0</v>
      </c>
      <c r="AY64" s="2562">
        <v>0</v>
      </c>
      <c r="AZ64" s="2562">
        <v>0</v>
      </c>
      <c r="BA64" s="2562">
        <v>0</v>
      </c>
      <c r="BB64" s="2587">
        <v>0</v>
      </c>
      <c r="BC64" s="2565">
        <v>0</v>
      </c>
      <c r="BD64" s="2565">
        <v>0</v>
      </c>
      <c r="BE64" s="2564">
        <v>0</v>
      </c>
      <c r="BF64" s="2565">
        <v>0</v>
      </c>
      <c r="BG64" s="2564">
        <v>0</v>
      </c>
      <c r="BH64" s="2565">
        <v>0</v>
      </c>
      <c r="BI64" s="2565">
        <v>0</v>
      </c>
      <c r="BJ64" s="2565">
        <v>0</v>
      </c>
      <c r="BK64" s="2565">
        <v>0</v>
      </c>
      <c r="BL64" s="2565">
        <v>0</v>
      </c>
      <c r="BM64" s="2565">
        <v>0</v>
      </c>
      <c r="BN64" s="2564">
        <v>14940.118</v>
      </c>
      <c r="BO64" s="2527">
        <v>0</v>
      </c>
      <c r="BP64" s="2532">
        <v>0</v>
      </c>
    </row>
    <row r="65" spans="1:68" s="20" customFormat="1" ht="14.25" x14ac:dyDescent="0.2">
      <c r="A65" s="2545" t="str">
        <f>NONMET</f>
        <v>Non-metallic minerals</v>
      </c>
      <c r="B65" s="2531" t="s">
        <v>1227</v>
      </c>
      <c r="C65" s="2567">
        <v>0</v>
      </c>
      <c r="D65" s="2567">
        <v>0</v>
      </c>
      <c r="E65" s="2567">
        <v>1085.954</v>
      </c>
      <c r="F65" s="2567">
        <v>0</v>
      </c>
      <c r="G65" s="2567">
        <v>0</v>
      </c>
      <c r="H65" s="2567">
        <v>0</v>
      </c>
      <c r="I65" s="2567">
        <v>0</v>
      </c>
      <c r="J65" s="2567">
        <v>0</v>
      </c>
      <c r="K65" s="2567">
        <v>0</v>
      </c>
      <c r="L65" s="2567">
        <v>0</v>
      </c>
      <c r="M65" s="2567">
        <v>164</v>
      </c>
      <c r="N65" s="2567">
        <v>0</v>
      </c>
      <c r="O65" s="2567">
        <v>0</v>
      </c>
      <c r="P65" s="2567">
        <v>0</v>
      </c>
      <c r="Q65" s="2565">
        <v>0</v>
      </c>
      <c r="R65" s="2567">
        <v>0</v>
      </c>
      <c r="S65" s="2567">
        <v>0</v>
      </c>
      <c r="T65" s="2586">
        <v>0</v>
      </c>
      <c r="U65" s="2559">
        <v>0</v>
      </c>
      <c r="V65" s="2559">
        <v>0</v>
      </c>
      <c r="W65" s="2559">
        <v>0</v>
      </c>
      <c r="X65" s="2559">
        <v>0</v>
      </c>
      <c r="Y65" s="2559">
        <v>0</v>
      </c>
      <c r="Z65" s="2559">
        <v>0</v>
      </c>
      <c r="AA65" s="2559"/>
      <c r="AB65" s="2559"/>
      <c r="AC65" s="2559">
        <v>1746.2047119140625</v>
      </c>
      <c r="AD65" s="2559"/>
      <c r="AE65" s="2559"/>
      <c r="AF65" s="2559"/>
      <c r="AG65" s="2559">
        <v>433.0159912109375</v>
      </c>
      <c r="AH65" s="2559">
        <v>6733.52880859375</v>
      </c>
      <c r="AI65" s="2559">
        <v>2840.696533203125</v>
      </c>
      <c r="AJ65" s="2559">
        <v>0</v>
      </c>
      <c r="AK65" s="2559">
        <v>0</v>
      </c>
      <c r="AL65" s="2560">
        <v>0</v>
      </c>
      <c r="AM65" s="2560">
        <v>0</v>
      </c>
      <c r="AN65" s="2560">
        <v>0</v>
      </c>
      <c r="AO65" s="2560">
        <v>0</v>
      </c>
      <c r="AP65" s="2560">
        <v>0</v>
      </c>
      <c r="AQ65" s="2569">
        <v>12469.9990234375</v>
      </c>
      <c r="AR65" s="2562">
        <v>0</v>
      </c>
      <c r="AS65" s="2562">
        <v>0</v>
      </c>
      <c r="AT65" s="2562">
        <v>0</v>
      </c>
      <c r="AU65" s="2562">
        <v>0</v>
      </c>
      <c r="AV65" s="2562">
        <v>0</v>
      </c>
      <c r="AW65" s="2562">
        <v>0</v>
      </c>
      <c r="AX65" s="2562">
        <v>0</v>
      </c>
      <c r="AY65" s="2562">
        <v>0</v>
      </c>
      <c r="AZ65" s="2562">
        <v>0</v>
      </c>
      <c r="BA65" s="2562">
        <v>0</v>
      </c>
      <c r="BB65" s="2587">
        <v>0</v>
      </c>
      <c r="BC65" s="2565">
        <v>0</v>
      </c>
      <c r="BD65" s="2565">
        <v>0</v>
      </c>
      <c r="BE65" s="2564">
        <v>0</v>
      </c>
      <c r="BF65" s="2565">
        <v>0</v>
      </c>
      <c r="BG65" s="2564">
        <v>0</v>
      </c>
      <c r="BH65" s="2565">
        <v>0</v>
      </c>
      <c r="BI65" s="2565">
        <v>0</v>
      </c>
      <c r="BJ65" s="2565">
        <v>0</v>
      </c>
      <c r="BK65" s="2565">
        <v>0</v>
      </c>
      <c r="BL65" s="2565">
        <v>0</v>
      </c>
      <c r="BM65" s="2565">
        <v>0</v>
      </c>
      <c r="BN65" s="2564">
        <v>2097.1849999999999</v>
      </c>
      <c r="BO65" s="2527">
        <v>0</v>
      </c>
      <c r="BP65" s="2532">
        <v>0</v>
      </c>
    </row>
    <row r="66" spans="1:68" s="20" customFormat="1" ht="14.25" x14ac:dyDescent="0.2">
      <c r="A66" s="2545" t="str">
        <f>TRANSEQ</f>
        <v>Transport equipment</v>
      </c>
      <c r="B66" s="2531" t="s">
        <v>1234</v>
      </c>
      <c r="C66" s="2567">
        <v>0</v>
      </c>
      <c r="D66" s="2567">
        <v>0</v>
      </c>
      <c r="E66" s="2567">
        <v>0</v>
      </c>
      <c r="F66" s="2567">
        <v>0</v>
      </c>
      <c r="G66" s="2567">
        <v>0</v>
      </c>
      <c r="H66" s="2567">
        <v>0</v>
      </c>
      <c r="I66" s="2567">
        <v>0</v>
      </c>
      <c r="J66" s="2567">
        <v>0</v>
      </c>
      <c r="K66" s="2567">
        <v>0</v>
      </c>
      <c r="L66" s="2567">
        <v>0</v>
      </c>
      <c r="M66" s="2567">
        <v>0</v>
      </c>
      <c r="N66" s="2567">
        <v>0</v>
      </c>
      <c r="O66" s="2567">
        <v>0</v>
      </c>
      <c r="P66" s="2567">
        <v>0</v>
      </c>
      <c r="Q66" s="2565">
        <v>0</v>
      </c>
      <c r="R66" s="2567">
        <v>0</v>
      </c>
      <c r="S66" s="2567">
        <v>0</v>
      </c>
      <c r="T66" s="2586">
        <v>0</v>
      </c>
      <c r="U66" s="2559">
        <v>0</v>
      </c>
      <c r="V66" s="2559">
        <v>0</v>
      </c>
      <c r="W66" s="2559">
        <v>0</v>
      </c>
      <c r="X66" s="2559">
        <v>0</v>
      </c>
      <c r="Y66" s="2559">
        <v>0</v>
      </c>
      <c r="Z66" s="2559">
        <v>0</v>
      </c>
      <c r="AA66" s="2559"/>
      <c r="AB66" s="2559"/>
      <c r="AC66" s="2559">
        <v>4483.20849609375</v>
      </c>
      <c r="AD66" s="2559"/>
      <c r="AE66" s="2559"/>
      <c r="AF66" s="2559"/>
      <c r="AG66" s="2559">
        <v>495.7139892578125</v>
      </c>
      <c r="AH66" s="2559">
        <v>2603.674072265625</v>
      </c>
      <c r="AI66" s="2559">
        <v>172.49468994140625</v>
      </c>
      <c r="AJ66" s="2559">
        <v>0</v>
      </c>
      <c r="AK66" s="2559">
        <v>0</v>
      </c>
      <c r="AL66" s="2560">
        <v>0</v>
      </c>
      <c r="AM66" s="2560">
        <v>0</v>
      </c>
      <c r="AN66" s="2560">
        <v>0</v>
      </c>
      <c r="AO66" s="2560">
        <v>0</v>
      </c>
      <c r="AP66" s="2560">
        <v>0</v>
      </c>
      <c r="AQ66" s="2569">
        <v>512</v>
      </c>
      <c r="AR66" s="2562">
        <v>0</v>
      </c>
      <c r="AS66" s="2562">
        <v>0</v>
      </c>
      <c r="AT66" s="2562">
        <v>0</v>
      </c>
      <c r="AU66" s="2562">
        <v>0</v>
      </c>
      <c r="AV66" s="2562">
        <v>0</v>
      </c>
      <c r="AW66" s="2562">
        <v>0</v>
      </c>
      <c r="AX66" s="2562">
        <v>0</v>
      </c>
      <c r="AY66" s="2562">
        <v>0</v>
      </c>
      <c r="AZ66" s="2562">
        <v>0</v>
      </c>
      <c r="BA66" s="2562">
        <v>0</v>
      </c>
      <c r="BB66" s="2587">
        <v>0</v>
      </c>
      <c r="BC66" s="2565">
        <v>0</v>
      </c>
      <c r="BD66" s="2565">
        <v>0</v>
      </c>
      <c r="BE66" s="2564">
        <v>0</v>
      </c>
      <c r="BF66" s="2565">
        <v>0</v>
      </c>
      <c r="BG66" s="2564">
        <v>0</v>
      </c>
      <c r="BH66" s="2565">
        <v>0</v>
      </c>
      <c r="BI66" s="2565">
        <v>0</v>
      </c>
      <c r="BJ66" s="2565">
        <v>0</v>
      </c>
      <c r="BK66" s="2565">
        <v>0</v>
      </c>
      <c r="BL66" s="2565">
        <v>0</v>
      </c>
      <c r="BM66" s="2565">
        <v>0</v>
      </c>
      <c r="BN66" s="2564">
        <v>55.771999999999998</v>
      </c>
      <c r="BO66" s="2527">
        <v>0</v>
      </c>
      <c r="BP66" s="2532">
        <v>0</v>
      </c>
    </row>
    <row r="67" spans="1:68" s="20" customFormat="1" ht="14.25" x14ac:dyDescent="0.2">
      <c r="A67" s="2545" t="str">
        <f>MACHINE</f>
        <v>Machinery</v>
      </c>
      <c r="B67" s="2531" t="s">
        <v>1241</v>
      </c>
      <c r="C67" s="2567">
        <v>0</v>
      </c>
      <c r="D67" s="2567">
        <v>0</v>
      </c>
      <c r="E67" s="2567">
        <v>0</v>
      </c>
      <c r="F67" s="2567">
        <v>0</v>
      </c>
      <c r="G67" s="2567">
        <v>0</v>
      </c>
      <c r="H67" s="2567">
        <v>0</v>
      </c>
      <c r="I67" s="2567">
        <v>0</v>
      </c>
      <c r="J67" s="2567">
        <v>0</v>
      </c>
      <c r="K67" s="2567">
        <v>0</v>
      </c>
      <c r="L67" s="2567">
        <v>0</v>
      </c>
      <c r="M67" s="2567">
        <v>106</v>
      </c>
      <c r="N67" s="2567">
        <v>0</v>
      </c>
      <c r="O67" s="2567">
        <v>0</v>
      </c>
      <c r="P67" s="2567">
        <v>0</v>
      </c>
      <c r="Q67" s="2565">
        <v>0</v>
      </c>
      <c r="R67" s="2567">
        <v>0</v>
      </c>
      <c r="S67" s="2567">
        <v>0</v>
      </c>
      <c r="T67" s="2586">
        <v>0</v>
      </c>
      <c r="U67" s="2559">
        <v>0</v>
      </c>
      <c r="V67" s="2559">
        <v>0</v>
      </c>
      <c r="W67" s="2559">
        <v>0</v>
      </c>
      <c r="X67" s="2559">
        <v>0</v>
      </c>
      <c r="Y67" s="2559">
        <v>0</v>
      </c>
      <c r="Z67" s="2559">
        <v>0</v>
      </c>
      <c r="AA67" s="2559"/>
      <c r="AB67" s="2559">
        <v>8314.5673828125</v>
      </c>
      <c r="AC67" s="2559"/>
      <c r="AD67" s="2559"/>
      <c r="AE67" s="2559"/>
      <c r="AF67" s="2559"/>
      <c r="AG67" s="2559"/>
      <c r="AH67" s="2559">
        <v>2596.06103515625</v>
      </c>
      <c r="AI67" s="2559">
        <v>4328.46923828125</v>
      </c>
      <c r="AJ67" s="2559">
        <v>0</v>
      </c>
      <c r="AK67" s="2559">
        <v>0</v>
      </c>
      <c r="AL67" s="2560">
        <v>0</v>
      </c>
      <c r="AM67" s="2560">
        <v>0</v>
      </c>
      <c r="AN67" s="2560">
        <v>0</v>
      </c>
      <c r="AO67" s="2560">
        <v>0</v>
      </c>
      <c r="AP67" s="2560">
        <v>0</v>
      </c>
      <c r="AQ67" s="2569">
        <v>831</v>
      </c>
      <c r="AR67" s="2562">
        <v>0</v>
      </c>
      <c r="AS67" s="2562">
        <v>0</v>
      </c>
      <c r="AT67" s="2562">
        <v>0</v>
      </c>
      <c r="AU67" s="2562">
        <v>0</v>
      </c>
      <c r="AV67" s="2562">
        <v>0</v>
      </c>
      <c r="AW67" s="2562">
        <v>0</v>
      </c>
      <c r="AX67" s="2562">
        <v>0</v>
      </c>
      <c r="AY67" s="2562">
        <v>0</v>
      </c>
      <c r="AZ67" s="2562">
        <v>0</v>
      </c>
      <c r="BA67" s="2562">
        <v>0</v>
      </c>
      <c r="BB67" s="2587">
        <v>0</v>
      </c>
      <c r="BC67" s="2565">
        <v>0</v>
      </c>
      <c r="BD67" s="2565">
        <v>0</v>
      </c>
      <c r="BE67" s="2564">
        <v>0</v>
      </c>
      <c r="BF67" s="2565">
        <v>0</v>
      </c>
      <c r="BG67" s="2564">
        <v>0</v>
      </c>
      <c r="BH67" s="2565">
        <v>0</v>
      </c>
      <c r="BI67" s="2565">
        <v>0</v>
      </c>
      <c r="BJ67" s="2565">
        <v>0</v>
      </c>
      <c r="BK67" s="2565">
        <v>0</v>
      </c>
      <c r="BL67" s="2565">
        <v>0</v>
      </c>
      <c r="BM67" s="2565">
        <v>0</v>
      </c>
      <c r="BN67" s="2564">
        <v>66.256</v>
      </c>
      <c r="BO67" s="2527">
        <v>0</v>
      </c>
      <c r="BP67" s="2532">
        <v>0</v>
      </c>
    </row>
    <row r="68" spans="1:68" s="20" customFormat="1" ht="14.25" x14ac:dyDescent="0.2">
      <c r="A68" s="2545" t="str">
        <f>MINING</f>
        <v>Mining and quarrying</v>
      </c>
      <c r="B68" s="2531" t="s">
        <v>1248</v>
      </c>
      <c r="C68" s="2567">
        <v>0</v>
      </c>
      <c r="D68" s="2567">
        <v>0</v>
      </c>
      <c r="E68" s="2567">
        <v>404.83699999999999</v>
      </c>
      <c r="F68" s="2567">
        <v>0</v>
      </c>
      <c r="G68" s="2567">
        <v>0</v>
      </c>
      <c r="H68" s="2567">
        <v>0</v>
      </c>
      <c r="I68" s="2567">
        <v>0</v>
      </c>
      <c r="J68" s="2567">
        <v>0</v>
      </c>
      <c r="K68" s="2567">
        <v>0</v>
      </c>
      <c r="L68" s="2567">
        <v>0</v>
      </c>
      <c r="M68" s="2567">
        <v>301</v>
      </c>
      <c r="N68" s="2567">
        <v>0</v>
      </c>
      <c r="O68" s="2567">
        <v>0</v>
      </c>
      <c r="P68" s="2567">
        <v>0</v>
      </c>
      <c r="Q68" s="2565">
        <v>0</v>
      </c>
      <c r="R68" s="2567">
        <v>0</v>
      </c>
      <c r="S68" s="2567">
        <v>0</v>
      </c>
      <c r="T68" s="2586">
        <v>0</v>
      </c>
      <c r="U68" s="2559">
        <v>0</v>
      </c>
      <c r="V68" s="2559">
        <v>0</v>
      </c>
      <c r="W68" s="2559">
        <v>0</v>
      </c>
      <c r="X68" s="2559">
        <v>0</v>
      </c>
      <c r="Y68" s="2559">
        <v>0</v>
      </c>
      <c r="Z68" s="2559">
        <v>0</v>
      </c>
      <c r="AA68" s="2559"/>
      <c r="AB68" s="2559">
        <v>7700.30322265625</v>
      </c>
      <c r="AC68" s="2559">
        <v>158538.6875</v>
      </c>
      <c r="AD68" s="2559"/>
      <c r="AE68" s="2559">
        <v>38.525760650634766</v>
      </c>
      <c r="AF68" s="2559"/>
      <c r="AG68" s="2559">
        <v>2967.958984375</v>
      </c>
      <c r="AH68" s="2559">
        <v>1667249.25</v>
      </c>
      <c r="AI68" s="2559">
        <v>78792.3359375</v>
      </c>
      <c r="AJ68" s="2559">
        <v>0</v>
      </c>
      <c r="AK68" s="2559">
        <v>0</v>
      </c>
      <c r="AL68" s="2560">
        <v>0</v>
      </c>
      <c r="AM68" s="2560">
        <v>0</v>
      </c>
      <c r="AN68" s="2560">
        <v>0</v>
      </c>
      <c r="AO68" s="2560">
        <v>0</v>
      </c>
      <c r="AP68" s="2560">
        <v>0</v>
      </c>
      <c r="AQ68" s="2569"/>
      <c r="AR68" s="2562">
        <v>0</v>
      </c>
      <c r="AS68" s="2562">
        <v>0</v>
      </c>
      <c r="AT68" s="2562">
        <v>0</v>
      </c>
      <c r="AU68" s="2562">
        <v>0</v>
      </c>
      <c r="AV68" s="2562">
        <v>0</v>
      </c>
      <c r="AW68" s="2562">
        <v>0</v>
      </c>
      <c r="AX68" s="2562">
        <v>0</v>
      </c>
      <c r="AY68" s="2562">
        <v>0</v>
      </c>
      <c r="AZ68" s="2562">
        <v>0</v>
      </c>
      <c r="BA68" s="2562">
        <v>0</v>
      </c>
      <c r="BB68" s="2587">
        <v>0</v>
      </c>
      <c r="BC68" s="2565">
        <v>0</v>
      </c>
      <c r="BD68" s="2565">
        <v>0</v>
      </c>
      <c r="BE68" s="2564">
        <v>0</v>
      </c>
      <c r="BF68" s="2565">
        <v>0</v>
      </c>
      <c r="BG68" s="2564">
        <v>0</v>
      </c>
      <c r="BH68" s="2565">
        <v>0</v>
      </c>
      <c r="BI68" s="2565">
        <v>0</v>
      </c>
      <c r="BJ68" s="2565">
        <v>0</v>
      </c>
      <c r="BK68" s="2565">
        <v>0</v>
      </c>
      <c r="BL68" s="2565">
        <v>0</v>
      </c>
      <c r="BM68" s="2565">
        <v>0</v>
      </c>
      <c r="BN68" s="2564">
        <v>28715.33</v>
      </c>
      <c r="BO68" s="2527">
        <v>0</v>
      </c>
      <c r="BP68" s="2532">
        <v>0</v>
      </c>
    </row>
    <row r="69" spans="1:68" s="20" customFormat="1" ht="14.25" x14ac:dyDescent="0.2">
      <c r="A69" s="2545" t="str">
        <f>FOODPRO</f>
        <v>Food, beverages and tobacco</v>
      </c>
      <c r="B69" s="2531" t="s">
        <v>1255</v>
      </c>
      <c r="C69" s="2567">
        <v>0</v>
      </c>
      <c r="D69" s="2567">
        <v>0</v>
      </c>
      <c r="E69" s="2567">
        <v>0</v>
      </c>
      <c r="F69" s="2567">
        <v>0</v>
      </c>
      <c r="G69" s="2567">
        <v>0</v>
      </c>
      <c r="H69" s="2567">
        <v>0</v>
      </c>
      <c r="I69" s="2567">
        <v>0</v>
      </c>
      <c r="J69" s="2567">
        <v>0</v>
      </c>
      <c r="K69" s="2567">
        <v>0</v>
      </c>
      <c r="L69" s="2567">
        <v>0</v>
      </c>
      <c r="M69" s="2567">
        <v>1036</v>
      </c>
      <c r="N69" s="2567">
        <v>0</v>
      </c>
      <c r="O69" s="2567">
        <v>0</v>
      </c>
      <c r="P69" s="2567">
        <v>0</v>
      </c>
      <c r="Q69" s="2565">
        <v>0</v>
      </c>
      <c r="R69" s="2567">
        <v>0</v>
      </c>
      <c r="S69" s="2567">
        <v>0</v>
      </c>
      <c r="T69" s="2586">
        <v>0</v>
      </c>
      <c r="U69" s="2559">
        <v>0</v>
      </c>
      <c r="V69" s="2559">
        <v>0</v>
      </c>
      <c r="W69" s="2559">
        <v>0</v>
      </c>
      <c r="X69" s="2559">
        <v>0</v>
      </c>
      <c r="Y69" s="2559">
        <v>0</v>
      </c>
      <c r="Z69" s="2559">
        <v>0</v>
      </c>
      <c r="AA69" s="2559"/>
      <c r="AB69" s="2559"/>
      <c r="AC69" s="2559">
        <v>546.4739990234375</v>
      </c>
      <c r="AD69" s="2559"/>
      <c r="AE69" s="2559"/>
      <c r="AF69" s="2559"/>
      <c r="AG69" s="2559">
        <v>3480.06298828125</v>
      </c>
      <c r="AH69" s="2559">
        <v>47798.125</v>
      </c>
      <c r="AI69" s="2559">
        <v>29062.38671875</v>
      </c>
      <c r="AJ69" s="2559">
        <v>0</v>
      </c>
      <c r="AK69" s="2559">
        <v>0</v>
      </c>
      <c r="AL69" s="2560">
        <v>0</v>
      </c>
      <c r="AM69" s="2560">
        <v>0</v>
      </c>
      <c r="AN69" s="2560">
        <v>0</v>
      </c>
      <c r="AO69" s="2560">
        <v>0</v>
      </c>
      <c r="AP69" s="2560">
        <v>0</v>
      </c>
      <c r="AQ69" s="2569">
        <v>2934</v>
      </c>
      <c r="AR69" s="2562">
        <v>0</v>
      </c>
      <c r="AS69" s="2562">
        <v>0</v>
      </c>
      <c r="AT69" s="2562">
        <v>0</v>
      </c>
      <c r="AU69" s="2562">
        <v>0</v>
      </c>
      <c r="AV69" s="2562">
        <v>0</v>
      </c>
      <c r="AW69" s="2562">
        <v>0</v>
      </c>
      <c r="AX69" s="2562">
        <v>0</v>
      </c>
      <c r="AY69" s="2562">
        <v>0</v>
      </c>
      <c r="AZ69" s="2562">
        <v>0</v>
      </c>
      <c r="BA69" s="2562">
        <v>0</v>
      </c>
      <c r="BB69" s="2587">
        <v>0</v>
      </c>
      <c r="BC69" s="2565">
        <v>0</v>
      </c>
      <c r="BD69" s="2565">
        <v>0</v>
      </c>
      <c r="BE69" s="2564">
        <v>0</v>
      </c>
      <c r="BF69" s="2565">
        <v>0</v>
      </c>
      <c r="BG69" s="2564">
        <v>0</v>
      </c>
      <c r="BH69" s="2565">
        <v>0</v>
      </c>
      <c r="BI69" s="2565">
        <v>0</v>
      </c>
      <c r="BJ69" s="2565">
        <v>0</v>
      </c>
      <c r="BK69" s="2565">
        <v>0</v>
      </c>
      <c r="BL69" s="2565">
        <v>0</v>
      </c>
      <c r="BM69" s="2565">
        <v>0</v>
      </c>
      <c r="BN69" s="2564">
        <v>713.654</v>
      </c>
      <c r="BO69" s="2527">
        <v>0</v>
      </c>
      <c r="BP69" s="2532">
        <v>0</v>
      </c>
    </row>
    <row r="70" spans="1:68" s="20" customFormat="1" ht="14.25" x14ac:dyDescent="0.2">
      <c r="A70" s="2545" t="str">
        <f>PAPERPRO</f>
        <v>Paper, pulp and print</v>
      </c>
      <c r="B70" s="2531" t="s">
        <v>1262</v>
      </c>
      <c r="C70" s="2567">
        <v>0</v>
      </c>
      <c r="D70" s="2567">
        <v>0</v>
      </c>
      <c r="E70" s="2567">
        <v>0</v>
      </c>
      <c r="F70" s="2567">
        <v>0</v>
      </c>
      <c r="G70" s="2567">
        <v>0</v>
      </c>
      <c r="H70" s="2567">
        <v>0</v>
      </c>
      <c r="I70" s="2567">
        <v>0</v>
      </c>
      <c r="J70" s="2567">
        <v>0</v>
      </c>
      <c r="K70" s="2567">
        <v>0</v>
      </c>
      <c r="L70" s="2567">
        <v>0</v>
      </c>
      <c r="M70" s="2567">
        <v>3944</v>
      </c>
      <c r="N70" s="2567">
        <v>0</v>
      </c>
      <c r="O70" s="2567">
        <v>0</v>
      </c>
      <c r="P70" s="2567">
        <v>0</v>
      </c>
      <c r="Q70" s="2565">
        <v>0</v>
      </c>
      <c r="R70" s="2567">
        <v>0</v>
      </c>
      <c r="S70" s="2567">
        <v>0</v>
      </c>
      <c r="T70" s="2586">
        <v>0</v>
      </c>
      <c r="U70" s="2559">
        <v>0</v>
      </c>
      <c r="V70" s="2559">
        <v>0</v>
      </c>
      <c r="W70" s="2559">
        <v>0</v>
      </c>
      <c r="X70" s="2559">
        <v>0</v>
      </c>
      <c r="Y70" s="2559">
        <v>0</v>
      </c>
      <c r="Z70" s="2559">
        <v>0</v>
      </c>
      <c r="AA70" s="2559"/>
      <c r="AB70" s="2559"/>
      <c r="AC70" s="2559">
        <v>9.7700004577636719</v>
      </c>
      <c r="AD70" s="2559"/>
      <c r="AE70" s="2559"/>
      <c r="AF70" s="2559"/>
      <c r="AG70" s="2559">
        <v>55.987998962402344</v>
      </c>
      <c r="AH70" s="2559">
        <v>3228.152099609375</v>
      </c>
      <c r="AI70" s="2559">
        <v>2317.490966796875</v>
      </c>
      <c r="AJ70" s="2559">
        <v>0</v>
      </c>
      <c r="AK70" s="2559">
        <v>0</v>
      </c>
      <c r="AL70" s="2560">
        <v>0</v>
      </c>
      <c r="AM70" s="2560">
        <v>0</v>
      </c>
      <c r="AN70" s="2560">
        <v>0</v>
      </c>
      <c r="AO70" s="2560">
        <v>0</v>
      </c>
      <c r="AP70" s="2560">
        <v>0</v>
      </c>
      <c r="AQ70" s="2569">
        <v>832</v>
      </c>
      <c r="AR70" s="2562">
        <v>0</v>
      </c>
      <c r="AS70" s="2562">
        <v>0</v>
      </c>
      <c r="AT70" s="2562">
        <v>0</v>
      </c>
      <c r="AU70" s="2562">
        <v>0</v>
      </c>
      <c r="AV70" s="2562">
        <v>0</v>
      </c>
      <c r="AW70" s="2562">
        <v>0</v>
      </c>
      <c r="AX70" s="2562">
        <v>0</v>
      </c>
      <c r="AY70" s="2562">
        <v>0</v>
      </c>
      <c r="AZ70" s="2562">
        <v>0</v>
      </c>
      <c r="BA70" s="2562">
        <v>0</v>
      </c>
      <c r="BB70" s="2587">
        <v>0</v>
      </c>
      <c r="BC70" s="2565">
        <v>0</v>
      </c>
      <c r="BD70" s="2565">
        <v>0</v>
      </c>
      <c r="BE70" s="2564">
        <v>0</v>
      </c>
      <c r="BF70" s="2565">
        <v>0</v>
      </c>
      <c r="BG70" s="2564">
        <v>0</v>
      </c>
      <c r="BH70" s="2565">
        <v>0</v>
      </c>
      <c r="BI70" s="2565">
        <v>0</v>
      </c>
      <c r="BJ70" s="2565">
        <v>0</v>
      </c>
      <c r="BK70" s="2565">
        <v>0</v>
      </c>
      <c r="BL70" s="2565">
        <v>0</v>
      </c>
      <c r="BM70" s="2565">
        <v>0</v>
      </c>
      <c r="BN70" s="2564">
        <v>1190.461</v>
      </c>
      <c r="BO70" s="2527">
        <v>0</v>
      </c>
      <c r="BP70" s="2532">
        <v>0</v>
      </c>
    </row>
    <row r="71" spans="1:68" s="20" customFormat="1" ht="14.25" x14ac:dyDescent="0.2">
      <c r="A71" s="2545" t="str">
        <f>WOODPRO</f>
        <v>Wood and wood products</v>
      </c>
      <c r="B71" s="2531" t="s">
        <v>1269</v>
      </c>
      <c r="C71" s="2567">
        <v>0</v>
      </c>
      <c r="D71" s="2567">
        <v>0</v>
      </c>
      <c r="E71" s="2567">
        <v>0</v>
      </c>
      <c r="F71" s="2567">
        <v>0</v>
      </c>
      <c r="G71" s="2567">
        <v>0</v>
      </c>
      <c r="H71" s="2567">
        <v>0</v>
      </c>
      <c r="I71" s="2567">
        <v>0</v>
      </c>
      <c r="J71" s="2567">
        <v>0</v>
      </c>
      <c r="K71" s="2567">
        <v>0</v>
      </c>
      <c r="L71" s="2567">
        <v>0</v>
      </c>
      <c r="M71" s="2567">
        <v>0</v>
      </c>
      <c r="N71" s="2567">
        <v>0</v>
      </c>
      <c r="O71" s="2567">
        <v>0</v>
      </c>
      <c r="P71" s="2567">
        <v>0</v>
      </c>
      <c r="Q71" s="2565">
        <v>0</v>
      </c>
      <c r="R71" s="2567">
        <v>0</v>
      </c>
      <c r="S71" s="2567">
        <v>0</v>
      </c>
      <c r="T71" s="2586">
        <v>0</v>
      </c>
      <c r="U71" s="2559">
        <v>0</v>
      </c>
      <c r="V71" s="2559">
        <v>0</v>
      </c>
      <c r="W71" s="2559">
        <v>0</v>
      </c>
      <c r="X71" s="2559">
        <v>0</v>
      </c>
      <c r="Y71" s="2559">
        <v>0</v>
      </c>
      <c r="Z71" s="2559">
        <v>0</v>
      </c>
      <c r="AA71" s="2559"/>
      <c r="AB71" s="2559"/>
      <c r="AC71" s="2559">
        <v>236.38400268554688</v>
      </c>
      <c r="AD71" s="2559"/>
      <c r="AE71" s="2559"/>
      <c r="AF71" s="2559"/>
      <c r="AG71" s="2559">
        <v>1.559999942779541</v>
      </c>
      <c r="AH71" s="2559">
        <v>8910.5869140625</v>
      </c>
      <c r="AI71" s="2559">
        <v>2340.23095703125</v>
      </c>
      <c r="AJ71" s="2559">
        <v>0</v>
      </c>
      <c r="AK71" s="2559">
        <v>0</v>
      </c>
      <c r="AL71" s="2560">
        <v>0</v>
      </c>
      <c r="AM71" s="2560">
        <v>0</v>
      </c>
      <c r="AN71" s="2560">
        <v>0</v>
      </c>
      <c r="AO71" s="2560">
        <v>0</v>
      </c>
      <c r="AP71" s="2560">
        <v>0</v>
      </c>
      <c r="AQ71" s="2569"/>
      <c r="AR71" s="2562">
        <v>0</v>
      </c>
      <c r="AS71" s="2562">
        <v>0</v>
      </c>
      <c r="AT71" s="2562">
        <v>0</v>
      </c>
      <c r="AU71" s="2562">
        <v>0</v>
      </c>
      <c r="AV71" s="2562">
        <v>0</v>
      </c>
      <c r="AW71" s="2562">
        <v>0</v>
      </c>
      <c r="AX71" s="2562">
        <v>0</v>
      </c>
      <c r="AY71" s="2562">
        <v>0</v>
      </c>
      <c r="AZ71" s="2562">
        <v>0</v>
      </c>
      <c r="BA71" s="2562">
        <v>0</v>
      </c>
      <c r="BB71" s="2587">
        <v>0</v>
      </c>
      <c r="BC71" s="2565">
        <v>0</v>
      </c>
      <c r="BD71" s="2565">
        <v>0</v>
      </c>
      <c r="BE71" s="2564">
        <v>0</v>
      </c>
      <c r="BF71" s="2565">
        <v>0</v>
      </c>
      <c r="BG71" s="2564">
        <v>0</v>
      </c>
      <c r="BH71" s="2565">
        <v>0</v>
      </c>
      <c r="BI71" s="2565">
        <v>0</v>
      </c>
      <c r="BJ71" s="2565">
        <v>0</v>
      </c>
      <c r="BK71" s="2565">
        <v>0</v>
      </c>
      <c r="BL71" s="2565">
        <v>0</v>
      </c>
      <c r="BM71" s="2565">
        <v>0</v>
      </c>
      <c r="BN71" s="2564">
        <v>317.50900000000001</v>
      </c>
      <c r="BO71" s="2527">
        <v>0</v>
      </c>
      <c r="BP71" s="2532">
        <v>0</v>
      </c>
    </row>
    <row r="72" spans="1:68" s="20" customFormat="1" ht="14.25" x14ac:dyDescent="0.2">
      <c r="A72" s="2545" t="str">
        <f>CONSTRUC</f>
        <v>Construction</v>
      </c>
      <c r="B72" s="2531" t="s">
        <v>1276</v>
      </c>
      <c r="C72" s="2567">
        <v>0</v>
      </c>
      <c r="D72" s="2567">
        <v>0</v>
      </c>
      <c r="E72" s="2567">
        <v>0</v>
      </c>
      <c r="F72" s="2567">
        <v>0</v>
      </c>
      <c r="G72" s="2567">
        <v>0</v>
      </c>
      <c r="H72" s="2567">
        <v>0</v>
      </c>
      <c r="I72" s="2567">
        <v>0</v>
      </c>
      <c r="J72" s="2567">
        <v>0</v>
      </c>
      <c r="K72" s="2567">
        <v>0</v>
      </c>
      <c r="L72" s="2567">
        <v>0</v>
      </c>
      <c r="M72" s="2567">
        <v>0</v>
      </c>
      <c r="N72" s="2567">
        <v>0</v>
      </c>
      <c r="O72" s="2567">
        <v>0</v>
      </c>
      <c r="P72" s="2567">
        <v>0</v>
      </c>
      <c r="Q72" s="2565">
        <v>0</v>
      </c>
      <c r="R72" s="2567">
        <v>0</v>
      </c>
      <c r="S72" s="2567">
        <v>0</v>
      </c>
      <c r="T72" s="2586">
        <v>0</v>
      </c>
      <c r="U72" s="2559">
        <v>0</v>
      </c>
      <c r="V72" s="2559">
        <v>0</v>
      </c>
      <c r="W72" s="2559">
        <v>0</v>
      </c>
      <c r="X72" s="2559">
        <v>0</v>
      </c>
      <c r="Y72" s="2559">
        <v>0</v>
      </c>
      <c r="Z72" s="2559">
        <v>0</v>
      </c>
      <c r="AA72" s="2559"/>
      <c r="AB72" s="2559"/>
      <c r="AC72" s="2559">
        <v>569.73406982421875</v>
      </c>
      <c r="AD72" s="2559"/>
      <c r="AE72" s="2559"/>
      <c r="AF72" s="2559"/>
      <c r="AG72" s="2559">
        <v>1471.81201171875</v>
      </c>
      <c r="AH72" s="2559"/>
      <c r="AI72" s="2559">
        <v>2059.856201171875</v>
      </c>
      <c r="AJ72" s="2559">
        <v>0</v>
      </c>
      <c r="AK72" s="2559">
        <v>0</v>
      </c>
      <c r="AL72" s="2560">
        <v>0</v>
      </c>
      <c r="AM72" s="2560">
        <v>0</v>
      </c>
      <c r="AN72" s="2560">
        <v>0</v>
      </c>
      <c r="AO72" s="2560">
        <v>0</v>
      </c>
      <c r="AP72" s="2560">
        <v>0</v>
      </c>
      <c r="AQ72" s="2569"/>
      <c r="AR72" s="2562">
        <v>0</v>
      </c>
      <c r="AS72" s="2562">
        <v>0</v>
      </c>
      <c r="AT72" s="2562">
        <v>0</v>
      </c>
      <c r="AU72" s="2562">
        <v>0</v>
      </c>
      <c r="AV72" s="2562">
        <v>0</v>
      </c>
      <c r="AW72" s="2562">
        <v>0</v>
      </c>
      <c r="AX72" s="2562">
        <v>0</v>
      </c>
      <c r="AY72" s="2562">
        <v>0</v>
      </c>
      <c r="AZ72" s="2562">
        <v>0</v>
      </c>
      <c r="BA72" s="2562">
        <v>0</v>
      </c>
      <c r="BB72" s="2587">
        <v>0</v>
      </c>
      <c r="BC72" s="2565">
        <v>0</v>
      </c>
      <c r="BD72" s="2565">
        <v>0</v>
      </c>
      <c r="BE72" s="2564">
        <v>0</v>
      </c>
      <c r="BF72" s="2565">
        <v>0</v>
      </c>
      <c r="BG72" s="2564">
        <v>0</v>
      </c>
      <c r="BH72" s="2565">
        <v>0</v>
      </c>
      <c r="BI72" s="2565">
        <v>0</v>
      </c>
      <c r="BJ72" s="2565">
        <v>0</v>
      </c>
      <c r="BK72" s="2565">
        <v>0</v>
      </c>
      <c r="BL72" s="2565">
        <v>0</v>
      </c>
      <c r="BM72" s="2565">
        <v>0</v>
      </c>
      <c r="BN72" s="2564">
        <v>229.52099999999999</v>
      </c>
      <c r="BO72" s="2527">
        <v>0</v>
      </c>
      <c r="BP72" s="2532">
        <v>0</v>
      </c>
    </row>
    <row r="73" spans="1:68" s="20" customFormat="1" ht="14.25" x14ac:dyDescent="0.2">
      <c r="A73" s="2545" t="str">
        <f>TEXTILES</f>
        <v>Textiles and leather</v>
      </c>
      <c r="B73" s="2531" t="s">
        <v>1283</v>
      </c>
      <c r="C73" s="2567">
        <v>0</v>
      </c>
      <c r="D73" s="2567">
        <v>0</v>
      </c>
      <c r="E73" s="2567">
        <v>0</v>
      </c>
      <c r="F73" s="2567">
        <v>0</v>
      </c>
      <c r="G73" s="2567">
        <v>0</v>
      </c>
      <c r="H73" s="2567">
        <v>0</v>
      </c>
      <c r="I73" s="2567">
        <v>0</v>
      </c>
      <c r="J73" s="2567">
        <v>0</v>
      </c>
      <c r="K73" s="2567">
        <v>0</v>
      </c>
      <c r="L73" s="2567">
        <v>0</v>
      </c>
      <c r="M73" s="2567">
        <v>0</v>
      </c>
      <c r="N73" s="2567">
        <v>0</v>
      </c>
      <c r="O73" s="2567">
        <v>0</v>
      </c>
      <c r="P73" s="2567">
        <v>0</v>
      </c>
      <c r="Q73" s="2565">
        <v>0</v>
      </c>
      <c r="R73" s="2567">
        <v>0</v>
      </c>
      <c r="S73" s="2567">
        <v>0</v>
      </c>
      <c r="T73" s="2586">
        <v>0</v>
      </c>
      <c r="U73" s="2559">
        <v>0</v>
      </c>
      <c r="V73" s="2559">
        <v>0</v>
      </c>
      <c r="W73" s="2559">
        <v>0</v>
      </c>
      <c r="X73" s="2559">
        <v>0</v>
      </c>
      <c r="Y73" s="2559">
        <v>0</v>
      </c>
      <c r="Z73" s="2559">
        <v>0</v>
      </c>
      <c r="AA73" s="2559"/>
      <c r="AB73" s="2559"/>
      <c r="AC73" s="2559"/>
      <c r="AD73" s="2559"/>
      <c r="AE73" s="2559"/>
      <c r="AF73" s="2559"/>
      <c r="AG73" s="2559">
        <v>369.45401000976563</v>
      </c>
      <c r="AH73" s="2559">
        <v>50740.6171875</v>
      </c>
      <c r="AI73" s="2559">
        <v>335.14498901367188</v>
      </c>
      <c r="AJ73" s="2559">
        <v>0</v>
      </c>
      <c r="AK73" s="2559">
        <v>0</v>
      </c>
      <c r="AL73" s="2560">
        <v>0</v>
      </c>
      <c r="AM73" s="2560">
        <v>0</v>
      </c>
      <c r="AN73" s="2560">
        <v>0</v>
      </c>
      <c r="AO73" s="2560">
        <v>0</v>
      </c>
      <c r="AP73" s="2560">
        <v>0</v>
      </c>
      <c r="AQ73" s="2569">
        <v>10</v>
      </c>
      <c r="AR73" s="2562">
        <v>0</v>
      </c>
      <c r="AS73" s="2562">
        <v>0</v>
      </c>
      <c r="AT73" s="2562">
        <v>0</v>
      </c>
      <c r="AU73" s="2562">
        <v>0</v>
      </c>
      <c r="AV73" s="2562">
        <v>0</v>
      </c>
      <c r="AW73" s="2562">
        <v>0</v>
      </c>
      <c r="AX73" s="2562">
        <v>0</v>
      </c>
      <c r="AY73" s="2562">
        <v>0</v>
      </c>
      <c r="AZ73" s="2562">
        <v>0</v>
      </c>
      <c r="BA73" s="2562">
        <v>0</v>
      </c>
      <c r="BB73" s="2587">
        <v>0</v>
      </c>
      <c r="BC73" s="2565">
        <v>0</v>
      </c>
      <c r="BD73" s="2565">
        <v>0</v>
      </c>
      <c r="BE73" s="2564">
        <v>0</v>
      </c>
      <c r="BF73" s="2565">
        <v>0</v>
      </c>
      <c r="BG73" s="2564">
        <v>0</v>
      </c>
      <c r="BH73" s="2565">
        <v>0</v>
      </c>
      <c r="BI73" s="2565">
        <v>0</v>
      </c>
      <c r="BJ73" s="2565">
        <v>0</v>
      </c>
      <c r="BK73" s="2565">
        <v>0</v>
      </c>
      <c r="BL73" s="2565">
        <v>0</v>
      </c>
      <c r="BM73" s="2565">
        <v>0</v>
      </c>
      <c r="BN73" s="2564">
        <v>156.273</v>
      </c>
      <c r="BO73" s="2527">
        <v>0</v>
      </c>
      <c r="BP73" s="2532">
        <v>0</v>
      </c>
    </row>
    <row r="74" spans="1:68" s="20" customFormat="1" ht="14.25" x14ac:dyDescent="0.2">
      <c r="A74" s="2545" t="str">
        <f>INONSPEC</f>
        <v>Non-specified (Industry)</v>
      </c>
      <c r="B74" s="2531" t="s">
        <v>1290</v>
      </c>
      <c r="C74" s="2567">
        <v>0</v>
      </c>
      <c r="D74" s="2567">
        <v>0</v>
      </c>
      <c r="E74" s="2567">
        <v>9692.6949999999997</v>
      </c>
      <c r="F74" s="2567">
        <v>0</v>
      </c>
      <c r="G74" s="2567">
        <v>0</v>
      </c>
      <c r="H74" s="2567">
        <v>0</v>
      </c>
      <c r="I74" s="2567">
        <v>0</v>
      </c>
      <c r="J74" s="2567">
        <v>0</v>
      </c>
      <c r="K74" s="2567">
        <v>0</v>
      </c>
      <c r="L74" s="2567">
        <v>0</v>
      </c>
      <c r="M74" s="2567">
        <v>2116</v>
      </c>
      <c r="N74" s="2567">
        <v>0</v>
      </c>
      <c r="O74" s="2567">
        <v>0</v>
      </c>
      <c r="P74" s="2567">
        <v>0</v>
      </c>
      <c r="Q74" s="2565">
        <v>0</v>
      </c>
      <c r="R74" s="2567">
        <v>0</v>
      </c>
      <c r="S74" s="2567">
        <v>0</v>
      </c>
      <c r="T74" s="2586">
        <v>0</v>
      </c>
      <c r="U74" s="2559">
        <v>0</v>
      </c>
      <c r="V74" s="2559">
        <v>0</v>
      </c>
      <c r="W74" s="2559">
        <v>0</v>
      </c>
      <c r="X74" s="2559">
        <v>0</v>
      </c>
      <c r="Y74" s="2559">
        <v>0</v>
      </c>
      <c r="Z74" s="2559">
        <v>0</v>
      </c>
      <c r="AA74" s="2559"/>
      <c r="AB74" s="2559"/>
      <c r="AC74" s="2559">
        <v>16744.154296875</v>
      </c>
      <c r="AD74" s="2559"/>
      <c r="AE74" s="2559"/>
      <c r="AF74" s="2559"/>
      <c r="AG74" s="2559">
        <v>10605.83984375</v>
      </c>
      <c r="AH74" s="2559">
        <v>94221.015625</v>
      </c>
      <c r="AI74" s="2559">
        <v>79962.6875</v>
      </c>
      <c r="AJ74" s="2559">
        <v>0</v>
      </c>
      <c r="AK74" s="2559">
        <v>0</v>
      </c>
      <c r="AL74" s="2560">
        <v>0</v>
      </c>
      <c r="AM74" s="2560">
        <v>0</v>
      </c>
      <c r="AN74" s="2560">
        <v>0</v>
      </c>
      <c r="AO74" s="2560">
        <v>0</v>
      </c>
      <c r="AP74" s="2560">
        <v>0</v>
      </c>
      <c r="AQ74" s="2569">
        <v>2816</v>
      </c>
      <c r="AR74" s="2562">
        <v>0</v>
      </c>
      <c r="AS74" s="2562">
        <v>0</v>
      </c>
      <c r="AT74" s="2562">
        <v>0</v>
      </c>
      <c r="AU74" s="2570">
        <v>81176.2</v>
      </c>
      <c r="AV74" s="2562">
        <v>0</v>
      </c>
      <c r="AW74" s="2562">
        <v>0</v>
      </c>
      <c r="AX74" s="2562">
        <v>0</v>
      </c>
      <c r="AY74" s="2562">
        <v>0</v>
      </c>
      <c r="AZ74" s="2562">
        <v>0</v>
      </c>
      <c r="BA74" s="2562">
        <v>0</v>
      </c>
      <c r="BB74" s="2587">
        <v>0</v>
      </c>
      <c r="BC74" s="2565">
        <v>0</v>
      </c>
      <c r="BD74" s="2565">
        <v>0</v>
      </c>
      <c r="BE74" s="2564">
        <v>0</v>
      </c>
      <c r="BF74" s="2565">
        <v>0</v>
      </c>
      <c r="BG74" s="2564">
        <v>0</v>
      </c>
      <c r="BH74" s="2565">
        <v>0</v>
      </c>
      <c r="BI74" s="2565">
        <v>0</v>
      </c>
      <c r="BJ74" s="2565">
        <v>0</v>
      </c>
      <c r="BK74" s="2565">
        <v>0</v>
      </c>
      <c r="BL74" s="2565">
        <v>0</v>
      </c>
      <c r="BM74" s="2565">
        <v>0</v>
      </c>
      <c r="BN74" s="2564">
        <v>28306.12</v>
      </c>
      <c r="BO74" s="2527">
        <v>0</v>
      </c>
      <c r="BP74" s="2532">
        <v>0</v>
      </c>
    </row>
    <row r="75" spans="1:68" s="20" customFormat="1" ht="15" x14ac:dyDescent="0.25">
      <c r="A75" s="2544" t="str">
        <f>TOTTRANS</f>
        <v>Transport</v>
      </c>
      <c r="B75" s="2535" t="s">
        <v>1297</v>
      </c>
      <c r="C75" s="2573">
        <f t="shared" ref="C75:V75" si="14">SUM(C76:C81)</f>
        <v>0</v>
      </c>
      <c r="D75" s="2573">
        <f t="shared" si="14"/>
        <v>0</v>
      </c>
      <c r="E75" s="2573">
        <f t="shared" si="14"/>
        <v>0</v>
      </c>
      <c r="F75" s="2573">
        <f t="shared" si="14"/>
        <v>0</v>
      </c>
      <c r="G75" s="2573">
        <f t="shared" si="14"/>
        <v>0</v>
      </c>
      <c r="H75" s="2573">
        <f t="shared" si="14"/>
        <v>0</v>
      </c>
      <c r="I75" s="2573">
        <f t="shared" si="14"/>
        <v>0</v>
      </c>
      <c r="J75" s="2573">
        <f t="shared" si="14"/>
        <v>0</v>
      </c>
      <c r="K75" s="2573">
        <f t="shared" si="14"/>
        <v>0</v>
      </c>
      <c r="L75" s="2573">
        <f t="shared" si="14"/>
        <v>0</v>
      </c>
      <c r="M75" s="2573">
        <f t="shared" si="14"/>
        <v>0</v>
      </c>
      <c r="N75" s="2573">
        <f t="shared" si="14"/>
        <v>0</v>
      </c>
      <c r="O75" s="2573">
        <f t="shared" si="14"/>
        <v>0</v>
      </c>
      <c r="P75" s="2573">
        <f t="shared" si="14"/>
        <v>0</v>
      </c>
      <c r="Q75" s="2573">
        <f t="shared" si="14"/>
        <v>0</v>
      </c>
      <c r="R75" s="2573">
        <f t="shared" si="14"/>
        <v>0</v>
      </c>
      <c r="S75" s="2573">
        <f t="shared" si="14"/>
        <v>0</v>
      </c>
      <c r="T75" s="2574">
        <f t="shared" si="14"/>
        <v>0</v>
      </c>
      <c r="U75" s="2573">
        <f t="shared" si="14"/>
        <v>0</v>
      </c>
      <c r="V75" s="2573">
        <f t="shared" si="14"/>
        <v>0</v>
      </c>
      <c r="W75" s="2573">
        <v>0</v>
      </c>
      <c r="X75" s="2573">
        <v>0</v>
      </c>
      <c r="Y75" s="2573">
        <v>0</v>
      </c>
      <c r="Z75" s="2573">
        <f t="shared" ref="Z75:AZ75" si="15">SUM(Z76:Z81)</f>
        <v>0</v>
      </c>
      <c r="AA75" s="2573">
        <f t="shared" si="15"/>
        <v>0</v>
      </c>
      <c r="AB75" s="2573">
        <f t="shared" si="15"/>
        <v>26500.064971923828</v>
      </c>
      <c r="AC75" s="2573">
        <f t="shared" si="15"/>
        <v>10185284.090454102</v>
      </c>
      <c r="AD75" s="2573">
        <f>SUM(AD76:AD81)</f>
        <v>650773.75</v>
      </c>
      <c r="AE75" s="2573">
        <f t="shared" si="15"/>
        <v>1858295.2070922852</v>
      </c>
      <c r="AF75" s="2573">
        <f t="shared" si="15"/>
        <v>0</v>
      </c>
      <c r="AG75" s="2573">
        <f t="shared" si="15"/>
        <v>72231.038188934326</v>
      </c>
      <c r="AH75" s="2573">
        <f t="shared" si="15"/>
        <v>6892754.3901367188</v>
      </c>
      <c r="AI75" s="2573">
        <f t="shared" si="15"/>
        <v>98011.383895874023</v>
      </c>
      <c r="AJ75" s="2573">
        <f t="shared" si="15"/>
        <v>0</v>
      </c>
      <c r="AK75" s="2573">
        <f t="shared" si="15"/>
        <v>0</v>
      </c>
      <c r="AL75" s="2573">
        <f t="shared" si="15"/>
        <v>0</v>
      </c>
      <c r="AM75" s="2573">
        <f t="shared" si="15"/>
        <v>0</v>
      </c>
      <c r="AN75" s="2573">
        <f t="shared" si="15"/>
        <v>0</v>
      </c>
      <c r="AO75" s="2573">
        <f t="shared" si="15"/>
        <v>0</v>
      </c>
      <c r="AP75" s="2573">
        <f t="shared" si="15"/>
        <v>0</v>
      </c>
      <c r="AQ75" s="2575">
        <f t="shared" si="15"/>
        <v>0</v>
      </c>
      <c r="AR75" s="2573">
        <f t="shared" si="15"/>
        <v>0</v>
      </c>
      <c r="AS75" s="2573">
        <f t="shared" si="15"/>
        <v>0</v>
      </c>
      <c r="AT75" s="2573">
        <f t="shared" si="15"/>
        <v>0</v>
      </c>
      <c r="AU75" s="2573">
        <f t="shared" si="15"/>
        <v>0</v>
      </c>
      <c r="AV75" s="2573">
        <f t="shared" si="15"/>
        <v>0</v>
      </c>
      <c r="AW75" s="2573">
        <f t="shared" si="15"/>
        <v>0</v>
      </c>
      <c r="AX75" s="2573">
        <f t="shared" si="15"/>
        <v>0</v>
      </c>
      <c r="AY75" s="2573">
        <f t="shared" si="15"/>
        <v>0</v>
      </c>
      <c r="AZ75" s="2573">
        <f t="shared" si="15"/>
        <v>0</v>
      </c>
      <c r="BA75" s="2573">
        <v>0</v>
      </c>
      <c r="BB75" s="2574">
        <f>SUM(BB76:BB81)</f>
        <v>0</v>
      </c>
      <c r="BC75" s="2573">
        <v>0</v>
      </c>
      <c r="BD75" s="2573">
        <v>0</v>
      </c>
      <c r="BE75" s="2573">
        <f>SUM(BE76:BE81)</f>
        <v>0</v>
      </c>
      <c r="BF75" s="2573">
        <v>0</v>
      </c>
      <c r="BG75" s="2573">
        <f>SUM(BG76:BG81)</f>
        <v>0</v>
      </c>
      <c r="BH75" s="2573">
        <v>0</v>
      </c>
      <c r="BI75" s="2573">
        <v>0</v>
      </c>
      <c r="BJ75" s="2573">
        <v>0</v>
      </c>
      <c r="BK75" s="2573">
        <v>0</v>
      </c>
      <c r="BL75" s="2573">
        <v>0</v>
      </c>
      <c r="BM75" s="2573">
        <v>0</v>
      </c>
      <c r="BN75" s="2573">
        <f>SUM(BN76:BN81)</f>
        <v>3201.8070000000002</v>
      </c>
      <c r="BO75" s="2536">
        <v>0</v>
      </c>
      <c r="BP75" s="2537">
        <v>0</v>
      </c>
    </row>
    <row r="76" spans="1:68" s="20" customFormat="1" ht="14.25" x14ac:dyDescent="0.2">
      <c r="A76" s="2545" t="str">
        <f>ROAD</f>
        <v>Road</v>
      </c>
      <c r="B76" s="2531" t="s">
        <v>1304</v>
      </c>
      <c r="C76" s="2565">
        <v>0</v>
      </c>
      <c r="D76" s="2565">
        <v>0</v>
      </c>
      <c r="E76" s="2565">
        <v>0</v>
      </c>
      <c r="F76" s="2565">
        <v>0</v>
      </c>
      <c r="G76" s="2565">
        <v>0</v>
      </c>
      <c r="H76" s="2565">
        <v>0</v>
      </c>
      <c r="I76" s="2565">
        <v>0</v>
      </c>
      <c r="J76" s="2565">
        <v>0</v>
      </c>
      <c r="K76" s="2565">
        <v>0</v>
      </c>
      <c r="L76" s="2565">
        <v>0</v>
      </c>
      <c r="M76" s="2565">
        <v>0</v>
      </c>
      <c r="N76" s="2565">
        <v>0</v>
      </c>
      <c r="O76" s="2565">
        <v>0</v>
      </c>
      <c r="P76" s="2565">
        <v>0</v>
      </c>
      <c r="Q76" s="2565">
        <v>0</v>
      </c>
      <c r="R76" s="2565">
        <v>0</v>
      </c>
      <c r="S76" s="2565">
        <v>0</v>
      </c>
      <c r="T76" s="2576">
        <v>0</v>
      </c>
      <c r="U76" s="2559">
        <v>0</v>
      </c>
      <c r="V76" s="2559">
        <v>0</v>
      </c>
      <c r="W76" s="2565">
        <v>0</v>
      </c>
      <c r="X76" s="2565">
        <v>0</v>
      </c>
      <c r="Y76" s="2565">
        <v>0</v>
      </c>
      <c r="Z76" s="2559">
        <v>0</v>
      </c>
      <c r="AA76" s="2559"/>
      <c r="AB76" s="2559">
        <v>25905.41796875</v>
      </c>
      <c r="AC76" s="2559">
        <v>10179225</v>
      </c>
      <c r="AD76" s="2559"/>
      <c r="AE76" s="2559"/>
      <c r="AF76" s="2559"/>
      <c r="AG76" s="2559"/>
      <c r="AH76" s="2559">
        <v>6725982</v>
      </c>
      <c r="AI76" s="2559">
        <v>18855.97265625</v>
      </c>
      <c r="AJ76" s="2559"/>
      <c r="AK76" s="2559">
        <v>0</v>
      </c>
      <c r="AL76" s="2560">
        <v>0</v>
      </c>
      <c r="AM76" s="2560">
        <v>0</v>
      </c>
      <c r="AN76" s="2560">
        <v>0</v>
      </c>
      <c r="AO76" s="2560">
        <v>0</v>
      </c>
      <c r="AP76" s="2560">
        <v>0</v>
      </c>
      <c r="AQ76" s="2569">
        <v>0</v>
      </c>
      <c r="AR76" s="2562">
        <v>0</v>
      </c>
      <c r="AS76" s="2562">
        <v>0</v>
      </c>
      <c r="AT76" s="2562">
        <v>0</v>
      </c>
      <c r="AU76" s="2562">
        <v>0</v>
      </c>
      <c r="AV76" s="2562">
        <v>0</v>
      </c>
      <c r="AW76" s="2562">
        <v>0</v>
      </c>
      <c r="AX76" s="2562">
        <v>0</v>
      </c>
      <c r="AY76" s="2562">
        <v>0</v>
      </c>
      <c r="AZ76" s="2562">
        <v>0</v>
      </c>
      <c r="BA76" s="2562">
        <v>0</v>
      </c>
      <c r="BB76" s="2587">
        <v>0</v>
      </c>
      <c r="BC76" s="2565">
        <v>0</v>
      </c>
      <c r="BD76" s="2565">
        <v>0</v>
      </c>
      <c r="BE76" s="2564">
        <v>0</v>
      </c>
      <c r="BF76" s="2565">
        <v>0</v>
      </c>
      <c r="BG76" s="2564">
        <v>0</v>
      </c>
      <c r="BH76" s="2565">
        <v>0</v>
      </c>
      <c r="BI76" s="2565">
        <v>0</v>
      </c>
      <c r="BJ76" s="2565">
        <v>0</v>
      </c>
      <c r="BK76" s="2565">
        <v>0</v>
      </c>
      <c r="BL76" s="2565">
        <v>0</v>
      </c>
      <c r="BM76" s="2565">
        <v>0</v>
      </c>
      <c r="BN76" s="2564">
        <v>53.707999999999998</v>
      </c>
      <c r="BO76" s="2528">
        <v>0</v>
      </c>
      <c r="BP76" s="2532">
        <v>0</v>
      </c>
    </row>
    <row r="77" spans="1:68" s="20" customFormat="1" ht="14.25" x14ac:dyDescent="0.2">
      <c r="A77" s="2545" t="str">
        <f>DOMESAIR</f>
        <v>Domestic aviation</v>
      </c>
      <c r="B77" s="2531" t="s">
        <v>1311</v>
      </c>
      <c r="C77" s="2565">
        <v>0</v>
      </c>
      <c r="D77" s="2565">
        <v>0</v>
      </c>
      <c r="E77" s="2565">
        <v>0</v>
      </c>
      <c r="F77" s="2565">
        <v>0</v>
      </c>
      <c r="G77" s="2565">
        <v>0</v>
      </c>
      <c r="H77" s="2565">
        <v>0</v>
      </c>
      <c r="I77" s="2565">
        <v>0</v>
      </c>
      <c r="J77" s="2565">
        <v>0</v>
      </c>
      <c r="K77" s="2565">
        <v>0</v>
      </c>
      <c r="L77" s="2565">
        <v>0</v>
      </c>
      <c r="M77" s="2565">
        <v>0</v>
      </c>
      <c r="N77" s="2565">
        <v>0</v>
      </c>
      <c r="O77" s="2565">
        <v>0</v>
      </c>
      <c r="P77" s="2565">
        <v>0</v>
      </c>
      <c r="Q77" s="2565">
        <v>0</v>
      </c>
      <c r="R77" s="2565">
        <v>0</v>
      </c>
      <c r="S77" s="2565">
        <v>0</v>
      </c>
      <c r="T77" s="2576">
        <v>0</v>
      </c>
      <c r="U77" s="2559">
        <v>0</v>
      </c>
      <c r="V77" s="2559">
        <v>0</v>
      </c>
      <c r="W77" s="2565">
        <v>0</v>
      </c>
      <c r="X77" s="2565">
        <v>0</v>
      </c>
      <c r="Y77" s="2565">
        <v>0</v>
      </c>
      <c r="Z77" s="2559">
        <v>0</v>
      </c>
      <c r="AA77" s="2559">
        <v>0</v>
      </c>
      <c r="AB77" s="2559">
        <v>0</v>
      </c>
      <c r="AC77" s="2559">
        <v>0</v>
      </c>
      <c r="AD77" s="2559">
        <v>650773.75</v>
      </c>
      <c r="AE77" s="2559">
        <v>2470.9570922851563</v>
      </c>
      <c r="AF77" s="2559">
        <v>0</v>
      </c>
      <c r="AG77" s="2559">
        <v>0</v>
      </c>
      <c r="AH77" s="2559">
        <v>0</v>
      </c>
      <c r="AI77" s="2559">
        <v>0</v>
      </c>
      <c r="AJ77" s="2559">
        <v>0</v>
      </c>
      <c r="AK77" s="2559">
        <v>0</v>
      </c>
      <c r="AL77" s="2560">
        <v>0</v>
      </c>
      <c r="AM77" s="2560">
        <v>0</v>
      </c>
      <c r="AN77" s="2560">
        <v>0</v>
      </c>
      <c r="AO77" s="2560">
        <v>0</v>
      </c>
      <c r="AP77" s="2560">
        <v>0</v>
      </c>
      <c r="AQ77" s="2561">
        <v>0</v>
      </c>
      <c r="AR77" s="2565">
        <v>0</v>
      </c>
      <c r="AS77" s="2565">
        <v>0</v>
      </c>
      <c r="AT77" s="2565">
        <v>0</v>
      </c>
      <c r="AU77" s="2565">
        <v>0</v>
      </c>
      <c r="AV77" s="2565">
        <v>0</v>
      </c>
      <c r="AW77" s="2562">
        <v>0</v>
      </c>
      <c r="AX77" s="2562">
        <v>0</v>
      </c>
      <c r="AY77" s="2562">
        <v>0</v>
      </c>
      <c r="AZ77" s="2565">
        <v>0</v>
      </c>
      <c r="BA77" s="2565">
        <v>0</v>
      </c>
      <c r="BB77" s="2576">
        <v>0</v>
      </c>
      <c r="BC77" s="2565">
        <v>0</v>
      </c>
      <c r="BD77" s="2565">
        <v>0</v>
      </c>
      <c r="BE77" s="2565">
        <v>0</v>
      </c>
      <c r="BF77" s="2565">
        <v>0</v>
      </c>
      <c r="BG77" s="2565">
        <v>0</v>
      </c>
      <c r="BH77" s="2565">
        <v>0</v>
      </c>
      <c r="BI77" s="2565">
        <v>0</v>
      </c>
      <c r="BJ77" s="2565">
        <v>0</v>
      </c>
      <c r="BK77" s="2565">
        <v>0</v>
      </c>
      <c r="BL77" s="2565">
        <v>0</v>
      </c>
      <c r="BM77" s="2565">
        <v>0</v>
      </c>
      <c r="BN77" s="2565">
        <v>68.600999999999999</v>
      </c>
      <c r="BO77" s="2528">
        <v>0</v>
      </c>
      <c r="BP77" s="2532">
        <v>0</v>
      </c>
    </row>
    <row r="78" spans="1:68" s="20" customFormat="1" ht="14.25" x14ac:dyDescent="0.2">
      <c r="A78" s="2545" t="str">
        <f>RAIL</f>
        <v>Rail</v>
      </c>
      <c r="B78" s="2531" t="s">
        <v>1318</v>
      </c>
      <c r="C78" s="2567">
        <v>0</v>
      </c>
      <c r="D78" s="2567">
        <v>0</v>
      </c>
      <c r="E78" s="2567">
        <v>0</v>
      </c>
      <c r="F78" s="2567">
        <v>0</v>
      </c>
      <c r="G78" s="2567">
        <v>0</v>
      </c>
      <c r="H78" s="2567">
        <v>0</v>
      </c>
      <c r="I78" s="2567">
        <v>0</v>
      </c>
      <c r="J78" s="2567">
        <v>0</v>
      </c>
      <c r="K78" s="2567">
        <v>0</v>
      </c>
      <c r="L78" s="2567">
        <v>0</v>
      </c>
      <c r="M78" s="2567">
        <v>0</v>
      </c>
      <c r="N78" s="2567">
        <v>0</v>
      </c>
      <c r="O78" s="2567">
        <v>0</v>
      </c>
      <c r="P78" s="2567">
        <v>0</v>
      </c>
      <c r="Q78" s="2565">
        <v>0</v>
      </c>
      <c r="R78" s="2567">
        <v>0</v>
      </c>
      <c r="S78" s="2567">
        <v>0</v>
      </c>
      <c r="T78" s="2586">
        <v>0</v>
      </c>
      <c r="U78" s="2559">
        <v>0</v>
      </c>
      <c r="V78" s="2559">
        <v>0</v>
      </c>
      <c r="W78" s="2565">
        <v>0</v>
      </c>
      <c r="X78" s="2565">
        <v>0</v>
      </c>
      <c r="Y78" s="2565">
        <v>0</v>
      </c>
      <c r="Z78" s="2559">
        <v>0</v>
      </c>
      <c r="AA78" s="2559"/>
      <c r="AB78" s="2559">
        <v>259.42599487304688</v>
      </c>
      <c r="AC78" s="2559">
        <v>791.8057861328125</v>
      </c>
      <c r="AD78" s="2559"/>
      <c r="AE78" s="2559"/>
      <c r="AF78" s="2559">
        <f>AE76+AE78</f>
        <v>0</v>
      </c>
      <c r="AG78" s="2559"/>
      <c r="AH78" s="2559">
        <v>128182.6640625</v>
      </c>
      <c r="AI78" s="2559">
        <v>1070.5989990234375</v>
      </c>
      <c r="AJ78" s="2559"/>
      <c r="AK78" s="2559">
        <v>0</v>
      </c>
      <c r="AL78" s="2560">
        <v>0</v>
      </c>
      <c r="AM78" s="2560">
        <v>0</v>
      </c>
      <c r="AN78" s="2560">
        <v>0</v>
      </c>
      <c r="AO78" s="2560">
        <v>0</v>
      </c>
      <c r="AP78" s="2560">
        <v>0</v>
      </c>
      <c r="AQ78" s="2569">
        <v>0</v>
      </c>
      <c r="AR78" s="2562">
        <v>0</v>
      </c>
      <c r="AS78" s="2562">
        <v>0</v>
      </c>
      <c r="AT78" s="2562">
        <v>0</v>
      </c>
      <c r="AU78" s="2562">
        <v>0</v>
      </c>
      <c r="AV78" s="2562">
        <v>0</v>
      </c>
      <c r="AW78" s="2562">
        <v>0</v>
      </c>
      <c r="AX78" s="2562">
        <v>0</v>
      </c>
      <c r="AY78" s="2562">
        <v>0</v>
      </c>
      <c r="AZ78" s="2562">
        <v>0</v>
      </c>
      <c r="BA78" s="2562">
        <v>0</v>
      </c>
      <c r="BB78" s="2587">
        <v>0</v>
      </c>
      <c r="BC78" s="2565">
        <v>0</v>
      </c>
      <c r="BD78" s="2565">
        <v>0</v>
      </c>
      <c r="BE78" s="2564">
        <v>0</v>
      </c>
      <c r="BF78" s="2565">
        <v>0</v>
      </c>
      <c r="BG78" s="2564">
        <v>0</v>
      </c>
      <c r="BH78" s="2565">
        <v>0</v>
      </c>
      <c r="BI78" s="2565">
        <v>0</v>
      </c>
      <c r="BJ78" s="2565">
        <v>0</v>
      </c>
      <c r="BK78" s="2565">
        <v>0</v>
      </c>
      <c r="BL78" s="2565">
        <v>0</v>
      </c>
      <c r="BM78" s="2565">
        <v>0</v>
      </c>
      <c r="BN78" s="2564">
        <v>2661.355</v>
      </c>
      <c r="BO78" s="2528">
        <v>0</v>
      </c>
      <c r="BP78" s="2532">
        <v>0</v>
      </c>
    </row>
    <row r="79" spans="1:68" s="20" customFormat="1" ht="14.25" x14ac:dyDescent="0.2">
      <c r="A79" s="2545" t="str">
        <f>PIPELINE</f>
        <v>Pipeline transport</v>
      </c>
      <c r="B79" s="2531" t="s">
        <v>1325</v>
      </c>
      <c r="C79" s="2565">
        <v>0</v>
      </c>
      <c r="D79" s="2565">
        <v>0</v>
      </c>
      <c r="E79" s="2565">
        <v>0</v>
      </c>
      <c r="F79" s="2565">
        <v>0</v>
      </c>
      <c r="G79" s="2565">
        <v>0</v>
      </c>
      <c r="H79" s="2565">
        <v>0</v>
      </c>
      <c r="I79" s="2565">
        <v>0</v>
      </c>
      <c r="J79" s="2565">
        <v>0</v>
      </c>
      <c r="K79" s="2565">
        <v>0</v>
      </c>
      <c r="L79" s="2565">
        <v>0</v>
      </c>
      <c r="M79" s="2565">
        <v>0</v>
      </c>
      <c r="N79" s="2565">
        <v>0</v>
      </c>
      <c r="O79" s="2565">
        <v>0</v>
      </c>
      <c r="P79" s="2565">
        <v>0</v>
      </c>
      <c r="Q79" s="2565">
        <v>0</v>
      </c>
      <c r="R79" s="2565">
        <v>0</v>
      </c>
      <c r="S79" s="2565">
        <v>0</v>
      </c>
      <c r="T79" s="2576">
        <v>0</v>
      </c>
      <c r="U79" s="2559">
        <v>0</v>
      </c>
      <c r="V79" s="2559">
        <v>0</v>
      </c>
      <c r="W79" s="2565">
        <v>0</v>
      </c>
      <c r="X79" s="2565">
        <v>0</v>
      </c>
      <c r="Y79" s="2565">
        <v>0</v>
      </c>
      <c r="Z79" s="2559">
        <v>0</v>
      </c>
      <c r="AA79" s="2559"/>
      <c r="AB79" s="2559"/>
      <c r="AC79" s="2559">
        <v>15</v>
      </c>
      <c r="AD79" s="2559"/>
      <c r="AE79" s="2559"/>
      <c r="AF79" s="2559"/>
      <c r="AG79" s="2559"/>
      <c r="AH79" s="2559">
        <v>16578.8046875</v>
      </c>
      <c r="AI79" s="2559">
        <v>77762.53125</v>
      </c>
      <c r="AJ79" s="2559">
        <v>0</v>
      </c>
      <c r="AK79" s="2559">
        <v>0</v>
      </c>
      <c r="AL79" s="2560">
        <v>0</v>
      </c>
      <c r="AM79" s="2560">
        <v>0</v>
      </c>
      <c r="AN79" s="2560">
        <v>0</v>
      </c>
      <c r="AO79" s="2560">
        <v>0</v>
      </c>
      <c r="AP79" s="2560">
        <v>0</v>
      </c>
      <c r="AQ79" s="2569">
        <v>0</v>
      </c>
      <c r="AR79" s="2565">
        <v>0</v>
      </c>
      <c r="AS79" s="2565">
        <v>0</v>
      </c>
      <c r="AT79" s="2565">
        <v>0</v>
      </c>
      <c r="AU79" s="2565">
        <v>0</v>
      </c>
      <c r="AV79" s="2565">
        <v>0</v>
      </c>
      <c r="AW79" s="2562">
        <v>0</v>
      </c>
      <c r="AX79" s="2562">
        <v>0</v>
      </c>
      <c r="AY79" s="2562">
        <v>0</v>
      </c>
      <c r="AZ79" s="2565">
        <v>0</v>
      </c>
      <c r="BA79" s="2565">
        <v>0</v>
      </c>
      <c r="BB79" s="2576">
        <v>0</v>
      </c>
      <c r="BC79" s="2565">
        <v>0</v>
      </c>
      <c r="BD79" s="2565">
        <v>0</v>
      </c>
      <c r="BE79" s="2565">
        <v>0</v>
      </c>
      <c r="BF79" s="2565">
        <v>0</v>
      </c>
      <c r="BG79" s="2565">
        <v>0</v>
      </c>
      <c r="BH79" s="2565">
        <v>0</v>
      </c>
      <c r="BI79" s="2565">
        <v>0</v>
      </c>
      <c r="BJ79" s="2565">
        <v>0</v>
      </c>
      <c r="BK79" s="2565">
        <v>0</v>
      </c>
      <c r="BL79" s="2565">
        <v>0</v>
      </c>
      <c r="BM79" s="2565">
        <v>0</v>
      </c>
      <c r="BN79" s="2564">
        <v>73.332999999999998</v>
      </c>
      <c r="BO79" s="2528">
        <v>0</v>
      </c>
      <c r="BP79" s="2532">
        <v>0</v>
      </c>
    </row>
    <row r="80" spans="1:68" s="20" customFormat="1" ht="14.25" x14ac:dyDescent="0.2">
      <c r="A80" s="2545" t="str">
        <f>DOMESNAV</f>
        <v>Domestic navigation</v>
      </c>
      <c r="B80" s="2531" t="s">
        <v>1332</v>
      </c>
      <c r="C80" s="2567">
        <v>0</v>
      </c>
      <c r="D80" s="2567">
        <v>0</v>
      </c>
      <c r="E80" s="2567">
        <v>0</v>
      </c>
      <c r="F80" s="2567">
        <v>0</v>
      </c>
      <c r="G80" s="2567">
        <v>0</v>
      </c>
      <c r="H80" s="2567">
        <v>0</v>
      </c>
      <c r="I80" s="2567">
        <v>0</v>
      </c>
      <c r="J80" s="2567">
        <v>0</v>
      </c>
      <c r="K80" s="2567">
        <v>0</v>
      </c>
      <c r="L80" s="2567">
        <v>0</v>
      </c>
      <c r="M80" s="2567">
        <v>0</v>
      </c>
      <c r="N80" s="2567">
        <v>0</v>
      </c>
      <c r="O80" s="2567">
        <v>0</v>
      </c>
      <c r="P80" s="2567">
        <v>0</v>
      </c>
      <c r="Q80" s="2565">
        <v>0</v>
      </c>
      <c r="R80" s="2567">
        <v>0</v>
      </c>
      <c r="S80" s="2567">
        <v>0</v>
      </c>
      <c r="T80" s="2586">
        <v>0</v>
      </c>
      <c r="U80" s="2559">
        <v>0</v>
      </c>
      <c r="V80" s="2559">
        <v>0</v>
      </c>
      <c r="W80" s="2565">
        <v>0</v>
      </c>
      <c r="X80" s="2565">
        <v>0</v>
      </c>
      <c r="Y80" s="2565">
        <v>0</v>
      </c>
      <c r="Z80" s="2559">
        <v>0</v>
      </c>
      <c r="AA80" s="2559"/>
      <c r="AB80" s="2559"/>
      <c r="AC80" s="2559">
        <v>2280.997314453125</v>
      </c>
      <c r="AD80" s="2559"/>
      <c r="AE80" s="2559">
        <v>1855824.25</v>
      </c>
      <c r="AF80" s="2559"/>
      <c r="AG80" s="2559"/>
      <c r="AH80" s="2559">
        <v>7911.13720703125</v>
      </c>
      <c r="AI80" s="2559">
        <v>153.46499633789063</v>
      </c>
      <c r="AJ80" s="2559"/>
      <c r="AK80" s="2559">
        <v>0</v>
      </c>
      <c r="AL80" s="2560">
        <v>0</v>
      </c>
      <c r="AM80" s="2560">
        <v>0</v>
      </c>
      <c r="AN80" s="2560">
        <v>0</v>
      </c>
      <c r="AO80" s="2560">
        <v>0</v>
      </c>
      <c r="AP80" s="2560">
        <v>0</v>
      </c>
      <c r="AQ80" s="2569">
        <v>0</v>
      </c>
      <c r="AR80" s="2562">
        <v>0</v>
      </c>
      <c r="AS80" s="2562">
        <v>0</v>
      </c>
      <c r="AT80" s="2562">
        <v>0</v>
      </c>
      <c r="AU80" s="2562">
        <v>0</v>
      </c>
      <c r="AV80" s="2562">
        <v>0</v>
      </c>
      <c r="AW80" s="2562">
        <v>0</v>
      </c>
      <c r="AX80" s="2562">
        <v>0</v>
      </c>
      <c r="AY80" s="2562">
        <v>0</v>
      </c>
      <c r="AZ80" s="2562">
        <v>0</v>
      </c>
      <c r="BA80" s="2562">
        <v>0</v>
      </c>
      <c r="BB80" s="2587">
        <v>0</v>
      </c>
      <c r="BC80" s="2565">
        <v>0</v>
      </c>
      <c r="BD80" s="2565">
        <v>0</v>
      </c>
      <c r="BE80" s="2564">
        <v>0</v>
      </c>
      <c r="BF80" s="2565">
        <v>0</v>
      </c>
      <c r="BG80" s="2564">
        <v>0</v>
      </c>
      <c r="BH80" s="2565">
        <v>0</v>
      </c>
      <c r="BI80" s="2565">
        <v>0</v>
      </c>
      <c r="BJ80" s="2565">
        <v>0</v>
      </c>
      <c r="BK80" s="2565">
        <v>0</v>
      </c>
      <c r="BL80" s="2565">
        <v>0</v>
      </c>
      <c r="BM80" s="2565">
        <v>0</v>
      </c>
      <c r="BN80" s="2565">
        <v>0</v>
      </c>
      <c r="BO80" s="2528">
        <v>0</v>
      </c>
      <c r="BP80" s="2532">
        <v>0</v>
      </c>
    </row>
    <row r="81" spans="1:68" s="20" customFormat="1" ht="14.25" x14ac:dyDescent="0.2">
      <c r="A81" s="2545" t="str">
        <f>TRNONSPE</f>
        <v>Non-specified (transport)</v>
      </c>
      <c r="B81" s="2531" t="s">
        <v>1339</v>
      </c>
      <c r="C81" s="2567">
        <v>0</v>
      </c>
      <c r="D81" s="2567">
        <v>0</v>
      </c>
      <c r="E81" s="2567">
        <v>0</v>
      </c>
      <c r="F81" s="2567">
        <v>0</v>
      </c>
      <c r="G81" s="2567">
        <v>0</v>
      </c>
      <c r="H81" s="2567">
        <v>0</v>
      </c>
      <c r="I81" s="2567">
        <v>0</v>
      </c>
      <c r="J81" s="2567">
        <v>0</v>
      </c>
      <c r="K81" s="2567">
        <v>0</v>
      </c>
      <c r="L81" s="2567">
        <v>0</v>
      </c>
      <c r="M81" s="2567">
        <v>0</v>
      </c>
      <c r="N81" s="2567">
        <v>0</v>
      </c>
      <c r="O81" s="2567">
        <v>0</v>
      </c>
      <c r="P81" s="2567">
        <v>0</v>
      </c>
      <c r="Q81" s="2565">
        <v>0</v>
      </c>
      <c r="R81" s="2567">
        <v>0</v>
      </c>
      <c r="S81" s="2567">
        <v>0</v>
      </c>
      <c r="T81" s="2586">
        <v>0</v>
      </c>
      <c r="U81" s="2559">
        <v>0</v>
      </c>
      <c r="V81" s="2559">
        <v>0</v>
      </c>
      <c r="W81" s="2565">
        <v>0</v>
      </c>
      <c r="X81" s="2565">
        <v>0</v>
      </c>
      <c r="Y81" s="2565">
        <v>0</v>
      </c>
      <c r="Z81" s="2559">
        <v>0</v>
      </c>
      <c r="AA81" s="2559"/>
      <c r="AB81" s="2559">
        <v>335.22100830078125</v>
      </c>
      <c r="AC81" s="2559">
        <v>2971.287353515625</v>
      </c>
      <c r="AD81" s="2559"/>
      <c r="AE81" s="2559"/>
      <c r="AF81" s="2559"/>
      <c r="AG81" s="2559">
        <v>72231.038188934326</v>
      </c>
      <c r="AH81" s="2559">
        <v>14099.7841796875</v>
      </c>
      <c r="AI81" s="2559">
        <v>168.81599426269531</v>
      </c>
      <c r="AJ81" s="2559">
        <v>0</v>
      </c>
      <c r="AK81" s="2559">
        <v>0</v>
      </c>
      <c r="AL81" s="2560">
        <v>0</v>
      </c>
      <c r="AM81" s="2560">
        <v>0</v>
      </c>
      <c r="AN81" s="2560">
        <v>0</v>
      </c>
      <c r="AO81" s="2560">
        <v>0</v>
      </c>
      <c r="AP81" s="2560">
        <v>0</v>
      </c>
      <c r="AQ81" s="2569">
        <v>0</v>
      </c>
      <c r="AR81" s="2562">
        <v>0</v>
      </c>
      <c r="AS81" s="2562">
        <v>0</v>
      </c>
      <c r="AT81" s="2562">
        <v>0</v>
      </c>
      <c r="AU81" s="2562">
        <v>0</v>
      </c>
      <c r="AV81" s="2562">
        <v>0</v>
      </c>
      <c r="AW81" s="2562">
        <v>0</v>
      </c>
      <c r="AX81" s="2562">
        <v>0</v>
      </c>
      <c r="AY81" s="2562">
        <v>0</v>
      </c>
      <c r="AZ81" s="2562">
        <v>0</v>
      </c>
      <c r="BA81" s="2562">
        <v>0</v>
      </c>
      <c r="BB81" s="2587">
        <v>0</v>
      </c>
      <c r="BC81" s="2565">
        <v>0</v>
      </c>
      <c r="BD81" s="2565">
        <v>0</v>
      </c>
      <c r="BE81" s="2564">
        <v>0</v>
      </c>
      <c r="BF81" s="2565">
        <v>0</v>
      </c>
      <c r="BG81" s="2564">
        <v>0</v>
      </c>
      <c r="BH81" s="2565">
        <v>0</v>
      </c>
      <c r="BI81" s="2565">
        <v>0</v>
      </c>
      <c r="BJ81" s="2565">
        <v>0</v>
      </c>
      <c r="BK81" s="2565">
        <v>0</v>
      </c>
      <c r="BL81" s="2565">
        <v>0</v>
      </c>
      <c r="BM81" s="2565">
        <v>0</v>
      </c>
      <c r="BN81" s="2564">
        <v>344.81</v>
      </c>
      <c r="BO81" s="2528">
        <v>0</v>
      </c>
      <c r="BP81" s="2532">
        <v>0</v>
      </c>
    </row>
    <row r="82" spans="1:68" s="20" customFormat="1" ht="15" x14ac:dyDescent="0.25">
      <c r="A82" s="2544" t="str">
        <f>TOTOTHER</f>
        <v>Other</v>
      </c>
      <c r="B82" s="2535" t="s">
        <v>1346</v>
      </c>
      <c r="C82" s="2573">
        <f t="shared" ref="C82:V82" si="16">SUM(C83:C87)</f>
        <v>108.919</v>
      </c>
      <c r="D82" s="2573">
        <f t="shared" si="16"/>
        <v>0</v>
      </c>
      <c r="E82" s="2573">
        <f t="shared" si="16"/>
        <v>1296.9879999999998</v>
      </c>
      <c r="F82" s="2573">
        <f t="shared" si="16"/>
        <v>0</v>
      </c>
      <c r="G82" s="2573">
        <f t="shared" si="16"/>
        <v>0</v>
      </c>
      <c r="H82" s="2573">
        <f t="shared" si="16"/>
        <v>0</v>
      </c>
      <c r="I82" s="2573">
        <f t="shared" si="16"/>
        <v>0</v>
      </c>
      <c r="J82" s="2573">
        <f t="shared" si="16"/>
        <v>0</v>
      </c>
      <c r="K82" s="2573">
        <f t="shared" si="16"/>
        <v>0</v>
      </c>
      <c r="L82" s="2573">
        <f t="shared" si="16"/>
        <v>0</v>
      </c>
      <c r="M82" s="2573">
        <f t="shared" si="16"/>
        <v>0</v>
      </c>
      <c r="N82" s="2573">
        <f t="shared" si="16"/>
        <v>0</v>
      </c>
      <c r="O82" s="2573">
        <f t="shared" si="16"/>
        <v>0</v>
      </c>
      <c r="P82" s="2573">
        <f t="shared" si="16"/>
        <v>0</v>
      </c>
      <c r="Q82" s="2573">
        <f t="shared" si="16"/>
        <v>0</v>
      </c>
      <c r="R82" s="2573">
        <f t="shared" si="16"/>
        <v>0</v>
      </c>
      <c r="S82" s="2573">
        <f t="shared" si="16"/>
        <v>0</v>
      </c>
      <c r="T82" s="2574">
        <f t="shared" si="16"/>
        <v>0</v>
      </c>
      <c r="U82" s="2573">
        <f t="shared" si="16"/>
        <v>0</v>
      </c>
      <c r="V82" s="2573">
        <f t="shared" si="16"/>
        <v>0</v>
      </c>
      <c r="W82" s="2573">
        <v>0</v>
      </c>
      <c r="X82" s="2573">
        <v>0</v>
      </c>
      <c r="Y82" s="2573">
        <v>0</v>
      </c>
      <c r="Z82" s="2573">
        <f t="shared" ref="Z82:AZ82" si="17">SUM(Z83:Z87)</f>
        <v>0</v>
      </c>
      <c r="AA82" s="2573">
        <f t="shared" si="17"/>
        <v>0</v>
      </c>
      <c r="AB82" s="2573">
        <f>SUM(AB83:AB87)</f>
        <v>302974.00674000004</v>
      </c>
      <c r="AC82" s="2573">
        <f t="shared" si="17"/>
        <v>1036401.3287</v>
      </c>
      <c r="AD82" s="2573">
        <f t="shared" si="17"/>
        <v>0</v>
      </c>
      <c r="AE82" s="2573">
        <f t="shared" si="17"/>
        <v>211456.54199999999</v>
      </c>
      <c r="AF82" s="2573">
        <f t="shared" si="17"/>
        <v>0</v>
      </c>
      <c r="AG82" s="2573">
        <f t="shared" si="17"/>
        <v>559072.51459999999</v>
      </c>
      <c r="AH82" s="2573">
        <f t="shared" si="17"/>
        <v>5299030.8055400001</v>
      </c>
      <c r="AI82" s="2573">
        <f t="shared" si="17"/>
        <v>322980.04132999998</v>
      </c>
      <c r="AJ82" s="2573">
        <f t="shared" si="17"/>
        <v>1040.01</v>
      </c>
      <c r="AK82" s="2573">
        <f t="shared" si="17"/>
        <v>0</v>
      </c>
      <c r="AL82" s="2573">
        <f t="shared" si="17"/>
        <v>0</v>
      </c>
      <c r="AM82" s="2573">
        <f t="shared" si="17"/>
        <v>0</v>
      </c>
      <c r="AN82" s="2573">
        <f t="shared" si="17"/>
        <v>0</v>
      </c>
      <c r="AO82" s="2573">
        <f t="shared" si="17"/>
        <v>0</v>
      </c>
      <c r="AP82" s="2573">
        <f t="shared" si="17"/>
        <v>0</v>
      </c>
      <c r="AQ82" s="2575">
        <f t="shared" si="17"/>
        <v>1465.9299926757813</v>
      </c>
      <c r="AR82" s="2573">
        <f t="shared" si="17"/>
        <v>0</v>
      </c>
      <c r="AS82" s="2573">
        <f t="shared" si="17"/>
        <v>0</v>
      </c>
      <c r="AT82" s="2573">
        <f t="shared" si="17"/>
        <v>0</v>
      </c>
      <c r="AU82" s="2573">
        <f t="shared" si="17"/>
        <v>344246.09</v>
      </c>
      <c r="AV82" s="2573">
        <f t="shared" si="17"/>
        <v>0</v>
      </c>
      <c r="AW82" s="2573">
        <f t="shared" si="17"/>
        <v>0</v>
      </c>
      <c r="AX82" s="2573">
        <f t="shared" si="17"/>
        <v>0</v>
      </c>
      <c r="AY82" s="2573">
        <f t="shared" si="17"/>
        <v>0</v>
      </c>
      <c r="AZ82" s="2573">
        <f t="shared" si="17"/>
        <v>0</v>
      </c>
      <c r="BA82" s="2573">
        <v>0</v>
      </c>
      <c r="BB82" s="2574">
        <f>SUM(BB83:BB87)</f>
        <v>0</v>
      </c>
      <c r="BC82" s="2573">
        <v>0</v>
      </c>
      <c r="BD82" s="2573">
        <v>0</v>
      </c>
      <c r="BE82" s="2573">
        <f>SUM(BE83:BE87)</f>
        <v>0</v>
      </c>
      <c r="BF82" s="2573">
        <v>0</v>
      </c>
      <c r="BG82" s="2573">
        <f>SUM(BG83:BG87)</f>
        <v>0</v>
      </c>
      <c r="BH82" s="2573">
        <v>0</v>
      </c>
      <c r="BI82" s="2573">
        <v>0</v>
      </c>
      <c r="BJ82" s="2573">
        <v>0</v>
      </c>
      <c r="BK82" s="2573">
        <v>0</v>
      </c>
      <c r="BL82" s="2573">
        <v>0</v>
      </c>
      <c r="BM82" s="2573">
        <v>0</v>
      </c>
      <c r="BN82" s="2573">
        <f>SUM(BN83:BN87)</f>
        <v>92237</v>
      </c>
      <c r="BO82" s="2536">
        <f>SUM(BO83:BO87)</f>
        <v>0</v>
      </c>
      <c r="BP82" s="2537">
        <v>0</v>
      </c>
    </row>
    <row r="83" spans="1:68" s="20" customFormat="1" ht="14.25" x14ac:dyDescent="0.2">
      <c r="A83" s="2545" t="str">
        <f>RESIDENT</f>
        <v>Residential</v>
      </c>
      <c r="B83" s="2531" t="s">
        <v>1353</v>
      </c>
      <c r="C83" s="2567">
        <v>38.399000000000001</v>
      </c>
      <c r="D83" s="2567"/>
      <c r="E83" s="2567">
        <v>635.54999999999995</v>
      </c>
      <c r="F83" s="2567">
        <v>0</v>
      </c>
      <c r="G83" s="2567">
        <v>0</v>
      </c>
      <c r="H83" s="2567">
        <v>0</v>
      </c>
      <c r="I83" s="2567">
        <v>0</v>
      </c>
      <c r="J83" s="2567">
        <v>0</v>
      </c>
      <c r="K83" s="2567">
        <v>0</v>
      </c>
      <c r="L83" s="2567">
        <v>0</v>
      </c>
      <c r="M83" s="2567">
        <v>0</v>
      </c>
      <c r="N83" s="2567">
        <v>0</v>
      </c>
      <c r="O83" s="2567">
        <v>0</v>
      </c>
      <c r="P83" s="2567">
        <v>0</v>
      </c>
      <c r="Q83" s="2565">
        <v>0</v>
      </c>
      <c r="R83" s="2567">
        <v>0</v>
      </c>
      <c r="S83" s="2567">
        <v>0</v>
      </c>
      <c r="T83" s="2586">
        <v>0</v>
      </c>
      <c r="U83" s="2559">
        <v>0</v>
      </c>
      <c r="V83" s="2559">
        <v>0</v>
      </c>
      <c r="W83" s="2565">
        <v>0</v>
      </c>
      <c r="X83" s="2565">
        <v>0</v>
      </c>
      <c r="Y83" s="2565">
        <v>0</v>
      </c>
      <c r="Z83" s="2559">
        <v>0</v>
      </c>
      <c r="AA83" s="2559">
        <v>0</v>
      </c>
      <c r="AB83" s="2559">
        <v>1125.79124</v>
      </c>
      <c r="AC83" s="2559">
        <v>8.6020000000000003</v>
      </c>
      <c r="AD83" s="2559">
        <v>0</v>
      </c>
      <c r="AE83" s="2559"/>
      <c r="AF83" s="2559">
        <v>0</v>
      </c>
      <c r="AG83" s="2559">
        <v>1554.9659999999999</v>
      </c>
      <c r="AH83" s="2559">
        <v>831.51253999999994</v>
      </c>
      <c r="AI83" s="2559">
        <v>0</v>
      </c>
      <c r="AJ83" s="2559">
        <v>0</v>
      </c>
      <c r="AK83" s="2559">
        <v>0</v>
      </c>
      <c r="AL83" s="2560">
        <v>0</v>
      </c>
      <c r="AM83" s="2560">
        <v>0</v>
      </c>
      <c r="AN83" s="2560">
        <v>0</v>
      </c>
      <c r="AO83" s="2560">
        <v>0</v>
      </c>
      <c r="AP83" s="2560">
        <v>0</v>
      </c>
      <c r="AQ83" s="2569">
        <v>231.92999267578125</v>
      </c>
      <c r="AR83" s="2562">
        <v>0</v>
      </c>
      <c r="AS83" s="2562">
        <v>0</v>
      </c>
      <c r="AT83" s="2562">
        <v>0</v>
      </c>
      <c r="AU83" s="2570">
        <v>344246.09</v>
      </c>
      <c r="AV83" s="2562">
        <v>0</v>
      </c>
      <c r="AW83" s="2562">
        <v>0</v>
      </c>
      <c r="AX83" s="2562">
        <v>0</v>
      </c>
      <c r="AY83" s="2562">
        <v>0</v>
      </c>
      <c r="AZ83" s="2562">
        <v>0</v>
      </c>
      <c r="BA83" s="2562">
        <v>0</v>
      </c>
      <c r="BB83" s="2587">
        <v>0</v>
      </c>
      <c r="BC83" s="2565">
        <v>0</v>
      </c>
      <c r="BD83" s="2565">
        <v>0</v>
      </c>
      <c r="BE83" s="2564">
        <v>0</v>
      </c>
      <c r="BF83" s="2565">
        <v>3114.45</v>
      </c>
      <c r="BG83" s="2564">
        <v>0</v>
      </c>
      <c r="BH83" s="2565">
        <v>0</v>
      </c>
      <c r="BI83" s="2565">
        <v>0</v>
      </c>
      <c r="BJ83" s="2565">
        <v>0</v>
      </c>
      <c r="BK83" s="2565">
        <v>0</v>
      </c>
      <c r="BL83" s="2565">
        <v>0</v>
      </c>
      <c r="BM83" s="2565">
        <v>0</v>
      </c>
      <c r="BN83" s="2564">
        <v>48523</v>
      </c>
      <c r="BO83" s="2527">
        <v>0</v>
      </c>
      <c r="BP83" s="2532">
        <v>0</v>
      </c>
    </row>
    <row r="84" spans="1:68" s="20" customFormat="1" ht="14.25" x14ac:dyDescent="0.2">
      <c r="A84" s="2545" t="str">
        <f>COMMPUB</f>
        <v>Commercial and public services</v>
      </c>
      <c r="B84" s="2531" t="s">
        <v>1360</v>
      </c>
      <c r="C84" s="2567">
        <v>0</v>
      </c>
      <c r="D84" s="2567">
        <v>0</v>
      </c>
      <c r="E84" s="2567">
        <v>635.54999999999995</v>
      </c>
      <c r="F84" s="2567">
        <v>0</v>
      </c>
      <c r="G84" s="2567">
        <v>0</v>
      </c>
      <c r="H84" s="2567">
        <v>0</v>
      </c>
      <c r="I84" s="2567">
        <v>0</v>
      </c>
      <c r="J84" s="2567">
        <v>0</v>
      </c>
      <c r="K84" s="2567">
        <v>0</v>
      </c>
      <c r="L84" s="2567">
        <v>0</v>
      </c>
      <c r="M84" s="2567">
        <v>0</v>
      </c>
      <c r="N84" s="2567">
        <v>0</v>
      </c>
      <c r="O84" s="2567">
        <v>0</v>
      </c>
      <c r="P84" s="2567">
        <v>0</v>
      </c>
      <c r="Q84" s="2565">
        <v>0</v>
      </c>
      <c r="R84" s="2567">
        <v>0</v>
      </c>
      <c r="S84" s="2567">
        <v>0</v>
      </c>
      <c r="T84" s="2586">
        <v>0</v>
      </c>
      <c r="U84" s="2559">
        <v>0</v>
      </c>
      <c r="V84" s="2559">
        <v>0</v>
      </c>
      <c r="W84" s="2565">
        <v>0</v>
      </c>
      <c r="X84" s="2565">
        <v>0</v>
      </c>
      <c r="Y84" s="2565">
        <v>0</v>
      </c>
      <c r="Z84" s="2559">
        <v>0</v>
      </c>
      <c r="AA84" s="2559">
        <v>0</v>
      </c>
      <c r="AB84" s="2559">
        <v>301422.71750000003</v>
      </c>
      <c r="AC84" s="2559">
        <v>901878.97490000003</v>
      </c>
      <c r="AD84" s="2559">
        <v>0</v>
      </c>
      <c r="AE84" s="2559">
        <v>211456.54199999999</v>
      </c>
      <c r="AF84" s="2559"/>
      <c r="AG84" s="2559">
        <v>405920.21960000001</v>
      </c>
      <c r="AH84" s="2559">
        <v>4011372.1639999999</v>
      </c>
      <c r="AI84" s="2559">
        <f>280334.5242+447.8824</f>
        <v>280782.40659999999</v>
      </c>
      <c r="AJ84" s="2559">
        <v>1040.01</v>
      </c>
      <c r="AK84" s="2559">
        <v>0</v>
      </c>
      <c r="AL84" s="2560">
        <v>0</v>
      </c>
      <c r="AM84" s="2560">
        <v>0</v>
      </c>
      <c r="AN84" s="2560">
        <v>0</v>
      </c>
      <c r="AO84" s="2560">
        <v>0</v>
      </c>
      <c r="AP84" s="2560">
        <v>0</v>
      </c>
      <c r="AQ84" s="2569">
        <v>1234</v>
      </c>
      <c r="AR84" s="2562">
        <v>0</v>
      </c>
      <c r="AS84" s="2562">
        <v>0</v>
      </c>
      <c r="AT84" s="2562">
        <v>0</v>
      </c>
      <c r="AU84" s="2562">
        <v>0</v>
      </c>
      <c r="AV84" s="2562">
        <v>0</v>
      </c>
      <c r="AW84" s="2562">
        <v>0</v>
      </c>
      <c r="AX84" s="2562">
        <v>0</v>
      </c>
      <c r="AY84" s="2562">
        <v>0</v>
      </c>
      <c r="AZ84" s="2562">
        <v>0</v>
      </c>
      <c r="BA84" s="2562">
        <v>0</v>
      </c>
      <c r="BB84" s="2587">
        <v>0</v>
      </c>
      <c r="BC84" s="2565">
        <v>0</v>
      </c>
      <c r="BD84" s="2565">
        <v>0</v>
      </c>
      <c r="BE84" s="2564">
        <v>0</v>
      </c>
      <c r="BF84" s="2565">
        <v>0</v>
      </c>
      <c r="BG84" s="2564">
        <v>0</v>
      </c>
      <c r="BH84" s="2565">
        <v>0</v>
      </c>
      <c r="BI84" s="2565">
        <v>0</v>
      </c>
      <c r="BJ84" s="2565">
        <v>0</v>
      </c>
      <c r="BK84" s="2565">
        <v>0</v>
      </c>
      <c r="BL84" s="2565">
        <v>0</v>
      </c>
      <c r="BM84" s="2565">
        <v>0</v>
      </c>
      <c r="BN84" s="2564">
        <v>37000</v>
      </c>
      <c r="BO84" s="2527">
        <v>0</v>
      </c>
      <c r="BP84" s="2532">
        <v>0</v>
      </c>
    </row>
    <row r="85" spans="1:68" s="20" customFormat="1" ht="14.25" x14ac:dyDescent="0.2">
      <c r="A85" s="2545" t="str">
        <f>AGRICULT</f>
        <v>Agriculture/forestry</v>
      </c>
      <c r="B85" s="2531" t="s">
        <v>1367</v>
      </c>
      <c r="C85" s="2567">
        <v>0</v>
      </c>
      <c r="D85" s="2567">
        <v>0</v>
      </c>
      <c r="E85" s="2567">
        <v>25.888000000000002</v>
      </c>
      <c r="F85" s="2567">
        <v>0</v>
      </c>
      <c r="G85" s="2567">
        <v>0</v>
      </c>
      <c r="H85" s="2567">
        <v>0</v>
      </c>
      <c r="I85" s="2567">
        <v>0</v>
      </c>
      <c r="J85" s="2567">
        <v>0</v>
      </c>
      <c r="K85" s="2567">
        <v>0</v>
      </c>
      <c r="L85" s="2567">
        <v>0</v>
      </c>
      <c r="M85" s="2567">
        <v>0</v>
      </c>
      <c r="N85" s="2567">
        <v>0</v>
      </c>
      <c r="O85" s="2567">
        <v>0</v>
      </c>
      <c r="P85" s="2567">
        <v>0</v>
      </c>
      <c r="Q85" s="2565">
        <v>0</v>
      </c>
      <c r="R85" s="2567">
        <v>0</v>
      </c>
      <c r="S85" s="2567">
        <v>0</v>
      </c>
      <c r="T85" s="2586">
        <v>0</v>
      </c>
      <c r="U85" s="2559">
        <v>0</v>
      </c>
      <c r="V85" s="2559">
        <v>0</v>
      </c>
      <c r="W85" s="2565">
        <v>0</v>
      </c>
      <c r="X85" s="2565">
        <v>0</v>
      </c>
      <c r="Y85" s="2565">
        <v>0</v>
      </c>
      <c r="Z85" s="2559">
        <v>0</v>
      </c>
      <c r="AA85" s="2559">
        <v>0</v>
      </c>
      <c r="AB85" s="2559">
        <v>0</v>
      </c>
      <c r="AC85" s="2559">
        <v>124206.1568</v>
      </c>
      <c r="AD85" s="2559">
        <v>0</v>
      </c>
      <c r="AE85" s="2559"/>
      <c r="AF85" s="2559">
        <v>0</v>
      </c>
      <c r="AG85" s="2559">
        <v>151585.236</v>
      </c>
      <c r="AH85" s="2559">
        <v>1081687.2150000001</v>
      </c>
      <c r="AI85" s="2559">
        <v>40437.802730000003</v>
      </c>
      <c r="AJ85" s="2559">
        <v>0</v>
      </c>
      <c r="AK85" s="2559">
        <v>0</v>
      </c>
      <c r="AL85" s="2560">
        <v>0</v>
      </c>
      <c r="AM85" s="2560">
        <v>0</v>
      </c>
      <c r="AN85" s="2560">
        <v>0</v>
      </c>
      <c r="AO85" s="2560">
        <v>0</v>
      </c>
      <c r="AP85" s="2560">
        <v>0</v>
      </c>
      <c r="AQ85" s="2569">
        <v>0</v>
      </c>
      <c r="AR85" s="2562">
        <v>0</v>
      </c>
      <c r="AS85" s="2562">
        <v>0</v>
      </c>
      <c r="AT85" s="2562">
        <v>0</v>
      </c>
      <c r="AU85" s="2562">
        <v>0</v>
      </c>
      <c r="AV85" s="2562">
        <v>0</v>
      </c>
      <c r="AW85" s="2562">
        <v>0</v>
      </c>
      <c r="AX85" s="2562">
        <v>0</v>
      </c>
      <c r="AY85" s="2562">
        <v>0</v>
      </c>
      <c r="AZ85" s="2562">
        <v>0</v>
      </c>
      <c r="BA85" s="2562">
        <v>0</v>
      </c>
      <c r="BB85" s="2587">
        <v>0</v>
      </c>
      <c r="BC85" s="2565">
        <v>0</v>
      </c>
      <c r="BD85" s="2565">
        <v>0</v>
      </c>
      <c r="BE85" s="2564">
        <v>0</v>
      </c>
      <c r="BF85" s="2565">
        <v>0</v>
      </c>
      <c r="BG85" s="2564">
        <v>0</v>
      </c>
      <c r="BH85" s="2565">
        <v>0</v>
      </c>
      <c r="BI85" s="2565">
        <v>0</v>
      </c>
      <c r="BJ85" s="2565">
        <v>0</v>
      </c>
      <c r="BK85" s="2565">
        <v>0</v>
      </c>
      <c r="BL85" s="2565">
        <v>0</v>
      </c>
      <c r="BM85" s="2565">
        <v>0</v>
      </c>
      <c r="BN85" s="2564">
        <v>5968</v>
      </c>
      <c r="BO85" s="2527">
        <v>0</v>
      </c>
      <c r="BP85" s="2532">
        <v>0</v>
      </c>
    </row>
    <row r="86" spans="1:68" s="20" customFormat="1" ht="14.25" x14ac:dyDescent="0.2">
      <c r="A86" s="2545" t="str">
        <f>FISHING</f>
        <v>Fishing</v>
      </c>
      <c r="B86" s="2531" t="s">
        <v>1374</v>
      </c>
      <c r="C86" s="2567">
        <v>0</v>
      </c>
      <c r="D86" s="2567">
        <v>0</v>
      </c>
      <c r="E86" s="2567">
        <v>0</v>
      </c>
      <c r="F86" s="2567">
        <v>0</v>
      </c>
      <c r="G86" s="2567">
        <v>0</v>
      </c>
      <c r="H86" s="2567">
        <v>0</v>
      </c>
      <c r="I86" s="2567">
        <v>0</v>
      </c>
      <c r="J86" s="2567">
        <v>0</v>
      </c>
      <c r="K86" s="2567">
        <v>0</v>
      </c>
      <c r="L86" s="2567">
        <v>0</v>
      </c>
      <c r="M86" s="2567">
        <v>0</v>
      </c>
      <c r="N86" s="2567">
        <v>0</v>
      </c>
      <c r="O86" s="2567">
        <v>0</v>
      </c>
      <c r="P86" s="2567">
        <v>0</v>
      </c>
      <c r="Q86" s="2565">
        <v>0</v>
      </c>
      <c r="R86" s="2567">
        <v>0</v>
      </c>
      <c r="S86" s="2567">
        <v>0</v>
      </c>
      <c r="T86" s="2586">
        <v>0</v>
      </c>
      <c r="U86" s="2559">
        <v>0</v>
      </c>
      <c r="V86" s="2559">
        <v>0</v>
      </c>
      <c r="W86" s="2565">
        <v>0</v>
      </c>
      <c r="X86" s="2565">
        <v>0</v>
      </c>
      <c r="Y86" s="2565">
        <v>0</v>
      </c>
      <c r="Z86" s="2559">
        <v>0</v>
      </c>
      <c r="AA86" s="2559">
        <v>0</v>
      </c>
      <c r="AB86" s="2559">
        <v>0</v>
      </c>
      <c r="AC86" s="2559">
        <v>0</v>
      </c>
      <c r="AD86" s="2559">
        <v>0</v>
      </c>
      <c r="AE86" s="2559"/>
      <c r="AF86" s="2559">
        <v>0</v>
      </c>
      <c r="AG86" s="2559">
        <v>0</v>
      </c>
      <c r="AH86" s="2559">
        <v>0</v>
      </c>
      <c r="AI86" s="2559">
        <v>0</v>
      </c>
      <c r="AJ86" s="2559">
        <v>0</v>
      </c>
      <c r="AK86" s="2559">
        <v>0</v>
      </c>
      <c r="AL86" s="2560">
        <v>0</v>
      </c>
      <c r="AM86" s="2560">
        <v>0</v>
      </c>
      <c r="AN86" s="2560">
        <v>0</v>
      </c>
      <c r="AO86" s="2560">
        <v>0</v>
      </c>
      <c r="AP86" s="2560">
        <v>0</v>
      </c>
      <c r="AQ86" s="2569">
        <v>0</v>
      </c>
      <c r="AR86" s="2562">
        <v>0</v>
      </c>
      <c r="AS86" s="2562">
        <v>0</v>
      </c>
      <c r="AT86" s="2562">
        <v>0</v>
      </c>
      <c r="AU86" s="2562">
        <v>0</v>
      </c>
      <c r="AV86" s="2562">
        <v>0</v>
      </c>
      <c r="AW86" s="2562">
        <v>0</v>
      </c>
      <c r="AX86" s="2562">
        <v>0</v>
      </c>
      <c r="AY86" s="2562">
        <v>0</v>
      </c>
      <c r="AZ86" s="2562">
        <v>0</v>
      </c>
      <c r="BA86" s="2562">
        <v>0</v>
      </c>
      <c r="BB86" s="2587">
        <v>0</v>
      </c>
      <c r="BC86" s="2565">
        <v>0</v>
      </c>
      <c r="BD86" s="2565">
        <v>0</v>
      </c>
      <c r="BE86" s="2564">
        <v>0</v>
      </c>
      <c r="BF86" s="2565">
        <v>0</v>
      </c>
      <c r="BG86" s="2564">
        <v>0</v>
      </c>
      <c r="BH86" s="2565">
        <v>0</v>
      </c>
      <c r="BI86" s="2565">
        <v>0</v>
      </c>
      <c r="BJ86" s="2565">
        <v>0</v>
      </c>
      <c r="BK86" s="2565">
        <v>0</v>
      </c>
      <c r="BL86" s="2565">
        <v>0</v>
      </c>
      <c r="BM86" s="2565">
        <v>0</v>
      </c>
      <c r="BN86" s="2564">
        <v>0</v>
      </c>
      <c r="BO86" s="2527">
        <v>0</v>
      </c>
      <c r="BP86" s="2532">
        <v>0</v>
      </c>
    </row>
    <row r="87" spans="1:68" s="20" customFormat="1" ht="14.25" x14ac:dyDescent="0.2">
      <c r="A87" s="2545" t="str">
        <f>OTHNONSPEC</f>
        <v>Non-specified (other)</v>
      </c>
      <c r="B87" s="2531" t="s">
        <v>643</v>
      </c>
      <c r="C87" s="2567">
        <v>70.52</v>
      </c>
      <c r="D87" s="2567"/>
      <c r="E87" s="2567">
        <v>0</v>
      </c>
      <c r="F87" s="2567">
        <v>0</v>
      </c>
      <c r="G87" s="2567">
        <v>0</v>
      </c>
      <c r="H87" s="2567">
        <v>0</v>
      </c>
      <c r="I87" s="2567">
        <v>0</v>
      </c>
      <c r="J87" s="2567">
        <v>0</v>
      </c>
      <c r="K87" s="2567">
        <v>0</v>
      </c>
      <c r="L87" s="2567">
        <v>0</v>
      </c>
      <c r="M87" s="2567">
        <v>0</v>
      </c>
      <c r="N87" s="2567">
        <v>0</v>
      </c>
      <c r="O87" s="2567">
        <v>0</v>
      </c>
      <c r="P87" s="2567">
        <v>0</v>
      </c>
      <c r="Q87" s="2565">
        <v>0</v>
      </c>
      <c r="R87" s="2567">
        <v>0</v>
      </c>
      <c r="S87" s="2567">
        <v>0</v>
      </c>
      <c r="T87" s="2586">
        <v>0</v>
      </c>
      <c r="U87" s="2559">
        <v>0</v>
      </c>
      <c r="V87" s="2559">
        <v>0</v>
      </c>
      <c r="W87" s="2565">
        <v>0</v>
      </c>
      <c r="X87" s="2565">
        <v>0</v>
      </c>
      <c r="Y87" s="2565">
        <v>0</v>
      </c>
      <c r="Z87" s="2559">
        <v>0</v>
      </c>
      <c r="AA87" s="2559">
        <v>0</v>
      </c>
      <c r="AB87" s="2559">
        <v>425.49799999999999</v>
      </c>
      <c r="AC87" s="2559">
        <v>10307.594999999999</v>
      </c>
      <c r="AD87" s="2559">
        <v>0</v>
      </c>
      <c r="AE87" s="2559"/>
      <c r="AF87" s="2559">
        <v>0</v>
      </c>
      <c r="AG87" s="2559">
        <v>12.093</v>
      </c>
      <c r="AH87" s="2559">
        <v>205139.91399999999</v>
      </c>
      <c r="AI87" s="2559">
        <v>1759.8320000000001</v>
      </c>
      <c r="AJ87" s="2559">
        <v>0</v>
      </c>
      <c r="AK87" s="2559">
        <v>0</v>
      </c>
      <c r="AL87" s="2560">
        <v>0</v>
      </c>
      <c r="AM87" s="2560">
        <v>0</v>
      </c>
      <c r="AN87" s="2560">
        <v>0</v>
      </c>
      <c r="AO87" s="2560">
        <v>0</v>
      </c>
      <c r="AP87" s="2560">
        <v>0</v>
      </c>
      <c r="AQ87" s="2569">
        <v>0</v>
      </c>
      <c r="AR87" s="2562">
        <v>0</v>
      </c>
      <c r="AS87" s="2562">
        <v>0</v>
      </c>
      <c r="AT87" s="2562">
        <v>0</v>
      </c>
      <c r="AU87" s="2562">
        <v>0</v>
      </c>
      <c r="AV87" s="2562">
        <v>0</v>
      </c>
      <c r="AW87" s="2562">
        <v>0</v>
      </c>
      <c r="AX87" s="2562">
        <v>0</v>
      </c>
      <c r="AY87" s="2562">
        <v>0</v>
      </c>
      <c r="AZ87" s="2562">
        <v>0</v>
      </c>
      <c r="BA87" s="2562">
        <v>0</v>
      </c>
      <c r="BB87" s="2587">
        <v>0</v>
      </c>
      <c r="BC87" s="2565">
        <v>0</v>
      </c>
      <c r="BD87" s="2565">
        <v>0</v>
      </c>
      <c r="BE87" s="2564">
        <v>0</v>
      </c>
      <c r="BF87" s="2565">
        <v>0</v>
      </c>
      <c r="BG87" s="2564">
        <v>0</v>
      </c>
      <c r="BH87" s="2565">
        <v>0</v>
      </c>
      <c r="BI87" s="2565">
        <v>0</v>
      </c>
      <c r="BJ87" s="2565">
        <v>0</v>
      </c>
      <c r="BK87" s="2565">
        <v>0</v>
      </c>
      <c r="BL87" s="2565">
        <v>0</v>
      </c>
      <c r="BM87" s="2565">
        <v>0</v>
      </c>
      <c r="BN87" s="2564">
        <v>746</v>
      </c>
      <c r="BO87" s="2527">
        <v>0</v>
      </c>
      <c r="BP87" s="2532">
        <v>0</v>
      </c>
    </row>
    <row r="88" spans="1:68" s="20" customFormat="1" ht="15" x14ac:dyDescent="0.25">
      <c r="A88" s="2544" t="str">
        <f>NONENUSE</f>
        <v>Non-energy use</v>
      </c>
      <c r="B88" s="2535" t="s">
        <v>1387</v>
      </c>
      <c r="C88" s="2573">
        <f>SUM(C89:C91)</f>
        <v>0</v>
      </c>
      <c r="D88" s="2573">
        <f t="shared" ref="D88:V88" si="18">SUM(D89:D91)</f>
        <v>0</v>
      </c>
      <c r="E88" s="2573">
        <f t="shared" si="18"/>
        <v>0</v>
      </c>
      <c r="F88" s="2573">
        <f t="shared" si="18"/>
        <v>0</v>
      </c>
      <c r="G88" s="2573">
        <f t="shared" si="18"/>
        <v>0</v>
      </c>
      <c r="H88" s="2573">
        <f t="shared" si="18"/>
        <v>0</v>
      </c>
      <c r="I88" s="2573">
        <f t="shared" si="18"/>
        <v>0</v>
      </c>
      <c r="J88" s="2573">
        <f t="shared" si="18"/>
        <v>0</v>
      </c>
      <c r="K88" s="2573">
        <f t="shared" si="18"/>
        <v>0</v>
      </c>
      <c r="L88" s="2573">
        <f t="shared" si="18"/>
        <v>0</v>
      </c>
      <c r="M88" s="2573">
        <f t="shared" si="18"/>
        <v>0</v>
      </c>
      <c r="N88" s="2573">
        <f t="shared" si="18"/>
        <v>0</v>
      </c>
      <c r="O88" s="2573">
        <f t="shared" si="18"/>
        <v>0</v>
      </c>
      <c r="P88" s="2573">
        <f t="shared" si="18"/>
        <v>0</v>
      </c>
      <c r="Q88" s="2573">
        <f t="shared" si="18"/>
        <v>0</v>
      </c>
      <c r="R88" s="2573">
        <f t="shared" si="18"/>
        <v>0</v>
      </c>
      <c r="S88" s="2573">
        <f t="shared" si="18"/>
        <v>0</v>
      </c>
      <c r="T88" s="2574">
        <f t="shared" si="18"/>
        <v>0</v>
      </c>
      <c r="U88" s="2573">
        <f t="shared" si="18"/>
        <v>0</v>
      </c>
      <c r="V88" s="2573">
        <f t="shared" si="18"/>
        <v>0</v>
      </c>
      <c r="W88" s="2573">
        <v>0</v>
      </c>
      <c r="X88" s="2573">
        <v>0</v>
      </c>
      <c r="Y88" s="2573">
        <v>0</v>
      </c>
      <c r="Z88" s="2573">
        <f t="shared" ref="Z88:AQ88" si="19">SUM(Z89:Z91)</f>
        <v>0</v>
      </c>
      <c r="AA88" s="2573">
        <f t="shared" si="19"/>
        <v>0</v>
      </c>
      <c r="AB88" s="2573">
        <f t="shared" si="19"/>
        <v>0</v>
      </c>
      <c r="AC88" s="2573">
        <f t="shared" si="19"/>
        <v>0</v>
      </c>
      <c r="AD88" s="2573">
        <f t="shared" si="19"/>
        <v>0</v>
      </c>
      <c r="AE88" s="2573">
        <f t="shared" si="19"/>
        <v>0</v>
      </c>
      <c r="AF88" s="2573">
        <f t="shared" si="19"/>
        <v>0</v>
      </c>
      <c r="AG88" s="2573">
        <f t="shared" si="19"/>
        <v>0</v>
      </c>
      <c r="AH88" s="2573">
        <f t="shared" si="19"/>
        <v>0</v>
      </c>
      <c r="AI88" s="2573">
        <f t="shared" si="19"/>
        <v>0</v>
      </c>
      <c r="AJ88" s="2573">
        <f t="shared" si="19"/>
        <v>0</v>
      </c>
      <c r="AK88" s="2573">
        <f t="shared" si="19"/>
        <v>85.689277343750007</v>
      </c>
      <c r="AL88" s="2573">
        <f t="shared" si="19"/>
        <v>319.19884765625</v>
      </c>
      <c r="AM88" s="2573">
        <f t="shared" si="19"/>
        <v>622.82336035156254</v>
      </c>
      <c r="AN88" s="2573">
        <f t="shared" si="19"/>
        <v>337.05264028930662</v>
      </c>
      <c r="AO88" s="2573">
        <f t="shared" si="19"/>
        <v>0</v>
      </c>
      <c r="AP88" s="2573">
        <f t="shared" si="19"/>
        <v>26.908172183990477</v>
      </c>
      <c r="AQ88" s="2575">
        <f t="shared" si="19"/>
        <v>0</v>
      </c>
      <c r="AR88" s="2573">
        <v>0</v>
      </c>
      <c r="AS88" s="2573">
        <v>0</v>
      </c>
      <c r="AT88" s="2573">
        <v>0</v>
      </c>
      <c r="AU88" s="2573">
        <v>0</v>
      </c>
      <c r="AV88" s="2573">
        <v>0</v>
      </c>
      <c r="AW88" s="2573">
        <f>SUM(AW89:AW91)</f>
        <v>0</v>
      </c>
      <c r="AX88" s="2573">
        <f>SUM(AX89:AX91)</f>
        <v>0</v>
      </c>
      <c r="AY88" s="2573">
        <f>SUM(AY89:AY91)</f>
        <v>0</v>
      </c>
      <c r="AZ88" s="2573">
        <f>SUM(AZ89:AZ91)</f>
        <v>0</v>
      </c>
      <c r="BA88" s="2573">
        <v>0</v>
      </c>
      <c r="BB88" s="2574">
        <v>0</v>
      </c>
      <c r="BC88" s="2573">
        <v>0</v>
      </c>
      <c r="BD88" s="2573">
        <v>0</v>
      </c>
      <c r="BE88" s="2573">
        <v>0</v>
      </c>
      <c r="BF88" s="2573">
        <v>0</v>
      </c>
      <c r="BG88" s="2573">
        <v>0</v>
      </c>
      <c r="BH88" s="2573">
        <v>0</v>
      </c>
      <c r="BI88" s="2573">
        <v>0</v>
      </c>
      <c r="BJ88" s="2573">
        <v>0</v>
      </c>
      <c r="BK88" s="2573">
        <v>0</v>
      </c>
      <c r="BL88" s="2573">
        <v>0</v>
      </c>
      <c r="BM88" s="2573">
        <v>0</v>
      </c>
      <c r="BN88" s="2573">
        <v>0</v>
      </c>
      <c r="BO88" s="2536">
        <v>0</v>
      </c>
      <c r="BP88" s="2537">
        <v>0</v>
      </c>
    </row>
    <row r="89" spans="1:68" s="20" customFormat="1" ht="14.25" x14ac:dyDescent="0.2">
      <c r="A89" s="2545" t="str">
        <f>NEINTREN</f>
        <v>Non-energy use industry/transformation/energy</v>
      </c>
      <c r="B89" s="2531" t="s">
        <v>1394</v>
      </c>
      <c r="C89" s="2567">
        <v>0</v>
      </c>
      <c r="D89" s="2567">
        <v>0</v>
      </c>
      <c r="E89" s="2567">
        <v>0</v>
      </c>
      <c r="F89" s="2567">
        <v>0</v>
      </c>
      <c r="G89" s="2567">
        <v>0</v>
      </c>
      <c r="H89" s="2567">
        <v>0</v>
      </c>
      <c r="I89" s="2567">
        <v>0</v>
      </c>
      <c r="J89" s="2567">
        <v>0</v>
      </c>
      <c r="K89" s="2567">
        <v>0</v>
      </c>
      <c r="L89" s="2567">
        <v>0</v>
      </c>
      <c r="M89" s="2567">
        <v>0</v>
      </c>
      <c r="N89" s="2567">
        <v>0</v>
      </c>
      <c r="O89" s="2567">
        <v>0</v>
      </c>
      <c r="P89" s="2567">
        <v>0</v>
      </c>
      <c r="Q89" s="2565">
        <v>0</v>
      </c>
      <c r="R89" s="2567">
        <v>0</v>
      </c>
      <c r="S89" s="2567">
        <v>0</v>
      </c>
      <c r="T89" s="2586">
        <v>0</v>
      </c>
      <c r="U89" s="2559">
        <v>0</v>
      </c>
      <c r="V89" s="2559">
        <v>0</v>
      </c>
      <c r="W89" s="2565">
        <v>0</v>
      </c>
      <c r="X89" s="2565">
        <v>0</v>
      </c>
      <c r="Y89" s="2565">
        <v>0</v>
      </c>
      <c r="Z89" s="2559">
        <v>0</v>
      </c>
      <c r="AA89" s="2559">
        <v>0</v>
      </c>
      <c r="AB89" s="2559">
        <v>0</v>
      </c>
      <c r="AC89" s="2559">
        <v>0</v>
      </c>
      <c r="AD89" s="2559">
        <v>0</v>
      </c>
      <c r="AE89" s="2559">
        <v>0</v>
      </c>
      <c r="AF89" s="2559">
        <v>0</v>
      </c>
      <c r="AG89" s="2559">
        <v>0</v>
      </c>
      <c r="AH89" s="2559">
        <v>0</v>
      </c>
      <c r="AI89" s="2559">
        <v>0</v>
      </c>
      <c r="AJ89" s="2559">
        <v>0</v>
      </c>
      <c r="AK89" s="2559">
        <v>44.304589843750001</v>
      </c>
      <c r="AL89" s="2560">
        <v>38.180164062499998</v>
      </c>
      <c r="AM89" s="2560">
        <v>236.442375</v>
      </c>
      <c r="AN89" s="2560">
        <v>96.263179687499999</v>
      </c>
      <c r="AO89" s="2560"/>
      <c r="AP89" s="2560">
        <v>26.623009765625</v>
      </c>
      <c r="AQ89" s="2569">
        <v>0</v>
      </c>
      <c r="AR89" s="2565">
        <v>0</v>
      </c>
      <c r="AS89" s="2565">
        <v>0</v>
      </c>
      <c r="AT89" s="2565">
        <v>0</v>
      </c>
      <c r="AU89" s="2565">
        <v>0</v>
      </c>
      <c r="AV89" s="2565">
        <v>0</v>
      </c>
      <c r="AW89" s="2562">
        <v>0</v>
      </c>
      <c r="AX89" s="2562">
        <v>0</v>
      </c>
      <c r="AY89" s="2562">
        <v>0</v>
      </c>
      <c r="AZ89" s="2565">
        <v>0</v>
      </c>
      <c r="BA89" s="2565">
        <v>0</v>
      </c>
      <c r="BB89" s="2576">
        <v>0</v>
      </c>
      <c r="BC89" s="2565">
        <v>0</v>
      </c>
      <c r="BD89" s="2565">
        <v>0</v>
      </c>
      <c r="BE89" s="2565">
        <v>0</v>
      </c>
      <c r="BF89" s="2565">
        <v>0</v>
      </c>
      <c r="BG89" s="2565">
        <v>0</v>
      </c>
      <c r="BH89" s="2565">
        <v>0</v>
      </c>
      <c r="BI89" s="2565">
        <v>0</v>
      </c>
      <c r="BJ89" s="2565">
        <v>0</v>
      </c>
      <c r="BK89" s="2565">
        <v>0</v>
      </c>
      <c r="BL89" s="2565">
        <v>0</v>
      </c>
      <c r="BM89" s="2565">
        <v>0</v>
      </c>
      <c r="BN89" s="2565">
        <v>0</v>
      </c>
      <c r="BO89" s="2528">
        <v>0</v>
      </c>
      <c r="BP89" s="2532">
        <v>0</v>
      </c>
    </row>
    <row r="90" spans="1:68" s="20" customFormat="1" ht="14.25" x14ac:dyDescent="0.2">
      <c r="A90" s="2545" t="str">
        <f>NETRANS</f>
        <v>Non-energy use in transport</v>
      </c>
      <c r="B90" s="2531" t="s">
        <v>1401</v>
      </c>
      <c r="C90" s="2567">
        <v>0</v>
      </c>
      <c r="D90" s="2567">
        <v>0</v>
      </c>
      <c r="E90" s="2567">
        <v>0</v>
      </c>
      <c r="F90" s="2567">
        <v>0</v>
      </c>
      <c r="G90" s="2567">
        <v>0</v>
      </c>
      <c r="H90" s="2567">
        <v>0</v>
      </c>
      <c r="I90" s="2567">
        <v>0</v>
      </c>
      <c r="J90" s="2567">
        <v>0</v>
      </c>
      <c r="K90" s="2567">
        <v>0</v>
      </c>
      <c r="L90" s="2567">
        <v>0</v>
      </c>
      <c r="M90" s="2567">
        <v>0</v>
      </c>
      <c r="N90" s="2567">
        <v>0</v>
      </c>
      <c r="O90" s="2567">
        <v>0</v>
      </c>
      <c r="P90" s="2567">
        <v>0</v>
      </c>
      <c r="Q90" s="2565">
        <v>0</v>
      </c>
      <c r="R90" s="2567">
        <v>0</v>
      </c>
      <c r="S90" s="2567">
        <v>0</v>
      </c>
      <c r="T90" s="2586">
        <v>0</v>
      </c>
      <c r="U90" s="2559">
        <v>0</v>
      </c>
      <c r="V90" s="2559">
        <v>0</v>
      </c>
      <c r="W90" s="2565">
        <v>0</v>
      </c>
      <c r="X90" s="2565">
        <v>0</v>
      </c>
      <c r="Y90" s="2565">
        <v>0</v>
      </c>
      <c r="Z90" s="2559">
        <v>0</v>
      </c>
      <c r="AA90" s="2559">
        <v>0</v>
      </c>
      <c r="AB90" s="2559">
        <v>0</v>
      </c>
      <c r="AC90" s="2559">
        <v>0</v>
      </c>
      <c r="AD90" s="2559">
        <v>0</v>
      </c>
      <c r="AE90" s="2559">
        <v>0</v>
      </c>
      <c r="AF90" s="2559">
        <v>0</v>
      </c>
      <c r="AG90" s="2559">
        <v>0</v>
      </c>
      <c r="AH90" s="2559">
        <v>0</v>
      </c>
      <c r="AI90" s="2559">
        <v>0</v>
      </c>
      <c r="AJ90" s="2559">
        <v>0</v>
      </c>
      <c r="AK90" s="2559">
        <v>16.689181640625002</v>
      </c>
      <c r="AL90" s="2560">
        <v>35.28243359375</v>
      </c>
      <c r="AM90" s="2560">
        <v>373.82943749999998</v>
      </c>
      <c r="AN90" s="2560">
        <v>240.34765625</v>
      </c>
      <c r="AO90" s="2560"/>
      <c r="AP90" s="2560">
        <v>0.245289001464844</v>
      </c>
      <c r="AQ90" s="2569">
        <v>0</v>
      </c>
      <c r="AR90" s="2565">
        <v>0</v>
      </c>
      <c r="AS90" s="2565">
        <v>0</v>
      </c>
      <c r="AT90" s="2565">
        <v>0</v>
      </c>
      <c r="AU90" s="2565">
        <v>0</v>
      </c>
      <c r="AV90" s="2565">
        <v>0</v>
      </c>
      <c r="AW90" s="2562">
        <v>0</v>
      </c>
      <c r="AX90" s="2562">
        <v>0</v>
      </c>
      <c r="AY90" s="2562">
        <v>0</v>
      </c>
      <c r="AZ90" s="2565">
        <v>0</v>
      </c>
      <c r="BA90" s="2565">
        <v>0</v>
      </c>
      <c r="BB90" s="2576">
        <v>0</v>
      </c>
      <c r="BC90" s="2565">
        <v>0</v>
      </c>
      <c r="BD90" s="2565">
        <v>0</v>
      </c>
      <c r="BE90" s="2565">
        <v>0</v>
      </c>
      <c r="BF90" s="2565">
        <v>0</v>
      </c>
      <c r="BG90" s="2565">
        <v>0</v>
      </c>
      <c r="BH90" s="2565">
        <v>0</v>
      </c>
      <c r="BI90" s="2565">
        <v>0</v>
      </c>
      <c r="BJ90" s="2565">
        <v>0</v>
      </c>
      <c r="BK90" s="2565">
        <v>0</v>
      </c>
      <c r="BL90" s="2565">
        <v>0</v>
      </c>
      <c r="BM90" s="2565">
        <v>0</v>
      </c>
      <c r="BN90" s="2565">
        <v>0</v>
      </c>
      <c r="BO90" s="2528">
        <v>0</v>
      </c>
      <c r="BP90" s="2532">
        <v>0</v>
      </c>
    </row>
    <row r="91" spans="1:68" s="20" customFormat="1" ht="14.25" x14ac:dyDescent="0.2">
      <c r="A91" s="2545" t="str">
        <f>NEOTHER</f>
        <v>Non-energy use in other</v>
      </c>
      <c r="B91" s="2531" t="s">
        <v>1408</v>
      </c>
      <c r="C91" s="2567">
        <v>0</v>
      </c>
      <c r="D91" s="2567">
        <v>0</v>
      </c>
      <c r="E91" s="2567">
        <v>0</v>
      </c>
      <c r="F91" s="2567">
        <v>0</v>
      </c>
      <c r="G91" s="2567">
        <v>0</v>
      </c>
      <c r="H91" s="2567">
        <v>0</v>
      </c>
      <c r="I91" s="2567">
        <v>0</v>
      </c>
      <c r="J91" s="2567">
        <v>0</v>
      </c>
      <c r="K91" s="2567">
        <v>0</v>
      </c>
      <c r="L91" s="2567">
        <v>0</v>
      </c>
      <c r="M91" s="2567">
        <v>0</v>
      </c>
      <c r="N91" s="2567">
        <v>0</v>
      </c>
      <c r="O91" s="2567">
        <v>0</v>
      </c>
      <c r="P91" s="2567">
        <v>0</v>
      </c>
      <c r="Q91" s="2565">
        <v>0</v>
      </c>
      <c r="R91" s="2567">
        <v>0</v>
      </c>
      <c r="S91" s="2567">
        <v>0</v>
      </c>
      <c r="T91" s="2586">
        <v>0</v>
      </c>
      <c r="U91" s="2559">
        <v>0</v>
      </c>
      <c r="V91" s="2559">
        <v>0</v>
      </c>
      <c r="W91" s="2565">
        <v>0</v>
      </c>
      <c r="X91" s="2565">
        <v>0</v>
      </c>
      <c r="Y91" s="2565">
        <v>0</v>
      </c>
      <c r="Z91" s="2559">
        <v>0</v>
      </c>
      <c r="AA91" s="2559">
        <v>0</v>
      </c>
      <c r="AB91" s="2559">
        <v>0</v>
      </c>
      <c r="AC91" s="2559">
        <v>0</v>
      </c>
      <c r="AD91" s="2559">
        <v>0</v>
      </c>
      <c r="AE91" s="2559">
        <v>0</v>
      </c>
      <c r="AF91" s="2559">
        <v>0</v>
      </c>
      <c r="AG91" s="2559">
        <v>0</v>
      </c>
      <c r="AH91" s="2559">
        <v>0</v>
      </c>
      <c r="AI91" s="2559">
        <v>0</v>
      </c>
      <c r="AJ91" s="2559">
        <v>0</v>
      </c>
      <c r="AK91" s="2559">
        <v>24.695505859375</v>
      </c>
      <c r="AL91" s="2560">
        <v>245.73625000000001</v>
      </c>
      <c r="AM91" s="2560">
        <v>12.5515478515625</v>
      </c>
      <c r="AN91" s="2560">
        <v>0.44180435180664102</v>
      </c>
      <c r="AO91" s="2560"/>
      <c r="AP91" s="2560">
        <v>3.9873416900634798E-2</v>
      </c>
      <c r="AQ91" s="2569">
        <v>0</v>
      </c>
      <c r="AR91" s="2565">
        <v>0</v>
      </c>
      <c r="AS91" s="2565">
        <v>0</v>
      </c>
      <c r="AT91" s="2565">
        <v>0</v>
      </c>
      <c r="AU91" s="2565">
        <v>0</v>
      </c>
      <c r="AV91" s="2565">
        <v>0</v>
      </c>
      <c r="AW91" s="2562">
        <v>0</v>
      </c>
      <c r="AX91" s="2562">
        <v>0</v>
      </c>
      <c r="AY91" s="2562">
        <v>0</v>
      </c>
      <c r="AZ91" s="2565">
        <v>0</v>
      </c>
      <c r="BA91" s="2565">
        <v>0</v>
      </c>
      <c r="BB91" s="2576">
        <v>0</v>
      </c>
      <c r="BC91" s="2565">
        <v>0</v>
      </c>
      <c r="BD91" s="2565">
        <v>0</v>
      </c>
      <c r="BE91" s="2565">
        <v>0</v>
      </c>
      <c r="BF91" s="2565">
        <v>0</v>
      </c>
      <c r="BG91" s="2565">
        <v>0</v>
      </c>
      <c r="BH91" s="2565">
        <v>0</v>
      </c>
      <c r="BI91" s="2565">
        <v>0</v>
      </c>
      <c r="BJ91" s="2565">
        <v>0</v>
      </c>
      <c r="BK91" s="2565">
        <v>0</v>
      </c>
      <c r="BL91" s="2565">
        <v>0</v>
      </c>
      <c r="BM91" s="2565">
        <v>0</v>
      </c>
      <c r="BN91" s="2565">
        <v>0</v>
      </c>
      <c r="BO91" s="2528">
        <v>0</v>
      </c>
      <c r="BP91" s="2532">
        <v>0</v>
      </c>
    </row>
    <row r="92" spans="1:68" s="20" customFormat="1" ht="14.25" x14ac:dyDescent="0.2">
      <c r="A92" s="2546" t="str">
        <f>NECHEM</f>
        <v>Memo: Non-energy use chemical/petrochemical</v>
      </c>
      <c r="B92" s="2531" t="s">
        <v>1415</v>
      </c>
      <c r="C92" s="2598">
        <v>0</v>
      </c>
      <c r="D92" s="2598">
        <v>0</v>
      </c>
      <c r="E92" s="2567">
        <v>16500</v>
      </c>
      <c r="F92" s="2598">
        <v>0</v>
      </c>
      <c r="G92" s="2598">
        <v>0</v>
      </c>
      <c r="H92" s="2598">
        <v>0</v>
      </c>
      <c r="I92" s="2598">
        <v>0</v>
      </c>
      <c r="J92" s="2598">
        <v>0</v>
      </c>
      <c r="K92" s="2598">
        <v>0</v>
      </c>
      <c r="L92" s="2598">
        <v>0</v>
      </c>
      <c r="M92" s="2598">
        <v>0</v>
      </c>
      <c r="N92" s="2598">
        <v>0</v>
      </c>
      <c r="O92" s="2598">
        <v>0</v>
      </c>
      <c r="P92" s="2598">
        <v>0</v>
      </c>
      <c r="Q92" s="2599">
        <v>0</v>
      </c>
      <c r="R92" s="2598">
        <v>0</v>
      </c>
      <c r="S92" s="2598">
        <v>0</v>
      </c>
      <c r="T92" s="2600">
        <v>0</v>
      </c>
      <c r="U92" s="2601">
        <v>0</v>
      </c>
      <c r="V92" s="2601">
        <v>0</v>
      </c>
      <c r="W92" s="2599">
        <v>0</v>
      </c>
      <c r="X92" s="2599">
        <v>0</v>
      </c>
      <c r="Y92" s="2599">
        <v>0</v>
      </c>
      <c r="Z92" s="2601">
        <v>0</v>
      </c>
      <c r="AA92" s="2601">
        <v>0</v>
      </c>
      <c r="AB92" s="2601">
        <v>0</v>
      </c>
      <c r="AC92" s="2601">
        <v>0</v>
      </c>
      <c r="AD92" s="2601">
        <v>0</v>
      </c>
      <c r="AE92" s="2601">
        <v>0</v>
      </c>
      <c r="AF92" s="2601">
        <v>0</v>
      </c>
      <c r="AG92" s="2601">
        <v>0</v>
      </c>
      <c r="AH92" s="2601">
        <v>0</v>
      </c>
      <c r="AI92" s="2601">
        <v>0</v>
      </c>
      <c r="AJ92" s="2601">
        <v>0</v>
      </c>
      <c r="AK92" s="2601">
        <v>0</v>
      </c>
      <c r="AL92" s="2602">
        <v>0</v>
      </c>
      <c r="AM92" s="2602">
        <v>0</v>
      </c>
      <c r="AN92" s="2602">
        <v>0</v>
      </c>
      <c r="AO92" s="2602">
        <v>0</v>
      </c>
      <c r="AP92" s="2602">
        <v>0</v>
      </c>
      <c r="AQ92" s="2603">
        <v>0</v>
      </c>
      <c r="AR92" s="2599">
        <v>0</v>
      </c>
      <c r="AS92" s="2599">
        <v>0</v>
      </c>
      <c r="AT92" s="2599">
        <v>0</v>
      </c>
      <c r="AU92" s="2599">
        <v>0</v>
      </c>
      <c r="AV92" s="2599">
        <v>0</v>
      </c>
      <c r="AW92" s="2604">
        <v>0</v>
      </c>
      <c r="AX92" s="2604">
        <v>0</v>
      </c>
      <c r="AY92" s="2604">
        <v>0</v>
      </c>
      <c r="AZ92" s="2599">
        <v>0</v>
      </c>
      <c r="BA92" s="2599">
        <v>0</v>
      </c>
      <c r="BB92" s="2605">
        <v>0</v>
      </c>
      <c r="BC92" s="2599">
        <v>0</v>
      </c>
      <c r="BD92" s="2599">
        <v>0</v>
      </c>
      <c r="BE92" s="2599">
        <v>0</v>
      </c>
      <c r="BF92" s="2599">
        <v>0</v>
      </c>
      <c r="BG92" s="2599">
        <v>0</v>
      </c>
      <c r="BH92" s="2599">
        <v>0</v>
      </c>
      <c r="BI92" s="2599">
        <v>0</v>
      </c>
      <c r="BJ92" s="2599">
        <v>0</v>
      </c>
      <c r="BK92" s="2599">
        <v>0</v>
      </c>
      <c r="BL92" s="2599">
        <v>0</v>
      </c>
      <c r="BM92" s="2599">
        <v>0</v>
      </c>
      <c r="BN92" s="2599">
        <v>0</v>
      </c>
      <c r="BO92" s="2547">
        <v>0</v>
      </c>
      <c r="BP92" s="2548">
        <v>0</v>
      </c>
    </row>
    <row r="93" spans="1:68" s="20" customFormat="1" ht="15" x14ac:dyDescent="0.25">
      <c r="A93" s="2534" t="str">
        <f>ELOUTPUT</f>
        <v>Electricity output in GWh</v>
      </c>
      <c r="B93" s="2535" t="s">
        <v>1425</v>
      </c>
      <c r="C93" s="2573">
        <f t="shared" ref="C93:V93" si="20">SUM(C94:C97)</f>
        <v>0</v>
      </c>
      <c r="D93" s="2573">
        <f t="shared" si="20"/>
        <v>0</v>
      </c>
      <c r="E93" s="2573">
        <f t="shared" si="20"/>
        <v>200341.94</v>
      </c>
      <c r="F93" s="2573">
        <f t="shared" si="20"/>
        <v>0</v>
      </c>
      <c r="G93" s="2573">
        <f t="shared" si="20"/>
        <v>0</v>
      </c>
      <c r="H93" s="2573">
        <f t="shared" si="20"/>
        <v>0</v>
      </c>
      <c r="I93" s="2573">
        <f t="shared" si="20"/>
        <v>0</v>
      </c>
      <c r="J93" s="2573">
        <f t="shared" si="20"/>
        <v>0</v>
      </c>
      <c r="K93" s="2573">
        <f t="shared" si="20"/>
        <v>0</v>
      </c>
      <c r="L93" s="2573">
        <f t="shared" si="20"/>
        <v>0</v>
      </c>
      <c r="M93" s="2573">
        <f t="shared" si="20"/>
        <v>0</v>
      </c>
      <c r="N93" s="2573">
        <f t="shared" si="20"/>
        <v>0</v>
      </c>
      <c r="O93" s="2573">
        <f t="shared" si="20"/>
        <v>0</v>
      </c>
      <c r="P93" s="2573">
        <f t="shared" si="20"/>
        <v>0</v>
      </c>
      <c r="Q93" s="2573">
        <f t="shared" si="20"/>
        <v>0</v>
      </c>
      <c r="R93" s="2573">
        <f t="shared" si="20"/>
        <v>0</v>
      </c>
      <c r="S93" s="2573">
        <f t="shared" si="20"/>
        <v>0</v>
      </c>
      <c r="T93" s="2574">
        <f t="shared" si="20"/>
        <v>0</v>
      </c>
      <c r="U93" s="2573">
        <f t="shared" si="20"/>
        <v>0</v>
      </c>
      <c r="V93" s="2573">
        <f t="shared" si="20"/>
        <v>0</v>
      </c>
      <c r="W93" s="2573">
        <v>0</v>
      </c>
      <c r="X93" s="2573">
        <v>0</v>
      </c>
      <c r="Y93" s="2573">
        <v>0</v>
      </c>
      <c r="Z93" s="2573">
        <f>SUM(Z94:Z97)</f>
        <v>0</v>
      </c>
      <c r="AA93" s="2573">
        <v>0</v>
      </c>
      <c r="AB93" s="2573">
        <f>SUM(AB94:AB97)</f>
        <v>0</v>
      </c>
      <c r="AC93" s="2573">
        <v>0</v>
      </c>
      <c r="AD93" s="2573">
        <v>0</v>
      </c>
      <c r="AE93" s="2573">
        <v>0</v>
      </c>
      <c r="AF93" s="2573">
        <f>SUM(AF94:AF97)</f>
        <v>0</v>
      </c>
      <c r="AG93" s="2573">
        <f>SUM(AG94:AG97)</f>
        <v>0</v>
      </c>
      <c r="AH93" s="2573">
        <f>SUM(AH94:AH97)</f>
        <v>0</v>
      </c>
      <c r="AI93" s="2573">
        <f>SUM(AI94:AI97)</f>
        <v>0</v>
      </c>
      <c r="AJ93" s="2573">
        <f>SUM(AJ94:AJ97)</f>
        <v>0</v>
      </c>
      <c r="AK93" s="2573">
        <v>0</v>
      </c>
      <c r="AL93" s="2573">
        <v>0</v>
      </c>
      <c r="AM93" s="2573">
        <f>SUM(AM94:AM97)</f>
        <v>0</v>
      </c>
      <c r="AN93" s="2573">
        <v>0</v>
      </c>
      <c r="AO93" s="2573">
        <f t="shared" ref="AO93:AW93" si="21">SUM(AO94:AO97)</f>
        <v>0</v>
      </c>
      <c r="AP93" s="2573">
        <f t="shared" si="21"/>
        <v>0</v>
      </c>
      <c r="AQ93" s="2575">
        <f t="shared" si="21"/>
        <v>0</v>
      </c>
      <c r="AR93" s="2573">
        <f t="shared" si="21"/>
        <v>0</v>
      </c>
      <c r="AS93" s="2573">
        <f t="shared" si="21"/>
        <v>0</v>
      </c>
      <c r="AT93" s="2573">
        <f t="shared" si="21"/>
        <v>0</v>
      </c>
      <c r="AU93" s="2573">
        <f t="shared" si="21"/>
        <v>309.06</v>
      </c>
      <c r="AV93" s="2573">
        <f t="shared" si="21"/>
        <v>0</v>
      </c>
      <c r="AW93" s="2573">
        <f t="shared" si="21"/>
        <v>0</v>
      </c>
      <c r="AX93" s="2573">
        <v>0</v>
      </c>
      <c r="AY93" s="2573">
        <v>0</v>
      </c>
      <c r="AZ93" s="2573">
        <f>SUM(AZ94:AZ97)</f>
        <v>0</v>
      </c>
      <c r="BA93" s="2573">
        <v>0</v>
      </c>
      <c r="BB93" s="2574">
        <v>0</v>
      </c>
      <c r="BC93" s="2573">
        <f t="shared" ref="BC93:BI93" si="22">SUM(BC94:BC97)</f>
        <v>14214</v>
      </c>
      <c r="BD93" s="2573">
        <f t="shared" si="22"/>
        <v>781.8</v>
      </c>
      <c r="BE93" s="2573">
        <f t="shared" si="22"/>
        <v>0</v>
      </c>
      <c r="BF93" s="2573">
        <f t="shared" si="22"/>
        <v>3040.85</v>
      </c>
      <c r="BG93" s="2573">
        <f t="shared" si="22"/>
        <v>0</v>
      </c>
      <c r="BH93" s="2573">
        <f t="shared" si="22"/>
        <v>0</v>
      </c>
      <c r="BI93" s="2573">
        <f t="shared" si="22"/>
        <v>6466.85</v>
      </c>
      <c r="BJ93" s="2573">
        <v>0</v>
      </c>
      <c r="BK93" s="2573">
        <v>0</v>
      </c>
      <c r="BL93" s="2573">
        <f>SUM(BL94:BL97)</f>
        <v>0</v>
      </c>
      <c r="BM93" s="2573">
        <f>SUM(BM94:BM97)</f>
        <v>0</v>
      </c>
      <c r="BN93" s="2573">
        <f>SUM(BN94:BN97)</f>
        <v>226032.02</v>
      </c>
      <c r="BO93" s="2536">
        <v>0</v>
      </c>
      <c r="BP93" s="2537">
        <v>0</v>
      </c>
    </row>
    <row r="94" spans="1:68" s="20" customFormat="1" ht="14.25" x14ac:dyDescent="0.2">
      <c r="A94" s="2549" t="str">
        <f>HLOOKUP(LangChoice,Definitions_FlowLang!$C$2:$E$112,MATCH($B94,Definitions_FlowLang!$B$2:$B$112,0),FALSE)</f>
        <v>Elec output-main activity producer ele plants</v>
      </c>
      <c r="B94" s="2531" t="s">
        <v>1432</v>
      </c>
      <c r="C94" s="2567">
        <v>0</v>
      </c>
      <c r="D94" s="2567">
        <v>0</v>
      </c>
      <c r="E94" s="2598">
        <v>194357</v>
      </c>
      <c r="F94" s="2567">
        <v>0</v>
      </c>
      <c r="G94" s="2567">
        <v>0</v>
      </c>
      <c r="H94" s="2567">
        <v>0</v>
      </c>
      <c r="I94" s="2567">
        <v>0</v>
      </c>
      <c r="J94" s="2567">
        <v>0</v>
      </c>
      <c r="K94" s="2567">
        <v>0</v>
      </c>
      <c r="L94" s="2567">
        <v>0</v>
      </c>
      <c r="M94" s="2567">
        <v>0</v>
      </c>
      <c r="N94" s="2567">
        <v>0</v>
      </c>
      <c r="O94" s="2567">
        <v>0</v>
      </c>
      <c r="P94" s="2567">
        <v>0</v>
      </c>
      <c r="Q94" s="2567">
        <v>0</v>
      </c>
      <c r="R94" s="2567">
        <v>0</v>
      </c>
      <c r="S94" s="2567">
        <v>0</v>
      </c>
      <c r="T94" s="2586">
        <v>0</v>
      </c>
      <c r="U94" s="2559">
        <v>0</v>
      </c>
      <c r="V94" s="2559">
        <v>0</v>
      </c>
      <c r="W94" s="2565">
        <v>0</v>
      </c>
      <c r="X94" s="2565">
        <v>0</v>
      </c>
      <c r="Y94" s="2565">
        <v>0</v>
      </c>
      <c r="Z94" s="2559">
        <v>0</v>
      </c>
      <c r="AA94" s="2565">
        <v>0</v>
      </c>
      <c r="AB94" s="2559">
        <v>0</v>
      </c>
      <c r="AC94" s="2565">
        <v>0</v>
      </c>
      <c r="AD94" s="2565">
        <v>0</v>
      </c>
      <c r="AE94" s="2565">
        <v>0</v>
      </c>
      <c r="AF94" s="2559">
        <v>0</v>
      </c>
      <c r="AG94" s="2559">
        <v>0</v>
      </c>
      <c r="AH94" s="2559">
        <v>0</v>
      </c>
      <c r="AI94" s="2559">
        <v>0</v>
      </c>
      <c r="AJ94" s="2559">
        <v>0</v>
      </c>
      <c r="AK94" s="2565">
        <v>0</v>
      </c>
      <c r="AL94" s="2560">
        <v>0</v>
      </c>
      <c r="AM94" s="2560">
        <v>0</v>
      </c>
      <c r="AN94" s="2560">
        <v>0</v>
      </c>
      <c r="AO94" s="2560">
        <v>0</v>
      </c>
      <c r="AP94" s="2560">
        <v>0</v>
      </c>
      <c r="AQ94" s="2569">
        <v>0</v>
      </c>
      <c r="AR94" s="2562">
        <v>0</v>
      </c>
      <c r="AS94" s="2562">
        <v>0</v>
      </c>
      <c r="AT94" s="2562">
        <v>0</v>
      </c>
      <c r="AU94" s="2562">
        <v>0</v>
      </c>
      <c r="AV94" s="2562">
        <v>0</v>
      </c>
      <c r="AW94" s="2565">
        <v>0</v>
      </c>
      <c r="AX94" s="2565">
        <v>0</v>
      </c>
      <c r="AY94" s="2562">
        <v>0</v>
      </c>
      <c r="AZ94" s="2562">
        <v>0</v>
      </c>
      <c r="BA94" s="2565">
        <v>0</v>
      </c>
      <c r="BB94" s="2576">
        <v>0</v>
      </c>
      <c r="BC94" s="2566">
        <v>14214</v>
      </c>
      <c r="BD94" s="2566">
        <v>677.51</v>
      </c>
      <c r="BE94" s="2564">
        <v>0</v>
      </c>
      <c r="BF94" s="2564">
        <v>0</v>
      </c>
      <c r="BG94" s="2564">
        <v>0</v>
      </c>
      <c r="BH94" s="2564">
        <v>0</v>
      </c>
      <c r="BI94" s="2566">
        <v>283</v>
      </c>
      <c r="BJ94" s="2565">
        <v>0</v>
      </c>
      <c r="BK94" s="2565">
        <v>0</v>
      </c>
      <c r="BL94" s="2564">
        <v>0</v>
      </c>
      <c r="BM94" s="2564">
        <v>0</v>
      </c>
      <c r="BN94" s="2564">
        <v>210409.03</v>
      </c>
      <c r="BO94" s="2528">
        <v>0</v>
      </c>
      <c r="BP94" s="2532">
        <v>0</v>
      </c>
    </row>
    <row r="95" spans="1:68" s="20" customFormat="1" ht="14.25" x14ac:dyDescent="0.2">
      <c r="A95" s="2549" t="str">
        <f>HLOOKUP(LangChoice,Definitions_FlowLang!$C$2:$E$112,MATCH($B95,Definitions_FlowLang!$B$2:$B$112,0),FALSE)</f>
        <v>Elec output-autoproducer electricity plants</v>
      </c>
      <c r="B95" s="2531" t="s">
        <v>1435</v>
      </c>
      <c r="C95" s="2567">
        <v>0</v>
      </c>
      <c r="D95" s="2567">
        <v>0</v>
      </c>
      <c r="E95" s="2598">
        <v>5984.94</v>
      </c>
      <c r="F95" s="2567">
        <v>0</v>
      </c>
      <c r="G95" s="2567">
        <v>0</v>
      </c>
      <c r="H95" s="2567">
        <v>0</v>
      </c>
      <c r="I95" s="2567">
        <v>0</v>
      </c>
      <c r="J95" s="2567">
        <v>0</v>
      </c>
      <c r="K95" s="2567">
        <v>0</v>
      </c>
      <c r="L95" s="2567">
        <v>0</v>
      </c>
      <c r="M95" s="2567">
        <v>0</v>
      </c>
      <c r="N95" s="2567">
        <v>0</v>
      </c>
      <c r="O95" s="2567">
        <v>0</v>
      </c>
      <c r="P95" s="2567">
        <v>0</v>
      </c>
      <c r="Q95" s="2567">
        <v>0</v>
      </c>
      <c r="R95" s="2567">
        <v>0</v>
      </c>
      <c r="S95" s="2567">
        <v>0</v>
      </c>
      <c r="T95" s="2586">
        <v>0</v>
      </c>
      <c r="U95" s="2559">
        <v>0</v>
      </c>
      <c r="V95" s="2559">
        <v>0</v>
      </c>
      <c r="W95" s="2565">
        <v>0</v>
      </c>
      <c r="X95" s="2565">
        <v>0</v>
      </c>
      <c r="Y95" s="2565">
        <v>0</v>
      </c>
      <c r="Z95" s="2559">
        <v>0</v>
      </c>
      <c r="AA95" s="2565">
        <v>0</v>
      </c>
      <c r="AB95" s="2559">
        <v>0</v>
      </c>
      <c r="AC95" s="2565">
        <v>0</v>
      </c>
      <c r="AD95" s="2565">
        <v>0</v>
      </c>
      <c r="AE95" s="2565">
        <v>0</v>
      </c>
      <c r="AF95" s="2559">
        <v>0</v>
      </c>
      <c r="AG95" s="2559">
        <v>0</v>
      </c>
      <c r="AH95" s="2559">
        <v>0</v>
      </c>
      <c r="AI95" s="2559">
        <v>0</v>
      </c>
      <c r="AJ95" s="2559">
        <v>0</v>
      </c>
      <c r="AK95" s="2565">
        <v>0</v>
      </c>
      <c r="AL95" s="2560">
        <v>0</v>
      </c>
      <c r="AM95" s="2560">
        <v>0</v>
      </c>
      <c r="AN95" s="2560">
        <v>0</v>
      </c>
      <c r="AO95" s="2560">
        <v>0</v>
      </c>
      <c r="AP95" s="2560">
        <v>0</v>
      </c>
      <c r="AQ95" s="2569">
        <v>0</v>
      </c>
      <c r="AR95" s="2562">
        <v>0</v>
      </c>
      <c r="AS95" s="2562">
        <v>0</v>
      </c>
      <c r="AT95" s="2562">
        <v>0</v>
      </c>
      <c r="AU95" s="2562">
        <v>309.06</v>
      </c>
      <c r="AV95" s="2562">
        <v>0</v>
      </c>
      <c r="AW95" s="2565">
        <v>0</v>
      </c>
      <c r="AX95" s="2565">
        <v>0</v>
      </c>
      <c r="AY95" s="2562">
        <v>0</v>
      </c>
      <c r="AZ95" s="2562">
        <v>0</v>
      </c>
      <c r="BA95" s="2565">
        <v>0</v>
      </c>
      <c r="BB95" s="2576">
        <v>0</v>
      </c>
      <c r="BC95" s="2564">
        <v>0</v>
      </c>
      <c r="BD95" s="2566">
        <v>104.29</v>
      </c>
      <c r="BE95" s="2564">
        <v>0</v>
      </c>
      <c r="BF95" s="2566">
        <v>3040.85</v>
      </c>
      <c r="BG95" s="2564">
        <v>0</v>
      </c>
      <c r="BH95" s="2564">
        <v>0</v>
      </c>
      <c r="BI95" s="2566">
        <v>6183.85</v>
      </c>
      <c r="BJ95" s="2565">
        <v>0</v>
      </c>
      <c r="BK95" s="2565">
        <v>0</v>
      </c>
      <c r="BL95" s="2564">
        <v>0</v>
      </c>
      <c r="BM95" s="2564">
        <v>0</v>
      </c>
      <c r="BN95" s="2564">
        <v>15622.99</v>
      </c>
      <c r="BO95" s="2528">
        <v>0</v>
      </c>
      <c r="BP95" s="2532">
        <v>0</v>
      </c>
    </row>
    <row r="96" spans="1:68" s="20" customFormat="1" ht="14.25" x14ac:dyDescent="0.2">
      <c r="A96" s="2549" t="str">
        <f>HLOOKUP(LangChoice,Definitions_FlowLang!$C$2:$E$112,MATCH($B96,Definitions_FlowLang!$B$2:$B$112,0),FALSE)</f>
        <v>Elec output-main activity producer CHP plants</v>
      </c>
      <c r="B96" s="2531" t="s">
        <v>1438</v>
      </c>
      <c r="C96" s="2567">
        <v>0</v>
      </c>
      <c r="D96" s="2567">
        <v>0</v>
      </c>
      <c r="E96" s="2567">
        <v>0</v>
      </c>
      <c r="F96" s="2567">
        <v>0</v>
      </c>
      <c r="G96" s="2567">
        <v>0</v>
      </c>
      <c r="H96" s="2567">
        <v>0</v>
      </c>
      <c r="I96" s="2567">
        <v>0</v>
      </c>
      <c r="J96" s="2567">
        <v>0</v>
      </c>
      <c r="K96" s="2567">
        <v>0</v>
      </c>
      <c r="L96" s="2567">
        <v>0</v>
      </c>
      <c r="M96" s="2567">
        <v>0</v>
      </c>
      <c r="N96" s="2567">
        <v>0</v>
      </c>
      <c r="O96" s="2567">
        <v>0</v>
      </c>
      <c r="P96" s="2567">
        <v>0</v>
      </c>
      <c r="Q96" s="2567">
        <v>0</v>
      </c>
      <c r="R96" s="2567">
        <v>0</v>
      </c>
      <c r="S96" s="2567">
        <v>0</v>
      </c>
      <c r="T96" s="2586">
        <v>0</v>
      </c>
      <c r="U96" s="2559">
        <v>0</v>
      </c>
      <c r="V96" s="2559">
        <v>0</v>
      </c>
      <c r="W96" s="2565">
        <v>0</v>
      </c>
      <c r="X96" s="2565">
        <v>0</v>
      </c>
      <c r="Y96" s="2565">
        <v>0</v>
      </c>
      <c r="Z96" s="2559">
        <v>0</v>
      </c>
      <c r="AA96" s="2565">
        <v>0</v>
      </c>
      <c r="AB96" s="2559">
        <v>0</v>
      </c>
      <c r="AC96" s="2565">
        <v>0</v>
      </c>
      <c r="AD96" s="2565">
        <v>0</v>
      </c>
      <c r="AE96" s="2565">
        <v>0</v>
      </c>
      <c r="AF96" s="2559">
        <v>0</v>
      </c>
      <c r="AG96" s="2559">
        <v>0</v>
      </c>
      <c r="AH96" s="2559">
        <v>0</v>
      </c>
      <c r="AI96" s="2559">
        <v>0</v>
      </c>
      <c r="AJ96" s="2559">
        <v>0</v>
      </c>
      <c r="AK96" s="2565">
        <v>0</v>
      </c>
      <c r="AL96" s="2560">
        <v>0</v>
      </c>
      <c r="AM96" s="2560">
        <v>0</v>
      </c>
      <c r="AN96" s="2560">
        <v>0</v>
      </c>
      <c r="AO96" s="2560">
        <v>0</v>
      </c>
      <c r="AP96" s="2560">
        <v>0</v>
      </c>
      <c r="AQ96" s="2569">
        <v>0</v>
      </c>
      <c r="AR96" s="2562">
        <v>0</v>
      </c>
      <c r="AS96" s="2562">
        <v>0</v>
      </c>
      <c r="AT96" s="2562">
        <v>0</v>
      </c>
      <c r="AU96" s="2562">
        <v>0</v>
      </c>
      <c r="AV96" s="2562">
        <v>0</v>
      </c>
      <c r="AW96" s="2565">
        <v>0</v>
      </c>
      <c r="AX96" s="2565">
        <v>0</v>
      </c>
      <c r="AY96" s="2562">
        <v>0</v>
      </c>
      <c r="AZ96" s="2562">
        <v>0</v>
      </c>
      <c r="BA96" s="2565">
        <v>0</v>
      </c>
      <c r="BB96" s="2576">
        <v>0</v>
      </c>
      <c r="BC96" s="2564">
        <v>0</v>
      </c>
      <c r="BD96" s="2564">
        <v>0</v>
      </c>
      <c r="BE96" s="2564">
        <v>0</v>
      </c>
      <c r="BF96" s="2564">
        <v>0</v>
      </c>
      <c r="BG96" s="2564">
        <v>0</v>
      </c>
      <c r="BH96" s="2564">
        <v>0</v>
      </c>
      <c r="BI96" s="2564">
        <v>0</v>
      </c>
      <c r="BJ96" s="2565">
        <v>0</v>
      </c>
      <c r="BK96" s="2565">
        <v>0</v>
      </c>
      <c r="BL96" s="2564">
        <v>0</v>
      </c>
      <c r="BM96" s="2564">
        <v>0</v>
      </c>
      <c r="BN96" s="2564">
        <v>0</v>
      </c>
      <c r="BO96" s="2528">
        <v>0</v>
      </c>
      <c r="BP96" s="2532">
        <v>0</v>
      </c>
    </row>
    <row r="97" spans="1:68" s="20" customFormat="1" ht="14.25" x14ac:dyDescent="0.2">
      <c r="A97" s="2550" t="str">
        <f>HLOOKUP(LangChoice,Definitions_FlowLang!$C$2:$E$112,MATCH($B97,Definitions_FlowLang!$B$2:$B$112,0),FALSE)</f>
        <v>Elec output-autoproducer CHP plants</v>
      </c>
      <c r="B97" s="2551" t="s">
        <v>1441</v>
      </c>
      <c r="C97" s="2606">
        <v>0</v>
      </c>
      <c r="D97" s="2606">
        <v>0</v>
      </c>
      <c r="E97" s="2606">
        <v>0</v>
      </c>
      <c r="F97" s="2606">
        <v>0</v>
      </c>
      <c r="G97" s="2606">
        <v>0</v>
      </c>
      <c r="H97" s="2606">
        <v>0</v>
      </c>
      <c r="I97" s="2606">
        <v>0</v>
      </c>
      <c r="J97" s="2606">
        <v>0</v>
      </c>
      <c r="K97" s="2606">
        <v>0</v>
      </c>
      <c r="L97" s="2606">
        <v>0</v>
      </c>
      <c r="M97" s="2606">
        <v>0</v>
      </c>
      <c r="N97" s="2606">
        <v>0</v>
      </c>
      <c r="O97" s="2606">
        <v>0</v>
      </c>
      <c r="P97" s="2606">
        <v>0</v>
      </c>
      <c r="Q97" s="2606">
        <v>0</v>
      </c>
      <c r="R97" s="2606">
        <v>0</v>
      </c>
      <c r="S97" s="2606">
        <v>0</v>
      </c>
      <c r="T97" s="2607">
        <v>0</v>
      </c>
      <c r="U97" s="2608">
        <v>0</v>
      </c>
      <c r="V97" s="2608">
        <v>0</v>
      </c>
      <c r="W97" s="2609">
        <v>0</v>
      </c>
      <c r="X97" s="2609">
        <v>0</v>
      </c>
      <c r="Y97" s="2609">
        <v>0</v>
      </c>
      <c r="Z97" s="2608">
        <v>0</v>
      </c>
      <c r="AA97" s="2609">
        <v>0</v>
      </c>
      <c r="AB97" s="2608">
        <v>0</v>
      </c>
      <c r="AC97" s="2609">
        <v>0</v>
      </c>
      <c r="AD97" s="2609">
        <v>0</v>
      </c>
      <c r="AE97" s="2609">
        <v>0</v>
      </c>
      <c r="AF97" s="2608">
        <v>0</v>
      </c>
      <c r="AG97" s="2608">
        <v>0</v>
      </c>
      <c r="AH97" s="2608">
        <v>0</v>
      </c>
      <c r="AI97" s="2608">
        <v>0</v>
      </c>
      <c r="AJ97" s="2608">
        <v>0</v>
      </c>
      <c r="AK97" s="2609">
        <v>0</v>
      </c>
      <c r="AL97" s="2602">
        <v>0</v>
      </c>
      <c r="AM97" s="2602">
        <v>0</v>
      </c>
      <c r="AN97" s="2602">
        <v>0</v>
      </c>
      <c r="AO97" s="2602">
        <v>0</v>
      </c>
      <c r="AP97" s="2602">
        <v>0</v>
      </c>
      <c r="AQ97" s="2610">
        <v>0</v>
      </c>
      <c r="AR97" s="2611">
        <v>0</v>
      </c>
      <c r="AS97" s="2611">
        <v>0</v>
      </c>
      <c r="AT97" s="2611">
        <v>0</v>
      </c>
      <c r="AU97" s="2611">
        <v>0</v>
      </c>
      <c r="AV97" s="2611">
        <v>0</v>
      </c>
      <c r="AW97" s="2609">
        <v>0</v>
      </c>
      <c r="AX97" s="2609">
        <v>0</v>
      </c>
      <c r="AY97" s="2611">
        <v>0</v>
      </c>
      <c r="AZ97" s="2611">
        <v>0</v>
      </c>
      <c r="BA97" s="2609">
        <v>0</v>
      </c>
      <c r="BB97" s="2576">
        <v>0</v>
      </c>
      <c r="BC97" s="2612">
        <v>0</v>
      </c>
      <c r="BD97" s="2612">
        <v>0</v>
      </c>
      <c r="BE97" s="2612">
        <v>0</v>
      </c>
      <c r="BF97" s="2612">
        <v>0</v>
      </c>
      <c r="BG97" s="2612">
        <v>0</v>
      </c>
      <c r="BH97" s="2612">
        <v>0</v>
      </c>
      <c r="BI97" s="2612">
        <v>0</v>
      </c>
      <c r="BJ97" s="2609">
        <v>0</v>
      </c>
      <c r="BK97" s="2609">
        <v>0</v>
      </c>
      <c r="BL97" s="2612">
        <v>0</v>
      </c>
      <c r="BM97" s="2612">
        <v>0</v>
      </c>
      <c r="BN97" s="2612">
        <v>0</v>
      </c>
      <c r="BO97" s="2552">
        <v>0</v>
      </c>
      <c r="BP97" s="2553">
        <v>0</v>
      </c>
    </row>
    <row r="98" spans="1:68" s="20" customFormat="1" ht="14.25" x14ac:dyDescent="0.2">
      <c r="A98" s="2549" t="str">
        <f>HLOOKUP(LangChoice,Definitions_FlowLang!$C$2:$E$112,MATCH($B98,Definitions_FlowLang!$B$2:$B$112,0),FALSE)</f>
        <v>Heat output-main activity producer CHP plants</v>
      </c>
      <c r="B98" s="2531" t="s">
        <v>1444</v>
      </c>
      <c r="C98" s="2567">
        <v>0</v>
      </c>
      <c r="D98" s="2567">
        <v>0</v>
      </c>
      <c r="E98" s="2567">
        <v>0</v>
      </c>
      <c r="F98" s="2567">
        <v>0</v>
      </c>
      <c r="G98" s="2567">
        <v>0</v>
      </c>
      <c r="H98" s="2567">
        <v>0</v>
      </c>
      <c r="I98" s="2567">
        <v>0</v>
      </c>
      <c r="J98" s="2567">
        <v>0</v>
      </c>
      <c r="K98" s="2567">
        <v>0</v>
      </c>
      <c r="L98" s="2567">
        <v>0</v>
      </c>
      <c r="M98" s="2567">
        <v>0</v>
      </c>
      <c r="N98" s="2567">
        <v>0</v>
      </c>
      <c r="O98" s="2567">
        <v>0</v>
      </c>
      <c r="P98" s="2567">
        <v>0</v>
      </c>
      <c r="Q98" s="2567">
        <v>0</v>
      </c>
      <c r="R98" s="2567">
        <v>0</v>
      </c>
      <c r="S98" s="2567">
        <v>0</v>
      </c>
      <c r="T98" s="2586">
        <v>0</v>
      </c>
      <c r="U98" s="2559">
        <v>0</v>
      </c>
      <c r="V98" s="2559">
        <v>0</v>
      </c>
      <c r="W98" s="2565">
        <v>0</v>
      </c>
      <c r="X98" s="2565">
        <v>0</v>
      </c>
      <c r="Y98" s="2565">
        <v>0</v>
      </c>
      <c r="Z98" s="2559">
        <v>0</v>
      </c>
      <c r="AA98" s="2565">
        <v>0</v>
      </c>
      <c r="AB98" s="2559">
        <v>0</v>
      </c>
      <c r="AC98" s="2565">
        <v>0</v>
      </c>
      <c r="AD98" s="2565">
        <v>0</v>
      </c>
      <c r="AE98" s="2565">
        <v>0</v>
      </c>
      <c r="AF98" s="2559">
        <v>0</v>
      </c>
      <c r="AG98" s="2559">
        <v>0</v>
      </c>
      <c r="AH98" s="2559">
        <v>0</v>
      </c>
      <c r="AI98" s="2559">
        <v>0</v>
      </c>
      <c r="AJ98" s="2559">
        <v>0</v>
      </c>
      <c r="AK98" s="2565">
        <v>0</v>
      </c>
      <c r="AL98" s="2560">
        <v>0</v>
      </c>
      <c r="AM98" s="2560">
        <v>0</v>
      </c>
      <c r="AN98" s="2560">
        <v>0</v>
      </c>
      <c r="AO98" s="2560">
        <v>0</v>
      </c>
      <c r="AP98" s="2560">
        <v>0</v>
      </c>
      <c r="AQ98" s="2569">
        <v>0</v>
      </c>
      <c r="AR98" s="2562">
        <v>0</v>
      </c>
      <c r="AS98" s="2562">
        <v>0</v>
      </c>
      <c r="AT98" s="2562">
        <v>0</v>
      </c>
      <c r="AU98" s="2562">
        <v>0</v>
      </c>
      <c r="AV98" s="2562">
        <v>0</v>
      </c>
      <c r="AW98" s="2565">
        <v>0</v>
      </c>
      <c r="AX98" s="2565">
        <v>0</v>
      </c>
      <c r="AY98" s="2562">
        <v>0</v>
      </c>
      <c r="AZ98" s="2562">
        <v>0</v>
      </c>
      <c r="BA98" s="2565">
        <v>0</v>
      </c>
      <c r="BB98" s="2613">
        <v>0</v>
      </c>
      <c r="BC98" s="2564">
        <v>0</v>
      </c>
      <c r="BD98" s="2565">
        <v>0</v>
      </c>
      <c r="BE98" s="2564">
        <v>0</v>
      </c>
      <c r="BF98" s="2565">
        <v>0</v>
      </c>
      <c r="BG98" s="2564">
        <v>0</v>
      </c>
      <c r="BH98" s="2565">
        <v>0</v>
      </c>
      <c r="BI98" s="2565">
        <v>0</v>
      </c>
      <c r="BJ98" s="2564">
        <v>0</v>
      </c>
      <c r="BK98" s="2564">
        <v>0</v>
      </c>
      <c r="BL98" s="2564">
        <v>0</v>
      </c>
      <c r="BM98" s="2564">
        <v>0</v>
      </c>
      <c r="BN98" s="2565">
        <v>0</v>
      </c>
      <c r="BO98" s="2527">
        <v>0</v>
      </c>
      <c r="BP98" s="2554">
        <v>0</v>
      </c>
    </row>
    <row r="99" spans="1:68" s="20" customFormat="1" ht="14.25" x14ac:dyDescent="0.2">
      <c r="A99" s="2549" t="str">
        <f>HLOOKUP(LangChoice,Definitions_FlowLang!$C$2:$E$112,MATCH($B99,Definitions_FlowLang!$B$2:$B$112,0),FALSE)</f>
        <v>Heat output-autoproducer CHP plants</v>
      </c>
      <c r="B99" s="2531" t="s">
        <v>1447</v>
      </c>
      <c r="C99" s="2567">
        <v>0</v>
      </c>
      <c r="D99" s="2567">
        <v>0</v>
      </c>
      <c r="E99" s="2567">
        <v>0</v>
      </c>
      <c r="F99" s="2567">
        <v>0</v>
      </c>
      <c r="G99" s="2567">
        <v>0</v>
      </c>
      <c r="H99" s="2567">
        <v>0</v>
      </c>
      <c r="I99" s="2567">
        <v>0</v>
      </c>
      <c r="J99" s="2567">
        <v>0</v>
      </c>
      <c r="K99" s="2567">
        <v>0</v>
      </c>
      <c r="L99" s="2567">
        <v>0</v>
      </c>
      <c r="M99" s="2567">
        <v>0</v>
      </c>
      <c r="N99" s="2567">
        <v>0</v>
      </c>
      <c r="O99" s="2567">
        <v>0</v>
      </c>
      <c r="P99" s="2567">
        <v>0</v>
      </c>
      <c r="Q99" s="2567">
        <v>0</v>
      </c>
      <c r="R99" s="2567">
        <v>0</v>
      </c>
      <c r="S99" s="2567">
        <v>0</v>
      </c>
      <c r="T99" s="2586">
        <v>0</v>
      </c>
      <c r="U99" s="2559">
        <v>0</v>
      </c>
      <c r="V99" s="2559">
        <v>0</v>
      </c>
      <c r="W99" s="2565">
        <v>0</v>
      </c>
      <c r="X99" s="2565">
        <v>0</v>
      </c>
      <c r="Y99" s="2565">
        <v>0</v>
      </c>
      <c r="Z99" s="2559">
        <v>0</v>
      </c>
      <c r="AA99" s="2565">
        <v>0</v>
      </c>
      <c r="AB99" s="2559">
        <v>0</v>
      </c>
      <c r="AC99" s="2565">
        <v>0</v>
      </c>
      <c r="AD99" s="2565">
        <v>0</v>
      </c>
      <c r="AE99" s="2565">
        <v>0</v>
      </c>
      <c r="AF99" s="2559">
        <v>0</v>
      </c>
      <c r="AG99" s="2559">
        <v>0</v>
      </c>
      <c r="AH99" s="2559">
        <v>0</v>
      </c>
      <c r="AI99" s="2559">
        <v>0</v>
      </c>
      <c r="AJ99" s="2559">
        <v>0</v>
      </c>
      <c r="AK99" s="2565">
        <v>0</v>
      </c>
      <c r="AL99" s="2560">
        <v>0</v>
      </c>
      <c r="AM99" s="2560">
        <v>0</v>
      </c>
      <c r="AN99" s="2560">
        <v>0</v>
      </c>
      <c r="AO99" s="2560">
        <v>0</v>
      </c>
      <c r="AP99" s="2560">
        <v>0</v>
      </c>
      <c r="AQ99" s="2569">
        <v>0</v>
      </c>
      <c r="AR99" s="2562">
        <v>0</v>
      </c>
      <c r="AS99" s="2562">
        <v>0</v>
      </c>
      <c r="AT99" s="2562">
        <v>0</v>
      </c>
      <c r="AU99" s="2562">
        <v>0</v>
      </c>
      <c r="AV99" s="2562">
        <v>0</v>
      </c>
      <c r="AW99" s="2565">
        <v>0</v>
      </c>
      <c r="AX99" s="2565">
        <v>0</v>
      </c>
      <c r="AY99" s="2562">
        <v>0</v>
      </c>
      <c r="AZ99" s="2562">
        <v>0</v>
      </c>
      <c r="BA99" s="2565">
        <v>0</v>
      </c>
      <c r="BB99" s="2576">
        <v>0</v>
      </c>
      <c r="BC99" s="2564">
        <v>0</v>
      </c>
      <c r="BD99" s="2565">
        <v>0</v>
      </c>
      <c r="BE99" s="2564">
        <v>0</v>
      </c>
      <c r="BF99" s="2565">
        <v>0</v>
      </c>
      <c r="BG99" s="2564">
        <v>0</v>
      </c>
      <c r="BH99" s="2565">
        <v>0</v>
      </c>
      <c r="BI99" s="2565">
        <v>0</v>
      </c>
      <c r="BJ99" s="2564"/>
      <c r="BK99" s="2564">
        <v>0</v>
      </c>
      <c r="BL99" s="2564">
        <v>0</v>
      </c>
      <c r="BM99" s="2564">
        <v>0</v>
      </c>
      <c r="BN99" s="2565">
        <v>0</v>
      </c>
      <c r="BO99" s="2527">
        <v>0</v>
      </c>
      <c r="BP99" s="2554">
        <v>0</v>
      </c>
    </row>
    <row r="100" spans="1:68" s="20" customFormat="1" ht="14.25" x14ac:dyDescent="0.2">
      <c r="A100" s="2549" t="str">
        <f>HLOOKUP(LangChoice,Definitions_FlowLang!$C$2:$E$112,MATCH($B100,Definitions_FlowLang!$B$2:$B$112,0),FALSE)</f>
        <v>Heat output-main activity producer heat plant</v>
      </c>
      <c r="B100" s="2531" t="s">
        <v>1450</v>
      </c>
      <c r="C100" s="2567">
        <v>0</v>
      </c>
      <c r="D100" s="2567">
        <v>0</v>
      </c>
      <c r="E100" s="2567">
        <v>0</v>
      </c>
      <c r="F100" s="2567">
        <v>0</v>
      </c>
      <c r="G100" s="2567">
        <v>0</v>
      </c>
      <c r="H100" s="2567">
        <v>0</v>
      </c>
      <c r="I100" s="2567">
        <v>0</v>
      </c>
      <c r="J100" s="2567">
        <v>0</v>
      </c>
      <c r="K100" s="2567">
        <v>0</v>
      </c>
      <c r="L100" s="2567">
        <v>0</v>
      </c>
      <c r="M100" s="2567">
        <v>0</v>
      </c>
      <c r="N100" s="2567">
        <v>0</v>
      </c>
      <c r="O100" s="2567">
        <v>0</v>
      </c>
      <c r="P100" s="2567">
        <v>0</v>
      </c>
      <c r="Q100" s="2567">
        <v>0</v>
      </c>
      <c r="R100" s="2567">
        <v>0</v>
      </c>
      <c r="S100" s="2567">
        <v>0</v>
      </c>
      <c r="T100" s="2586">
        <v>0</v>
      </c>
      <c r="U100" s="2559">
        <v>0</v>
      </c>
      <c r="V100" s="2559">
        <v>0</v>
      </c>
      <c r="W100" s="2565">
        <v>0</v>
      </c>
      <c r="X100" s="2565">
        <v>0</v>
      </c>
      <c r="Y100" s="2565">
        <v>0</v>
      </c>
      <c r="Z100" s="2559">
        <v>0</v>
      </c>
      <c r="AA100" s="2565">
        <v>0</v>
      </c>
      <c r="AB100" s="2559">
        <v>0</v>
      </c>
      <c r="AC100" s="2565">
        <v>0</v>
      </c>
      <c r="AD100" s="2565">
        <v>0</v>
      </c>
      <c r="AE100" s="2565">
        <v>0</v>
      </c>
      <c r="AF100" s="2559">
        <v>0</v>
      </c>
      <c r="AG100" s="2559">
        <v>0</v>
      </c>
      <c r="AH100" s="2559">
        <v>0</v>
      </c>
      <c r="AI100" s="2559">
        <v>0</v>
      </c>
      <c r="AJ100" s="2559">
        <v>0</v>
      </c>
      <c r="AK100" s="2565">
        <v>0</v>
      </c>
      <c r="AL100" s="2560">
        <v>0</v>
      </c>
      <c r="AM100" s="2560">
        <v>0</v>
      </c>
      <c r="AN100" s="2560">
        <v>0</v>
      </c>
      <c r="AO100" s="2560">
        <v>0</v>
      </c>
      <c r="AP100" s="2560">
        <v>0</v>
      </c>
      <c r="AQ100" s="2569">
        <v>0</v>
      </c>
      <c r="AR100" s="2562">
        <v>0</v>
      </c>
      <c r="AS100" s="2562">
        <v>0</v>
      </c>
      <c r="AT100" s="2562">
        <v>0</v>
      </c>
      <c r="AU100" s="2562">
        <v>0</v>
      </c>
      <c r="AV100" s="2562">
        <v>0</v>
      </c>
      <c r="AW100" s="2565">
        <v>0</v>
      </c>
      <c r="AX100" s="2565">
        <v>0</v>
      </c>
      <c r="AY100" s="2562">
        <v>0</v>
      </c>
      <c r="AZ100" s="2562">
        <v>0</v>
      </c>
      <c r="BA100" s="2565">
        <v>0</v>
      </c>
      <c r="BB100" s="2576">
        <v>0</v>
      </c>
      <c r="BC100" s="2564">
        <v>0</v>
      </c>
      <c r="BD100" s="2565">
        <v>0</v>
      </c>
      <c r="BE100" s="2564">
        <v>0</v>
      </c>
      <c r="BF100" s="2565">
        <v>0</v>
      </c>
      <c r="BG100" s="2564">
        <v>0</v>
      </c>
      <c r="BH100" s="2565">
        <v>0</v>
      </c>
      <c r="BI100" s="2565">
        <v>0</v>
      </c>
      <c r="BJ100" s="2564">
        <v>0</v>
      </c>
      <c r="BK100" s="2564">
        <v>0</v>
      </c>
      <c r="BL100" s="2564">
        <v>0</v>
      </c>
      <c r="BM100" s="2564">
        <v>0</v>
      </c>
      <c r="BN100" s="2565">
        <v>0</v>
      </c>
      <c r="BO100" s="2527">
        <v>0</v>
      </c>
      <c r="BP100" s="2554">
        <v>0</v>
      </c>
    </row>
    <row r="101" spans="1:68" s="20" customFormat="1" ht="14.25" x14ac:dyDescent="0.2">
      <c r="A101" s="2549" t="str">
        <f>HLOOKUP(LangChoice,Definitions_FlowLang!$C$2:$E$112,MATCH($B101,Definitions_FlowLang!$B$2:$B$112,0),FALSE)</f>
        <v>Heat output-autoproducer heat plants</v>
      </c>
      <c r="B101" s="2531" t="s">
        <v>1453</v>
      </c>
      <c r="C101" s="2567">
        <v>0</v>
      </c>
      <c r="D101" s="2567">
        <v>0</v>
      </c>
      <c r="E101" s="2567">
        <v>0</v>
      </c>
      <c r="F101" s="2567">
        <v>0</v>
      </c>
      <c r="G101" s="2567">
        <v>0</v>
      </c>
      <c r="H101" s="2567">
        <v>0</v>
      </c>
      <c r="I101" s="2567">
        <v>0</v>
      </c>
      <c r="J101" s="2567">
        <v>0</v>
      </c>
      <c r="K101" s="2567">
        <v>0</v>
      </c>
      <c r="L101" s="2567">
        <v>0</v>
      </c>
      <c r="M101" s="2567">
        <v>0</v>
      </c>
      <c r="N101" s="2567">
        <v>0</v>
      </c>
      <c r="O101" s="2567">
        <v>0</v>
      </c>
      <c r="P101" s="2567">
        <v>0</v>
      </c>
      <c r="Q101" s="2567">
        <v>0</v>
      </c>
      <c r="R101" s="2567">
        <v>0</v>
      </c>
      <c r="S101" s="2567">
        <v>0</v>
      </c>
      <c r="T101" s="2586">
        <v>0</v>
      </c>
      <c r="U101" s="2559">
        <v>0</v>
      </c>
      <c r="V101" s="2559">
        <v>0</v>
      </c>
      <c r="W101" s="2565">
        <v>0</v>
      </c>
      <c r="X101" s="2565">
        <v>0</v>
      </c>
      <c r="Y101" s="2565">
        <v>0</v>
      </c>
      <c r="Z101" s="2559">
        <v>0</v>
      </c>
      <c r="AA101" s="2565">
        <v>0</v>
      </c>
      <c r="AB101" s="2559">
        <v>0</v>
      </c>
      <c r="AC101" s="2565">
        <v>0</v>
      </c>
      <c r="AD101" s="2565">
        <v>0</v>
      </c>
      <c r="AE101" s="2565">
        <v>0</v>
      </c>
      <c r="AF101" s="2559">
        <v>0</v>
      </c>
      <c r="AG101" s="2559">
        <v>0</v>
      </c>
      <c r="AH101" s="2559">
        <v>0</v>
      </c>
      <c r="AI101" s="2559">
        <v>0</v>
      </c>
      <c r="AJ101" s="2559">
        <v>0</v>
      </c>
      <c r="AK101" s="2565">
        <v>0</v>
      </c>
      <c r="AL101" s="2560">
        <v>0</v>
      </c>
      <c r="AM101" s="2560">
        <v>0</v>
      </c>
      <c r="AN101" s="2560">
        <v>0</v>
      </c>
      <c r="AO101" s="2560">
        <v>0</v>
      </c>
      <c r="AP101" s="2560">
        <v>0</v>
      </c>
      <c r="AQ101" s="2569">
        <v>0</v>
      </c>
      <c r="AR101" s="2562">
        <v>0</v>
      </c>
      <c r="AS101" s="2562">
        <v>0</v>
      </c>
      <c r="AT101" s="2562">
        <v>0</v>
      </c>
      <c r="AU101" s="2562">
        <v>0</v>
      </c>
      <c r="AV101" s="2562">
        <v>0</v>
      </c>
      <c r="AW101" s="2565">
        <v>0</v>
      </c>
      <c r="AX101" s="2565">
        <v>0</v>
      </c>
      <c r="AY101" s="2562">
        <v>0</v>
      </c>
      <c r="AZ101" s="2562">
        <v>0</v>
      </c>
      <c r="BA101" s="2565">
        <v>0</v>
      </c>
      <c r="BB101" s="2576">
        <v>0</v>
      </c>
      <c r="BC101" s="2564">
        <v>0</v>
      </c>
      <c r="BD101" s="2565">
        <v>0</v>
      </c>
      <c r="BE101" s="2564">
        <v>0</v>
      </c>
      <c r="BF101" s="2565">
        <v>0</v>
      </c>
      <c r="BG101" s="2564">
        <v>0</v>
      </c>
      <c r="BH101" s="2565">
        <v>0</v>
      </c>
      <c r="BI101" s="2565">
        <v>0</v>
      </c>
      <c r="BJ101" s="2564">
        <v>0</v>
      </c>
      <c r="BK101" s="2564">
        <v>0</v>
      </c>
      <c r="BL101" s="2564">
        <v>0</v>
      </c>
      <c r="BM101" s="2564">
        <v>0</v>
      </c>
      <c r="BN101" s="2565">
        <v>0</v>
      </c>
      <c r="BO101" s="2527">
        <v>0</v>
      </c>
      <c r="BP101" s="2554">
        <v>0</v>
      </c>
    </row>
    <row r="102" spans="1:68" s="20" customFormat="1" ht="15" x14ac:dyDescent="0.25">
      <c r="A102" s="2534" t="str">
        <f>HEATOUT</f>
        <v>Heat output in TJ</v>
      </c>
      <c r="B102" s="2535" t="s">
        <v>1456</v>
      </c>
      <c r="C102" s="2573">
        <f t="shared" ref="C102:V102" si="23">SUM(C98:C101)</f>
        <v>0</v>
      </c>
      <c r="D102" s="2573">
        <f t="shared" si="23"/>
        <v>0</v>
      </c>
      <c r="E102" s="2573">
        <f t="shared" si="23"/>
        <v>0</v>
      </c>
      <c r="F102" s="2573">
        <f t="shared" si="23"/>
        <v>0</v>
      </c>
      <c r="G102" s="2573">
        <f t="shared" si="23"/>
        <v>0</v>
      </c>
      <c r="H102" s="2573">
        <f t="shared" si="23"/>
        <v>0</v>
      </c>
      <c r="I102" s="2573">
        <f t="shared" si="23"/>
        <v>0</v>
      </c>
      <c r="J102" s="2573">
        <f t="shared" si="23"/>
        <v>0</v>
      </c>
      <c r="K102" s="2573">
        <f t="shared" si="23"/>
        <v>0</v>
      </c>
      <c r="L102" s="2573">
        <f t="shared" si="23"/>
        <v>0</v>
      </c>
      <c r="M102" s="2573">
        <f t="shared" si="23"/>
        <v>0</v>
      </c>
      <c r="N102" s="2573">
        <f t="shared" si="23"/>
        <v>0</v>
      </c>
      <c r="O102" s="2573">
        <f t="shared" si="23"/>
        <v>0</v>
      </c>
      <c r="P102" s="2573">
        <f t="shared" si="23"/>
        <v>0</v>
      </c>
      <c r="Q102" s="2573">
        <f t="shared" si="23"/>
        <v>0</v>
      </c>
      <c r="R102" s="2573">
        <f t="shared" si="23"/>
        <v>0</v>
      </c>
      <c r="S102" s="2573">
        <f t="shared" si="23"/>
        <v>0</v>
      </c>
      <c r="T102" s="2574">
        <f t="shared" si="23"/>
        <v>0</v>
      </c>
      <c r="U102" s="2573">
        <f t="shared" si="23"/>
        <v>0</v>
      </c>
      <c r="V102" s="2573">
        <f t="shared" si="23"/>
        <v>0</v>
      </c>
      <c r="W102" s="2573">
        <v>0</v>
      </c>
      <c r="X102" s="2573">
        <v>0</v>
      </c>
      <c r="Y102" s="2573">
        <v>0</v>
      </c>
      <c r="Z102" s="2573">
        <f>SUM(Z98:Z101)</f>
        <v>0</v>
      </c>
      <c r="AA102" s="2573">
        <v>0</v>
      </c>
      <c r="AB102" s="2573">
        <f>SUM(AB98:AB101)</f>
        <v>0</v>
      </c>
      <c r="AC102" s="2573">
        <v>0</v>
      </c>
      <c r="AD102" s="2573">
        <v>0</v>
      </c>
      <c r="AE102" s="2573">
        <v>0</v>
      </c>
      <c r="AF102" s="2573">
        <f>SUM(AF98:AF101)</f>
        <v>0</v>
      </c>
      <c r="AG102" s="2573">
        <f>SUM(AG98:AG101)</f>
        <v>0</v>
      </c>
      <c r="AH102" s="2573">
        <f>SUM(AH98:AH101)</f>
        <v>0</v>
      </c>
      <c r="AI102" s="2573">
        <f>SUM(AI98:AI101)</f>
        <v>0</v>
      </c>
      <c r="AJ102" s="2573">
        <f>SUM(AJ98:AJ101)</f>
        <v>0</v>
      </c>
      <c r="AK102" s="2573">
        <v>0</v>
      </c>
      <c r="AL102" s="2573">
        <v>0</v>
      </c>
      <c r="AM102" s="2573">
        <f>SUM(AM98:AM101)</f>
        <v>0</v>
      </c>
      <c r="AN102" s="2573">
        <v>0</v>
      </c>
      <c r="AO102" s="2573">
        <f t="shared" ref="AO102:AW102" si="24">SUM(AO98:AO101)</f>
        <v>0</v>
      </c>
      <c r="AP102" s="2573">
        <f t="shared" si="24"/>
        <v>0</v>
      </c>
      <c r="AQ102" s="2575">
        <f t="shared" si="24"/>
        <v>0</v>
      </c>
      <c r="AR102" s="2573">
        <f t="shared" si="24"/>
        <v>0</v>
      </c>
      <c r="AS102" s="2573">
        <f t="shared" si="24"/>
        <v>0</v>
      </c>
      <c r="AT102" s="2573">
        <f t="shared" si="24"/>
        <v>0</v>
      </c>
      <c r="AU102" s="2573">
        <f t="shared" si="24"/>
        <v>0</v>
      </c>
      <c r="AV102" s="2573">
        <f t="shared" si="24"/>
        <v>0</v>
      </c>
      <c r="AW102" s="2573">
        <f t="shared" si="24"/>
        <v>0</v>
      </c>
      <c r="AX102" s="2573">
        <v>0</v>
      </c>
      <c r="AY102" s="2573">
        <f>SUM(AY98:AY101)</f>
        <v>0</v>
      </c>
      <c r="AZ102" s="2573">
        <f>SUM(AZ98:AZ101)</f>
        <v>0</v>
      </c>
      <c r="BA102" s="2573">
        <v>0</v>
      </c>
      <c r="BB102" s="2574">
        <v>0</v>
      </c>
      <c r="BC102" s="2573">
        <f>SUM(BC98:BC101)</f>
        <v>0</v>
      </c>
      <c r="BD102" s="2573">
        <v>0</v>
      </c>
      <c r="BE102" s="2573">
        <f>SUM(BE98:BE101)</f>
        <v>0</v>
      </c>
      <c r="BF102" s="2573">
        <v>0</v>
      </c>
      <c r="BG102" s="2573">
        <f>SUM(BG98:BG101)</f>
        <v>0</v>
      </c>
      <c r="BH102" s="2573">
        <v>0</v>
      </c>
      <c r="BI102" s="2573">
        <v>0</v>
      </c>
      <c r="BJ102" s="2573">
        <f>SUM(BJ98:BJ101)</f>
        <v>0</v>
      </c>
      <c r="BK102" s="2573">
        <f>SUM(BK98:BK101)</f>
        <v>0</v>
      </c>
      <c r="BL102" s="2573">
        <f>SUM(BL98:BL101)</f>
        <v>0</v>
      </c>
      <c r="BM102" s="2573">
        <f>SUM(BM98:BM101)</f>
        <v>0</v>
      </c>
      <c r="BN102" s="2573">
        <v>0</v>
      </c>
      <c r="BO102" s="2536">
        <f>SUM(BO98:BO101)</f>
        <v>0</v>
      </c>
      <c r="BP102" s="2537">
        <v>0</v>
      </c>
    </row>
    <row r="103" spans="1:68" s="20" customFormat="1" ht="14.25" x14ac:dyDescent="0.2">
      <c r="A103" s="2555" t="s">
        <v>1630</v>
      </c>
      <c r="B103" s="2531" t="s">
        <v>1463</v>
      </c>
      <c r="C103" s="2565">
        <v>0</v>
      </c>
      <c r="D103" s="2565">
        <v>0</v>
      </c>
      <c r="E103" s="2565">
        <v>0</v>
      </c>
      <c r="F103" s="2565">
        <v>0</v>
      </c>
      <c r="G103" s="2565">
        <v>0</v>
      </c>
      <c r="H103" s="2565">
        <v>0</v>
      </c>
      <c r="I103" s="2565">
        <v>0</v>
      </c>
      <c r="J103" s="2565">
        <v>0</v>
      </c>
      <c r="K103" s="2565">
        <v>0</v>
      </c>
      <c r="L103" s="2565">
        <v>0</v>
      </c>
      <c r="M103" s="2565">
        <v>0</v>
      </c>
      <c r="N103" s="2565">
        <v>0</v>
      </c>
      <c r="O103" s="2565">
        <v>0</v>
      </c>
      <c r="P103" s="2565">
        <v>0</v>
      </c>
      <c r="Q103" s="2565">
        <v>0</v>
      </c>
      <c r="R103" s="2565">
        <v>0</v>
      </c>
      <c r="S103" s="2565">
        <v>0</v>
      </c>
      <c r="T103" s="2576">
        <v>0</v>
      </c>
      <c r="U103" s="2565">
        <v>0</v>
      </c>
      <c r="V103" s="2565">
        <v>0</v>
      </c>
      <c r="W103" s="2565">
        <v>0</v>
      </c>
      <c r="X103" s="2565">
        <v>0</v>
      </c>
      <c r="Y103" s="2565">
        <v>0</v>
      </c>
      <c r="Z103" s="2565">
        <v>0</v>
      </c>
      <c r="AA103" s="2565">
        <v>0</v>
      </c>
      <c r="AB103" s="2565">
        <v>0</v>
      </c>
      <c r="AC103" s="2565">
        <v>0</v>
      </c>
      <c r="AD103" s="2565">
        <v>0</v>
      </c>
      <c r="AE103" s="2565">
        <v>0</v>
      </c>
      <c r="AF103" s="2565">
        <v>0</v>
      </c>
      <c r="AG103" s="2565">
        <v>0</v>
      </c>
      <c r="AH103" s="2565">
        <v>0</v>
      </c>
      <c r="AI103" s="2565">
        <v>0</v>
      </c>
      <c r="AJ103" s="2565">
        <v>0</v>
      </c>
      <c r="AK103" s="2565">
        <v>0</v>
      </c>
      <c r="AL103" s="2560">
        <v>0</v>
      </c>
      <c r="AM103" s="2560">
        <v>0</v>
      </c>
      <c r="AN103" s="2560">
        <v>0</v>
      </c>
      <c r="AO103" s="2560">
        <v>0</v>
      </c>
      <c r="AP103" s="2560">
        <v>0</v>
      </c>
      <c r="AQ103" s="2561">
        <v>0</v>
      </c>
      <c r="AR103" s="2565">
        <v>0</v>
      </c>
      <c r="AS103" s="2565">
        <v>0</v>
      </c>
      <c r="AT103" s="2565">
        <v>0</v>
      </c>
      <c r="AU103" s="2565">
        <v>0</v>
      </c>
      <c r="AV103" s="2565">
        <v>0</v>
      </c>
      <c r="AW103" s="2565">
        <v>0</v>
      </c>
      <c r="AX103" s="2565">
        <v>0</v>
      </c>
      <c r="AY103" s="2565">
        <v>0</v>
      </c>
      <c r="AZ103" s="2565">
        <v>0</v>
      </c>
      <c r="BA103" s="2565">
        <v>0</v>
      </c>
      <c r="BB103" s="2576">
        <v>0</v>
      </c>
      <c r="BC103" s="2565">
        <v>0</v>
      </c>
      <c r="BD103" s="2564">
        <v>16818.251</v>
      </c>
      <c r="BE103" s="2565">
        <v>0</v>
      </c>
      <c r="BF103" s="2565">
        <v>0</v>
      </c>
      <c r="BG103" s="2565">
        <v>0</v>
      </c>
      <c r="BH103" s="2565">
        <v>0</v>
      </c>
      <c r="BI103" s="2565">
        <v>0</v>
      </c>
      <c r="BJ103" s="2565">
        <v>0</v>
      </c>
      <c r="BK103" s="2565">
        <v>0</v>
      </c>
      <c r="BL103" s="2565">
        <v>0</v>
      </c>
      <c r="BM103" s="2565">
        <v>0</v>
      </c>
      <c r="BN103" s="2565">
        <v>18067.45</v>
      </c>
      <c r="BO103" s="2528"/>
      <c r="BP103" s="2532">
        <v>0</v>
      </c>
    </row>
    <row r="104" spans="1:68" s="20" customFormat="1" ht="14.25" x14ac:dyDescent="0.2">
      <c r="A104" s="2556" t="s">
        <v>1631</v>
      </c>
      <c r="B104" s="2551" t="s">
        <v>1467</v>
      </c>
      <c r="C104" s="2609">
        <v>0</v>
      </c>
      <c r="D104" s="2609">
        <v>0</v>
      </c>
      <c r="E104" s="2609">
        <v>0</v>
      </c>
      <c r="F104" s="2609">
        <v>0</v>
      </c>
      <c r="G104" s="2609">
        <v>0</v>
      </c>
      <c r="H104" s="2609">
        <v>0</v>
      </c>
      <c r="I104" s="2609">
        <v>0</v>
      </c>
      <c r="J104" s="2609">
        <v>0</v>
      </c>
      <c r="K104" s="2609">
        <v>0</v>
      </c>
      <c r="L104" s="2609">
        <v>0</v>
      </c>
      <c r="M104" s="2609">
        <v>0</v>
      </c>
      <c r="N104" s="2609">
        <v>0</v>
      </c>
      <c r="O104" s="2609">
        <v>0</v>
      </c>
      <c r="P104" s="2609">
        <v>0</v>
      </c>
      <c r="Q104" s="2609">
        <v>0</v>
      </c>
      <c r="R104" s="2609">
        <v>0</v>
      </c>
      <c r="S104" s="2609">
        <v>0</v>
      </c>
      <c r="T104" s="2614">
        <v>0</v>
      </c>
      <c r="U104" s="2609">
        <v>0</v>
      </c>
      <c r="V104" s="2609">
        <v>0</v>
      </c>
      <c r="W104" s="2609">
        <v>0</v>
      </c>
      <c r="X104" s="2609">
        <v>0</v>
      </c>
      <c r="Y104" s="2609">
        <v>0</v>
      </c>
      <c r="Z104" s="2609">
        <v>0</v>
      </c>
      <c r="AA104" s="2609">
        <v>0</v>
      </c>
      <c r="AB104" s="2609">
        <v>0</v>
      </c>
      <c r="AC104" s="2609">
        <v>0</v>
      </c>
      <c r="AD104" s="2609">
        <v>0</v>
      </c>
      <c r="AE104" s="2609">
        <v>0</v>
      </c>
      <c r="AF104" s="2609">
        <v>0</v>
      </c>
      <c r="AG104" s="2609">
        <v>0</v>
      </c>
      <c r="AH104" s="2609">
        <v>0</v>
      </c>
      <c r="AI104" s="2609">
        <v>0</v>
      </c>
      <c r="AJ104" s="2609">
        <v>0</v>
      </c>
      <c r="AK104" s="2609">
        <v>0</v>
      </c>
      <c r="AL104" s="2602">
        <v>0</v>
      </c>
      <c r="AM104" s="2602">
        <v>0</v>
      </c>
      <c r="AN104" s="2602">
        <v>0</v>
      </c>
      <c r="AO104" s="2602">
        <v>0</v>
      </c>
      <c r="AP104" s="2602">
        <v>0</v>
      </c>
      <c r="AQ104" s="2615">
        <v>0</v>
      </c>
      <c r="AR104" s="2609">
        <v>0</v>
      </c>
      <c r="AS104" s="2609">
        <v>0</v>
      </c>
      <c r="AT104" s="2609">
        <v>0</v>
      </c>
      <c r="AU104" s="2609">
        <v>0</v>
      </c>
      <c r="AV104" s="2609">
        <v>0</v>
      </c>
      <c r="AW104" s="2609">
        <v>0</v>
      </c>
      <c r="AX104" s="2609">
        <v>0</v>
      </c>
      <c r="AY104" s="2609">
        <v>0</v>
      </c>
      <c r="AZ104" s="2609">
        <v>0</v>
      </c>
      <c r="BA104" s="2609">
        <v>0</v>
      </c>
      <c r="BB104" s="2614">
        <v>0</v>
      </c>
      <c r="BC104" s="2609">
        <v>0</v>
      </c>
      <c r="BD104" s="2612">
        <v>0</v>
      </c>
      <c r="BE104" s="2609">
        <v>0</v>
      </c>
      <c r="BF104" s="2609">
        <v>0</v>
      </c>
      <c r="BG104" s="2609">
        <v>0</v>
      </c>
      <c r="BH104" s="2609">
        <v>0</v>
      </c>
      <c r="BI104" s="2609">
        <v>0</v>
      </c>
      <c r="BJ104" s="2609">
        <v>0</v>
      </c>
      <c r="BK104" s="2609">
        <v>0</v>
      </c>
      <c r="BL104" s="2609">
        <v>0</v>
      </c>
      <c r="BM104" s="2609">
        <v>0</v>
      </c>
      <c r="BN104" s="2609">
        <v>0</v>
      </c>
      <c r="BO104" s="2552">
        <v>0</v>
      </c>
      <c r="BP104" s="2553">
        <v>0</v>
      </c>
    </row>
    <row r="105" spans="1:68" s="20" customFormat="1" ht="14.25" x14ac:dyDescent="0.2">
      <c r="A105" s="2555" t="s">
        <v>1632</v>
      </c>
      <c r="B105" s="2531" t="s">
        <v>1471</v>
      </c>
      <c r="C105" s="2565">
        <v>0</v>
      </c>
      <c r="D105" s="2565">
        <v>0</v>
      </c>
      <c r="E105" s="2565">
        <v>0</v>
      </c>
      <c r="F105" s="2565">
        <v>0</v>
      </c>
      <c r="G105" s="2565">
        <v>0</v>
      </c>
      <c r="H105" s="2565">
        <v>0</v>
      </c>
      <c r="I105" s="2565">
        <v>0</v>
      </c>
      <c r="J105" s="2565">
        <v>0</v>
      </c>
      <c r="K105" s="2565">
        <v>0</v>
      </c>
      <c r="L105" s="2565">
        <v>0</v>
      </c>
      <c r="M105" s="2565">
        <v>0</v>
      </c>
      <c r="N105" s="2565">
        <v>0</v>
      </c>
      <c r="O105" s="2565">
        <v>0</v>
      </c>
      <c r="P105" s="2565">
        <v>0</v>
      </c>
      <c r="Q105" s="2565">
        <v>0</v>
      </c>
      <c r="R105" s="2565">
        <v>0</v>
      </c>
      <c r="S105" s="2565">
        <v>0</v>
      </c>
      <c r="T105" s="2576">
        <v>0</v>
      </c>
      <c r="U105" s="2565">
        <v>0</v>
      </c>
      <c r="V105" s="2565">
        <v>0</v>
      </c>
      <c r="W105" s="2565">
        <v>0</v>
      </c>
      <c r="X105" s="2565">
        <v>0</v>
      </c>
      <c r="Y105" s="2565">
        <v>0</v>
      </c>
      <c r="Z105" s="2565">
        <v>0</v>
      </c>
      <c r="AA105" s="2565">
        <v>0</v>
      </c>
      <c r="AB105" s="2565">
        <v>0</v>
      </c>
      <c r="AC105" s="2565">
        <v>0</v>
      </c>
      <c r="AD105" s="2565">
        <v>0</v>
      </c>
      <c r="AE105" s="2565">
        <v>0</v>
      </c>
      <c r="AF105" s="2565">
        <v>0</v>
      </c>
      <c r="AG105" s="2565">
        <v>0</v>
      </c>
      <c r="AH105" s="2565">
        <v>0</v>
      </c>
      <c r="AI105" s="2565">
        <v>0</v>
      </c>
      <c r="AJ105" s="2565">
        <v>0</v>
      </c>
      <c r="AK105" s="2565">
        <v>0</v>
      </c>
      <c r="AL105" s="2560">
        <v>0</v>
      </c>
      <c r="AM105" s="2560">
        <v>0</v>
      </c>
      <c r="AN105" s="2560">
        <v>0</v>
      </c>
      <c r="AO105" s="2560">
        <v>0</v>
      </c>
      <c r="AP105" s="2560">
        <v>0</v>
      </c>
      <c r="AQ105" s="2569">
        <v>0</v>
      </c>
      <c r="AR105" s="2565">
        <v>0</v>
      </c>
      <c r="AS105" s="2565">
        <v>0</v>
      </c>
      <c r="AT105" s="2565">
        <v>0</v>
      </c>
      <c r="AU105" s="2565">
        <v>0</v>
      </c>
      <c r="AV105" s="2565">
        <v>0</v>
      </c>
      <c r="AW105" s="2565">
        <v>0</v>
      </c>
      <c r="AX105" s="2565">
        <v>0</v>
      </c>
      <c r="AY105" s="2565">
        <v>0</v>
      </c>
      <c r="AZ105" s="2565">
        <v>0</v>
      </c>
      <c r="BA105" s="2565">
        <v>0</v>
      </c>
      <c r="BB105" s="2576">
        <v>0</v>
      </c>
      <c r="BC105" s="2565">
        <v>0</v>
      </c>
      <c r="BD105" s="2565">
        <v>0</v>
      </c>
      <c r="BE105" s="2565">
        <v>0</v>
      </c>
      <c r="BF105" s="2565">
        <v>0</v>
      </c>
      <c r="BG105" s="2565">
        <v>0</v>
      </c>
      <c r="BH105" s="2565">
        <v>0</v>
      </c>
      <c r="BI105" s="2565">
        <v>0</v>
      </c>
      <c r="BJ105" s="2565">
        <v>0</v>
      </c>
      <c r="BK105" s="2565">
        <v>0</v>
      </c>
      <c r="BL105" s="2565">
        <v>0</v>
      </c>
      <c r="BM105" s="2565">
        <v>0</v>
      </c>
      <c r="BN105" s="2565">
        <v>0</v>
      </c>
      <c r="BO105" s="2528">
        <v>0</v>
      </c>
      <c r="BP105" s="2532">
        <v>0</v>
      </c>
    </row>
    <row r="106" spans="1:68" s="20" customFormat="1" ht="14.25" x14ac:dyDescent="0.2">
      <c r="A106" s="2556" t="s">
        <v>1633</v>
      </c>
      <c r="B106" s="2551" t="s">
        <v>1475</v>
      </c>
      <c r="C106" s="2609">
        <v>0</v>
      </c>
      <c r="D106" s="2609">
        <v>0</v>
      </c>
      <c r="E106" s="2609">
        <v>0</v>
      </c>
      <c r="F106" s="2609">
        <v>0</v>
      </c>
      <c r="G106" s="2609">
        <v>0</v>
      </c>
      <c r="H106" s="2609">
        <v>0</v>
      </c>
      <c r="I106" s="2609">
        <v>0</v>
      </c>
      <c r="J106" s="2609">
        <v>0</v>
      </c>
      <c r="K106" s="2609">
        <v>0</v>
      </c>
      <c r="L106" s="2609">
        <v>0</v>
      </c>
      <c r="M106" s="2609">
        <v>0</v>
      </c>
      <c r="N106" s="2609">
        <v>0</v>
      </c>
      <c r="O106" s="2609">
        <v>0</v>
      </c>
      <c r="P106" s="2609">
        <v>0</v>
      </c>
      <c r="Q106" s="2609">
        <v>0</v>
      </c>
      <c r="R106" s="2609">
        <v>0</v>
      </c>
      <c r="S106" s="2609">
        <v>0</v>
      </c>
      <c r="T106" s="2614">
        <v>0</v>
      </c>
      <c r="U106" s="2609">
        <v>0</v>
      </c>
      <c r="V106" s="2609">
        <v>0</v>
      </c>
      <c r="W106" s="2609">
        <v>0</v>
      </c>
      <c r="X106" s="2609">
        <v>0</v>
      </c>
      <c r="Y106" s="2609">
        <v>0</v>
      </c>
      <c r="Z106" s="2609">
        <v>0</v>
      </c>
      <c r="AA106" s="2609">
        <v>0</v>
      </c>
      <c r="AB106" s="2609"/>
      <c r="AC106" s="2609">
        <v>0</v>
      </c>
      <c r="AD106" s="2609">
        <v>0</v>
      </c>
      <c r="AE106" s="2609">
        <v>0</v>
      </c>
      <c r="AF106" s="2609">
        <v>0</v>
      </c>
      <c r="AG106" s="2609">
        <v>0</v>
      </c>
      <c r="AH106" s="2609">
        <v>0</v>
      </c>
      <c r="AI106" s="2609">
        <v>0</v>
      </c>
      <c r="AJ106" s="2609">
        <v>0</v>
      </c>
      <c r="AK106" s="2609">
        <v>0</v>
      </c>
      <c r="AL106" s="2602">
        <v>0</v>
      </c>
      <c r="AM106" s="2602">
        <v>0</v>
      </c>
      <c r="AN106" s="2602">
        <v>0</v>
      </c>
      <c r="AO106" s="2602">
        <v>0</v>
      </c>
      <c r="AP106" s="2602">
        <v>0</v>
      </c>
      <c r="AQ106" s="2610">
        <v>0</v>
      </c>
      <c r="AR106" s="2609">
        <v>0</v>
      </c>
      <c r="AS106" s="2609">
        <v>0</v>
      </c>
      <c r="AT106" s="2609">
        <v>0</v>
      </c>
      <c r="AU106" s="2609">
        <v>0</v>
      </c>
      <c r="AV106" s="2609">
        <v>0</v>
      </c>
      <c r="AW106" s="2609">
        <v>0</v>
      </c>
      <c r="AX106" s="2609">
        <v>0</v>
      </c>
      <c r="AY106" s="2609">
        <v>0</v>
      </c>
      <c r="AZ106" s="2609">
        <v>0</v>
      </c>
      <c r="BA106" s="2609">
        <v>0</v>
      </c>
      <c r="BB106" s="2614">
        <v>0</v>
      </c>
      <c r="BC106" s="2609">
        <v>0</v>
      </c>
      <c r="BD106" s="2609">
        <v>0</v>
      </c>
      <c r="BE106" s="2609">
        <v>0</v>
      </c>
      <c r="BF106" s="2609">
        <v>0</v>
      </c>
      <c r="BG106" s="2609">
        <v>0</v>
      </c>
      <c r="BH106" s="2609">
        <v>0</v>
      </c>
      <c r="BI106" s="2609">
        <v>0</v>
      </c>
      <c r="BJ106" s="2609">
        <v>0</v>
      </c>
      <c r="BK106" s="2609">
        <v>0</v>
      </c>
      <c r="BL106" s="2609">
        <v>0</v>
      </c>
      <c r="BM106" s="2609">
        <v>0</v>
      </c>
      <c r="BN106" s="2609">
        <v>0</v>
      </c>
      <c r="BO106" s="2552">
        <v>0</v>
      </c>
      <c r="BP106" s="2553">
        <v>0</v>
      </c>
    </row>
    <row r="107" spans="1:68" ht="14.25" x14ac:dyDescent="0.2">
      <c r="A107" s="2482"/>
      <c r="B107" s="2482"/>
      <c r="C107" s="2557"/>
      <c r="D107" s="2557"/>
      <c r="E107" s="2557"/>
      <c r="F107" s="2557"/>
      <c r="G107" s="2557"/>
      <c r="H107" s="2557"/>
      <c r="I107" s="2557"/>
      <c r="J107" s="2557"/>
      <c r="K107" s="2557"/>
      <c r="L107" s="2557"/>
      <c r="M107" s="2557"/>
      <c r="N107" s="2557"/>
      <c r="O107" s="2557"/>
      <c r="P107" s="2557"/>
      <c r="Q107" s="2557"/>
      <c r="R107" s="2557"/>
      <c r="S107" s="2557"/>
      <c r="T107" s="2557"/>
      <c r="U107" s="2557"/>
      <c r="V107" s="2557"/>
      <c r="W107" s="2557"/>
      <c r="X107" s="2557"/>
      <c r="Y107" s="2557"/>
      <c r="Z107" s="2557"/>
      <c r="AA107" s="2557"/>
      <c r="AB107" s="2557"/>
      <c r="AC107" s="2557"/>
      <c r="AD107" s="2557"/>
      <c r="AE107" s="2557"/>
      <c r="AF107" s="2557"/>
      <c r="AG107" s="2557"/>
      <c r="AH107" s="2557"/>
      <c r="AI107" s="2557"/>
      <c r="AJ107" s="2557"/>
      <c r="AK107" s="2557"/>
      <c r="AL107" s="2557"/>
      <c r="AM107" s="2557"/>
      <c r="AN107" s="2557"/>
      <c r="AO107" s="2557"/>
      <c r="AP107" s="2557"/>
      <c r="AQ107" s="2557"/>
      <c r="AR107" s="2557"/>
      <c r="AS107" s="2557"/>
      <c r="AT107" s="2557"/>
      <c r="AU107" s="2557"/>
      <c r="AV107" s="2557"/>
      <c r="AW107" s="2557"/>
      <c r="AX107" s="2557"/>
      <c r="AY107" s="2557"/>
      <c r="AZ107" s="2557"/>
      <c r="BA107" s="2557"/>
      <c r="BB107" s="2557"/>
      <c r="BC107" s="2557"/>
      <c r="BD107" s="2557"/>
      <c r="BE107" s="2557"/>
      <c r="BF107" s="2557"/>
      <c r="BG107" s="2557"/>
      <c r="BH107" s="2557"/>
      <c r="BI107" s="2557"/>
      <c r="BJ107" s="2557"/>
      <c r="BK107" s="2557"/>
      <c r="BL107" s="2557"/>
      <c r="BM107" s="2557"/>
      <c r="BN107" s="2557"/>
      <c r="BO107" s="2557"/>
      <c r="BP107" s="2557"/>
    </row>
    <row r="108" spans="1:68" x14ac:dyDescent="0.2">
      <c r="A108" s="15"/>
      <c r="B108" s="15"/>
      <c r="C108" s="53"/>
      <c r="D108" s="53"/>
      <c r="E108" s="53"/>
      <c r="F108" s="53"/>
      <c r="G108" s="53"/>
      <c r="H108" s="53"/>
      <c r="I108" s="53"/>
      <c r="J108" s="53"/>
      <c r="K108" s="53"/>
      <c r="L108" s="53"/>
      <c r="M108" s="15"/>
      <c r="N108" s="53"/>
      <c r="O108" s="53"/>
      <c r="P108" s="53"/>
      <c r="Q108" s="53"/>
      <c r="R108"/>
      <c r="S108"/>
      <c r="T108"/>
      <c r="U108"/>
      <c r="V108"/>
      <c r="W108"/>
      <c r="X108"/>
      <c r="Y108"/>
      <c r="Z108"/>
      <c r="AA108"/>
      <c r="AB108"/>
      <c r="AC108"/>
      <c r="AD108"/>
      <c r="AE108"/>
      <c r="AF108"/>
      <c r="AG108"/>
      <c r="AH108"/>
      <c r="AI108"/>
      <c r="AJ108"/>
      <c r="AK108"/>
      <c r="AL108"/>
      <c r="AM108"/>
      <c r="AN108"/>
      <c r="AO108" s="2253"/>
      <c r="AP108" s="2253"/>
      <c r="AQ108"/>
      <c r="AR108" s="53"/>
      <c r="AS108" s="53"/>
      <c r="AT108" s="53"/>
      <c r="AU108" s="909"/>
      <c r="AV108" s="53"/>
      <c r="AW108" s="53"/>
      <c r="AX108" s="53"/>
      <c r="AY108" s="53"/>
      <c r="AZ108" s="53"/>
      <c r="BA108" s="53"/>
      <c r="BB108" s="53"/>
      <c r="BC108" s="53"/>
      <c r="BD108" s="53"/>
      <c r="BE108" s="53"/>
      <c r="BF108" s="53"/>
      <c r="BG108" s="53"/>
      <c r="BH108" s="53"/>
      <c r="BI108" s="53"/>
      <c r="BJ108" s="53"/>
      <c r="BK108" s="53"/>
      <c r="BL108" s="53"/>
      <c r="BM108" s="53"/>
      <c r="BN108" s="53"/>
      <c r="BO108" s="53"/>
      <c r="BP108" s="53"/>
    </row>
    <row r="109" spans="1:68" x14ac:dyDescent="0.2">
      <c r="A109" s="15"/>
      <c r="B109" s="15"/>
      <c r="C109" s="53"/>
      <c r="D109" s="53"/>
      <c r="E109" s="53"/>
      <c r="F109" s="53"/>
      <c r="G109" s="53"/>
      <c r="H109" s="53"/>
      <c r="I109" s="53"/>
      <c r="J109" s="53"/>
      <c r="K109" s="53"/>
      <c r="L109" s="53"/>
      <c r="M109" s="15"/>
      <c r="N109" s="53"/>
      <c r="O109" s="53"/>
      <c r="P109" s="53"/>
      <c r="Q109" s="53"/>
      <c r="R109"/>
      <c r="S109"/>
      <c r="T109"/>
      <c r="U109"/>
      <c r="V109"/>
      <c r="W109"/>
      <c r="X109"/>
      <c r="Y109"/>
      <c r="Z109"/>
      <c r="AA109"/>
      <c r="AB109"/>
      <c r="AC109"/>
      <c r="AD109"/>
      <c r="AE109"/>
      <c r="AF109"/>
      <c r="AG109"/>
      <c r="AH109"/>
      <c r="AI109"/>
      <c r="AJ109"/>
      <c r="AK109"/>
      <c r="AL109"/>
      <c r="AM109"/>
      <c r="AN109"/>
      <c r="AO109" s="53"/>
      <c r="AP109" s="53"/>
      <c r="AQ109"/>
      <c r="AR109" s="53"/>
      <c r="AS109" s="53"/>
      <c r="AT109" s="53"/>
      <c r="AU109" s="909"/>
      <c r="AV109" s="53"/>
      <c r="AW109" s="53"/>
      <c r="AX109" s="53"/>
      <c r="AY109" s="53"/>
      <c r="AZ109" s="53"/>
      <c r="BA109" s="53"/>
      <c r="BB109" s="53"/>
      <c r="BC109" s="53"/>
      <c r="BD109" s="53"/>
      <c r="BE109" s="53"/>
      <c r="BF109" s="53"/>
      <c r="BG109" s="53"/>
      <c r="BH109" s="53"/>
      <c r="BI109" s="53"/>
      <c r="BJ109" s="53"/>
      <c r="BK109" s="53"/>
      <c r="BL109" s="53"/>
      <c r="BM109" s="53"/>
      <c r="BN109" s="53"/>
      <c r="BO109" s="53"/>
      <c r="BP109" s="53"/>
    </row>
    <row r="110" spans="1:68" x14ac:dyDescent="0.2">
      <c r="A110" s="15"/>
      <c r="B110" s="15"/>
      <c r="C110" s="53"/>
      <c r="D110" s="53"/>
      <c r="E110" s="53"/>
      <c r="F110" s="53"/>
      <c r="G110" s="53"/>
      <c r="H110" s="53"/>
      <c r="I110" s="53"/>
      <c r="J110" s="53"/>
      <c r="K110" s="53"/>
      <c r="L110" s="53"/>
      <c r="M110" s="15"/>
      <c r="N110" s="53"/>
      <c r="O110" s="53"/>
      <c r="P110" s="53"/>
      <c r="Q110" s="53"/>
      <c r="R110"/>
      <c r="S110"/>
      <c r="T110"/>
      <c r="U110"/>
      <c r="V110"/>
      <c r="W110"/>
      <c r="X110"/>
      <c r="Y110"/>
      <c r="Z110"/>
      <c r="AA110"/>
      <c r="AB110"/>
      <c r="AC110"/>
      <c r="AD110"/>
      <c r="AE110"/>
      <c r="AF110"/>
      <c r="AG110"/>
      <c r="AH110"/>
      <c r="AI110"/>
      <c r="AJ110"/>
      <c r="AK110"/>
      <c r="AL110"/>
      <c r="AM110"/>
      <c r="AN110"/>
      <c r="AO110" s="53"/>
      <c r="AP110" s="53"/>
      <c r="AQ110"/>
      <c r="AR110" s="53"/>
      <c r="AS110" s="53"/>
      <c r="AT110" s="53"/>
      <c r="AU110" s="909"/>
      <c r="AV110" s="53"/>
      <c r="AW110" s="53"/>
      <c r="AX110" s="53"/>
      <c r="AY110" s="53"/>
      <c r="AZ110" s="53"/>
      <c r="BA110" s="53"/>
      <c r="BB110" s="53"/>
      <c r="BC110" s="53"/>
      <c r="BD110" s="53"/>
      <c r="BE110" s="53"/>
      <c r="BF110" s="53"/>
      <c r="BG110" s="53"/>
      <c r="BH110" s="53"/>
      <c r="BI110" s="53"/>
      <c r="BJ110" s="53"/>
      <c r="BK110" s="53"/>
      <c r="BL110" s="53"/>
      <c r="BM110" s="53"/>
      <c r="BN110" s="53"/>
      <c r="BO110" s="53"/>
      <c r="BP110" s="53"/>
    </row>
    <row r="111" spans="1:68" x14ac:dyDescent="0.2">
      <c r="A111" s="15"/>
      <c r="B111" s="15"/>
      <c r="C111" s="53"/>
      <c r="D111" s="53"/>
      <c r="E111" s="53"/>
      <c r="F111" s="53"/>
      <c r="G111" s="53"/>
      <c r="H111" s="53"/>
      <c r="I111" s="53"/>
      <c r="J111" s="53"/>
      <c r="K111" s="53"/>
      <c r="L111" s="53"/>
      <c r="M111" s="15"/>
      <c r="N111" s="53"/>
      <c r="O111" s="53"/>
      <c r="P111" s="53"/>
      <c r="Q111" s="53"/>
      <c r="R111"/>
      <c r="S111"/>
      <c r="T111"/>
      <c r="U111"/>
      <c r="V111"/>
      <c r="W111"/>
      <c r="X111"/>
      <c r="Y111"/>
      <c r="Z111"/>
      <c r="AA111"/>
      <c r="AB111"/>
      <c r="AC111"/>
      <c r="AD111"/>
      <c r="AE111"/>
      <c r="AF111"/>
      <c r="AG111"/>
      <c r="AH111"/>
      <c r="AI111"/>
      <c r="AJ111"/>
      <c r="AK111"/>
      <c r="AL111"/>
      <c r="AM111"/>
      <c r="AN111"/>
      <c r="AO111" s="53"/>
      <c r="AP111" s="53"/>
      <c r="AQ111"/>
      <c r="AR111" s="53"/>
      <c r="AS111" s="53"/>
      <c r="AT111" s="53"/>
      <c r="AU111" s="909"/>
      <c r="AV111" s="53"/>
      <c r="AW111" s="53"/>
      <c r="AX111" s="53"/>
      <c r="AY111" s="53"/>
      <c r="AZ111" s="53"/>
      <c r="BA111" s="53"/>
      <c r="BB111" s="53"/>
      <c r="BC111" s="53"/>
      <c r="BD111" s="2254"/>
      <c r="BE111" s="53"/>
      <c r="BF111" s="53"/>
      <c r="BG111" s="53"/>
      <c r="BH111" s="53"/>
      <c r="BI111" s="53"/>
      <c r="BJ111" s="53"/>
      <c r="BK111" s="53"/>
      <c r="BL111" s="53"/>
      <c r="BM111" s="53"/>
      <c r="BN111" s="53"/>
      <c r="BO111" s="53"/>
      <c r="BP111" s="53"/>
    </row>
    <row r="112" spans="1:68" x14ac:dyDescent="0.2">
      <c r="A112" s="15"/>
      <c r="B112" s="15"/>
      <c r="C112" s="53"/>
      <c r="D112" s="53"/>
      <c r="E112" s="53"/>
      <c r="F112" s="53"/>
      <c r="G112" s="53"/>
      <c r="H112" s="53"/>
      <c r="I112" s="53"/>
      <c r="J112" s="53"/>
      <c r="K112" s="53"/>
      <c r="L112" s="53"/>
      <c r="M112" s="15"/>
      <c r="N112" s="53"/>
      <c r="O112" s="53"/>
      <c r="P112" s="53"/>
      <c r="Q112" s="53"/>
      <c r="R112"/>
      <c r="S112"/>
      <c r="T112"/>
      <c r="U112"/>
      <c r="V112"/>
      <c r="W112"/>
      <c r="X112"/>
      <c r="Y112"/>
      <c r="Z112"/>
      <c r="AA112"/>
      <c r="AB112"/>
      <c r="AC112"/>
      <c r="AD112"/>
      <c r="AE112"/>
      <c r="AF112"/>
      <c r="AG112"/>
      <c r="AH112"/>
      <c r="AI112"/>
      <c r="AJ112"/>
      <c r="AK112"/>
      <c r="AL112"/>
      <c r="AM112"/>
      <c r="AN112"/>
      <c r="AO112" s="53"/>
      <c r="AP112" s="53"/>
      <c r="AQ112" s="15"/>
      <c r="AR112" s="53"/>
      <c r="AS112" s="53"/>
      <c r="AT112" s="53"/>
      <c r="AU112" s="909"/>
      <c r="AV112" s="53"/>
      <c r="AW112" s="53"/>
      <c r="AX112" s="53"/>
      <c r="AY112" s="53"/>
      <c r="AZ112" s="53"/>
      <c r="BA112" s="53"/>
      <c r="BB112" s="53"/>
      <c r="BC112" s="53"/>
      <c r="BD112" s="53"/>
      <c r="BE112" s="53"/>
      <c r="BF112" s="53"/>
      <c r="BG112" s="53"/>
      <c r="BH112" s="53"/>
      <c r="BI112" s="53"/>
      <c r="BJ112" s="53"/>
      <c r="BK112" s="53"/>
      <c r="BL112" s="53"/>
      <c r="BM112" s="53"/>
      <c r="BN112" s="53"/>
      <c r="BO112" s="53"/>
      <c r="BP112" s="53"/>
    </row>
    <row r="113" spans="1:68" x14ac:dyDescent="0.2">
      <c r="A113" s="15"/>
      <c r="B113" s="15"/>
      <c r="C113" s="53"/>
      <c r="D113" s="53"/>
      <c r="E113" s="53"/>
      <c r="F113" s="53"/>
      <c r="G113" s="53"/>
      <c r="H113" s="53"/>
      <c r="I113" s="53"/>
      <c r="J113" s="53"/>
      <c r="K113" s="53"/>
      <c r="L113" s="53"/>
      <c r="M113" s="15"/>
      <c r="N113" s="53"/>
      <c r="O113" s="53"/>
      <c r="P113" s="53"/>
      <c r="Q113" s="53"/>
      <c r="R113" s="53"/>
      <c r="S113" s="53"/>
      <c r="T113" s="53"/>
      <c r="U113" s="53"/>
      <c r="V113" s="53"/>
      <c r="W113" s="53"/>
      <c r="X113" s="53"/>
      <c r="Y113" s="53"/>
      <c r="Z113" s="53"/>
      <c r="AA113" s="53"/>
      <c r="AB113" s="53"/>
      <c r="AC113" s="53"/>
      <c r="AD113" s="53"/>
      <c r="AE113" s="53"/>
      <c r="AF113" s="53"/>
      <c r="AG113" s="53"/>
      <c r="AH113" s="53"/>
      <c r="AI113" s="53"/>
      <c r="AJ113" s="53"/>
      <c r="AK113" s="53"/>
      <c r="AL113" s="53"/>
      <c r="AM113" s="53"/>
      <c r="AN113" s="53"/>
      <c r="AO113" s="53"/>
      <c r="AP113" s="53"/>
      <c r="AQ113" s="15"/>
      <c r="AR113" s="53"/>
      <c r="AS113" s="53"/>
      <c r="AT113" s="53"/>
      <c r="AU113" s="909"/>
      <c r="AV113" s="53"/>
      <c r="AW113" s="53"/>
      <c r="AX113" s="53"/>
      <c r="AY113" s="53"/>
      <c r="AZ113" s="53"/>
      <c r="BA113" s="53"/>
      <c r="BB113" s="53"/>
      <c r="BC113" s="53"/>
      <c r="BD113" s="53"/>
      <c r="BE113" s="53"/>
      <c r="BF113" s="53"/>
      <c r="BG113" s="53"/>
      <c r="BH113" s="53"/>
      <c r="BI113" s="53"/>
      <c r="BJ113" s="53"/>
      <c r="BK113" s="53"/>
      <c r="BL113" s="53"/>
      <c r="BM113" s="53"/>
      <c r="BN113" s="53"/>
      <c r="BO113" s="53"/>
      <c r="BP113" s="53"/>
    </row>
    <row r="114" spans="1:68" x14ac:dyDescent="0.2">
      <c r="A114" s="15"/>
      <c r="B114" s="15"/>
      <c r="C114" s="53"/>
      <c r="D114" s="53"/>
      <c r="E114" s="53"/>
      <c r="F114" s="53"/>
      <c r="G114" s="53"/>
      <c r="H114" s="53"/>
      <c r="I114" s="53"/>
      <c r="J114" s="53"/>
      <c r="K114" s="53"/>
      <c r="L114" s="53"/>
      <c r="M114" s="15"/>
      <c r="N114" s="53"/>
      <c r="O114" s="53"/>
      <c r="P114" s="53"/>
      <c r="Q114" s="53"/>
      <c r="R114" s="53"/>
      <c r="S114" s="53"/>
      <c r="T114" s="53"/>
      <c r="U114" s="53"/>
      <c r="V114" s="53"/>
      <c r="W114" s="53"/>
      <c r="X114" s="53"/>
      <c r="Y114" s="53"/>
      <c r="Z114" s="53"/>
      <c r="AA114" s="53"/>
      <c r="AB114" s="53"/>
      <c r="AC114" s="53"/>
      <c r="AD114" s="53"/>
      <c r="AE114" s="53"/>
      <c r="AF114" s="53"/>
      <c r="AG114" s="53"/>
      <c r="AH114" s="53"/>
      <c r="AI114" s="53"/>
      <c r="AJ114" s="53"/>
      <c r="AK114" s="53"/>
      <c r="AL114" s="53"/>
      <c r="AM114" s="53"/>
      <c r="AN114" s="53"/>
      <c r="AO114" s="53"/>
      <c r="AP114" s="53"/>
      <c r="AQ114" s="15"/>
      <c r="AR114" s="53"/>
      <c r="AS114" s="53"/>
      <c r="AT114" s="53"/>
      <c r="AU114" s="909"/>
      <c r="AV114" s="53"/>
      <c r="AW114" s="53"/>
      <c r="AX114" s="53"/>
      <c r="AY114" s="53"/>
      <c r="AZ114" s="53"/>
      <c r="BA114" s="53"/>
      <c r="BB114" s="53"/>
      <c r="BC114" s="53"/>
      <c r="BD114" s="53"/>
      <c r="BE114" s="53"/>
      <c r="BF114" s="53"/>
      <c r="BG114" s="53"/>
      <c r="BH114" s="53"/>
      <c r="BI114" s="53"/>
      <c r="BJ114" s="53"/>
      <c r="BK114" s="53"/>
      <c r="BL114" s="53"/>
      <c r="BM114" s="53"/>
      <c r="BN114" s="53"/>
      <c r="BO114" s="53"/>
      <c r="BP114" s="53"/>
    </row>
    <row r="115" spans="1:68" x14ac:dyDescent="0.2">
      <c r="A115" s="15"/>
      <c r="B115" s="15"/>
      <c r="C115" s="53"/>
      <c r="D115" s="53"/>
      <c r="E115" s="53"/>
      <c r="F115" s="53"/>
      <c r="G115" s="53"/>
      <c r="H115" s="53"/>
      <c r="I115" s="53"/>
      <c r="J115" s="53"/>
      <c r="K115" s="53"/>
      <c r="L115" s="53"/>
      <c r="M115" s="15"/>
      <c r="N115" s="53"/>
      <c r="O115" s="53"/>
      <c r="P115" s="53"/>
      <c r="Q115" s="53"/>
      <c r="R115" s="53"/>
      <c r="S115" s="53"/>
      <c r="T115" s="53"/>
      <c r="U115" s="53"/>
      <c r="V115" s="53"/>
      <c r="W115" s="53"/>
      <c r="X115" s="53"/>
      <c r="Y115" s="53"/>
      <c r="Z115" s="53"/>
      <c r="AA115" s="53"/>
      <c r="AB115" s="53"/>
      <c r="AC115" s="53"/>
      <c r="AD115" s="53"/>
      <c r="AE115" s="53"/>
      <c r="AF115" s="53"/>
      <c r="AG115" s="53"/>
      <c r="AH115" s="53"/>
      <c r="AI115" s="53"/>
      <c r="AJ115" s="53"/>
      <c r="AK115" s="53"/>
      <c r="AL115" s="53"/>
      <c r="AM115" s="53"/>
      <c r="AN115" s="53"/>
      <c r="AO115" s="53"/>
      <c r="AP115" s="53"/>
      <c r="AQ115" s="15"/>
      <c r="AR115" s="53"/>
      <c r="AS115" s="53"/>
      <c r="AT115" s="53"/>
      <c r="AU115" s="909"/>
      <c r="AV115" s="53"/>
      <c r="AW115" s="53"/>
      <c r="AX115" s="53"/>
      <c r="AY115" s="53"/>
      <c r="AZ115" s="53"/>
      <c r="BA115" s="53"/>
      <c r="BB115" s="53"/>
      <c r="BC115" s="53"/>
      <c r="BD115" s="53"/>
      <c r="BE115" s="53"/>
      <c r="BF115" s="53"/>
      <c r="BG115" s="53"/>
      <c r="BH115" s="53"/>
      <c r="BI115" s="53"/>
      <c r="BJ115" s="53"/>
      <c r="BK115" s="53"/>
      <c r="BL115" s="53"/>
      <c r="BM115" s="53"/>
      <c r="BN115" s="53"/>
      <c r="BO115" s="53"/>
      <c r="BP115" s="53"/>
    </row>
    <row r="116" spans="1:68" x14ac:dyDescent="0.2">
      <c r="A116" s="15"/>
      <c r="B116" s="15"/>
      <c r="C116" s="53"/>
      <c r="D116" s="53"/>
      <c r="E116" s="53"/>
      <c r="F116" s="53"/>
      <c r="G116" s="53"/>
      <c r="H116" s="53"/>
      <c r="I116" s="53"/>
      <c r="J116" s="53"/>
      <c r="K116" s="53"/>
      <c r="L116" s="53"/>
      <c r="M116" s="15"/>
      <c r="N116" s="53"/>
      <c r="O116" s="53"/>
      <c r="P116" s="53"/>
      <c r="Q116" s="53"/>
      <c r="R116" s="53"/>
      <c r="S116" s="53"/>
      <c r="T116" s="53"/>
      <c r="U116" s="53"/>
      <c r="V116" s="53"/>
      <c r="W116" s="53"/>
      <c r="X116" s="53"/>
      <c r="Y116" s="53"/>
      <c r="Z116" s="53"/>
      <c r="AA116" s="53"/>
      <c r="AB116" s="53"/>
      <c r="AC116" s="53"/>
      <c r="AD116" s="53"/>
      <c r="AE116" s="53"/>
      <c r="AF116" s="53"/>
      <c r="AG116" s="53"/>
      <c r="AH116" s="53"/>
      <c r="AI116" s="53"/>
      <c r="AJ116" s="53"/>
      <c r="AK116" s="53"/>
      <c r="AL116" s="53"/>
      <c r="AM116" s="53"/>
      <c r="AN116" s="53"/>
      <c r="AO116" s="53"/>
      <c r="AP116" s="53"/>
      <c r="AQ116" s="15"/>
      <c r="AR116" s="53"/>
      <c r="AS116" s="53"/>
      <c r="AT116" s="53"/>
      <c r="AU116" s="909"/>
      <c r="AV116" s="53"/>
      <c r="AW116" s="53"/>
      <c r="AX116" s="53"/>
      <c r="AY116" s="53"/>
      <c r="AZ116" s="53"/>
      <c r="BA116" s="53"/>
      <c r="BB116" s="53"/>
      <c r="BC116" s="53"/>
      <c r="BD116" s="53"/>
      <c r="BE116" s="53"/>
      <c r="BF116" s="53"/>
      <c r="BG116" s="53"/>
      <c r="BH116" s="53"/>
      <c r="BI116" s="53"/>
      <c r="BJ116" s="53"/>
      <c r="BK116" s="53"/>
      <c r="BL116" s="53"/>
      <c r="BM116" s="53"/>
      <c r="BN116" s="53"/>
      <c r="BO116" s="53"/>
      <c r="BP116" s="53"/>
    </row>
    <row r="117" spans="1:68" hidden="1" x14ac:dyDescent="0.2">
      <c r="A117" s="15" t="s">
        <v>1634</v>
      </c>
      <c r="B117" s="15"/>
      <c r="C117" s="15" t="b">
        <f>C60&lt;&gt;C61+C75+C82+C88</f>
        <v>0</v>
      </c>
      <c r="D117" s="15" t="b">
        <f t="shared" ref="D117:BO117" si="25">D60&lt;&gt;D61+D75+D82+D88</f>
        <v>0</v>
      </c>
      <c r="E117" s="15" t="b">
        <f t="shared" si="25"/>
        <v>0</v>
      </c>
      <c r="F117" s="15" t="b">
        <f t="shared" si="25"/>
        <v>0</v>
      </c>
      <c r="G117" s="15" t="b">
        <f t="shared" si="25"/>
        <v>0</v>
      </c>
      <c r="H117" s="15" t="b">
        <f t="shared" si="25"/>
        <v>0</v>
      </c>
      <c r="I117" s="15" t="b">
        <f t="shared" si="25"/>
        <v>0</v>
      </c>
      <c r="J117" s="15" t="b">
        <f t="shared" si="25"/>
        <v>0</v>
      </c>
      <c r="K117" s="15" t="b">
        <f t="shared" si="25"/>
        <v>0</v>
      </c>
      <c r="L117" s="15" t="b">
        <f t="shared" si="25"/>
        <v>0</v>
      </c>
      <c r="M117" s="15" t="b">
        <f t="shared" si="25"/>
        <v>0</v>
      </c>
      <c r="N117" s="15" t="b">
        <f t="shared" si="25"/>
        <v>0</v>
      </c>
      <c r="O117" s="15" t="b">
        <f t="shared" si="25"/>
        <v>0</v>
      </c>
      <c r="P117" s="15" t="b">
        <f t="shared" si="25"/>
        <v>0</v>
      </c>
      <c r="Q117" s="15" t="b">
        <f t="shared" si="25"/>
        <v>0</v>
      </c>
      <c r="R117" s="15" t="b">
        <f t="shared" si="25"/>
        <v>0</v>
      </c>
      <c r="S117" s="15" t="b">
        <f t="shared" si="25"/>
        <v>0</v>
      </c>
      <c r="T117" s="15" t="b">
        <f t="shared" si="25"/>
        <v>0</v>
      </c>
      <c r="U117" s="15" t="b">
        <f t="shared" si="25"/>
        <v>0</v>
      </c>
      <c r="V117" s="15" t="b">
        <f t="shared" si="25"/>
        <v>0</v>
      </c>
      <c r="W117" s="15" t="b">
        <f t="shared" si="25"/>
        <v>0</v>
      </c>
      <c r="X117" s="15" t="b">
        <f t="shared" si="25"/>
        <v>0</v>
      </c>
      <c r="Y117" s="15" t="b">
        <f t="shared" si="25"/>
        <v>0</v>
      </c>
      <c r="Z117" s="15" t="b">
        <f t="shared" si="25"/>
        <v>0</v>
      </c>
      <c r="AA117" s="15" t="b">
        <f t="shared" si="25"/>
        <v>0</v>
      </c>
      <c r="AB117" s="15" t="b">
        <f t="shared" si="25"/>
        <v>0</v>
      </c>
      <c r="AC117" s="15" t="b">
        <f t="shared" si="25"/>
        <v>0</v>
      </c>
      <c r="AD117" s="15" t="b">
        <f t="shared" si="25"/>
        <v>0</v>
      </c>
      <c r="AE117" s="15" t="b">
        <f t="shared" si="25"/>
        <v>0</v>
      </c>
      <c r="AF117" s="15" t="b">
        <f t="shared" si="25"/>
        <v>0</v>
      </c>
      <c r="AG117" s="15" t="b">
        <f t="shared" si="25"/>
        <v>0</v>
      </c>
      <c r="AH117" s="15" t="b">
        <f t="shared" si="25"/>
        <v>0</v>
      </c>
      <c r="AI117" s="15" t="b">
        <f t="shared" si="25"/>
        <v>0</v>
      </c>
      <c r="AJ117" s="15" t="b">
        <f t="shared" si="25"/>
        <v>0</v>
      </c>
      <c r="AK117" s="15" t="b">
        <f t="shared" si="25"/>
        <v>0</v>
      </c>
      <c r="AL117" s="15" t="b">
        <f t="shared" si="25"/>
        <v>0</v>
      </c>
      <c r="AM117" s="15" t="b">
        <f t="shared" si="25"/>
        <v>0</v>
      </c>
      <c r="AN117" s="15" t="b">
        <f t="shared" si="25"/>
        <v>0</v>
      </c>
      <c r="AO117" s="15" t="b">
        <f t="shared" si="25"/>
        <v>0</v>
      </c>
      <c r="AP117" s="15" t="b">
        <f t="shared" si="25"/>
        <v>0</v>
      </c>
      <c r="AQ117" s="15" t="b">
        <f t="shared" si="25"/>
        <v>0</v>
      </c>
      <c r="AR117" s="15" t="b">
        <f t="shared" si="25"/>
        <v>0</v>
      </c>
      <c r="AS117" s="15" t="b">
        <f t="shared" si="25"/>
        <v>0</v>
      </c>
      <c r="AT117" s="15" t="b">
        <f t="shared" si="25"/>
        <v>0</v>
      </c>
      <c r="AU117" s="15" t="b">
        <f t="shared" si="25"/>
        <v>0</v>
      </c>
      <c r="AV117" s="15" t="b">
        <f t="shared" si="25"/>
        <v>0</v>
      </c>
      <c r="AW117" s="15" t="b">
        <f t="shared" si="25"/>
        <v>0</v>
      </c>
      <c r="AX117" s="15" t="b">
        <f t="shared" si="25"/>
        <v>0</v>
      </c>
      <c r="AY117" s="15" t="b">
        <f t="shared" si="25"/>
        <v>0</v>
      </c>
      <c r="AZ117" s="15" t="b">
        <f t="shared" si="25"/>
        <v>0</v>
      </c>
      <c r="BA117" s="15" t="b">
        <f t="shared" si="25"/>
        <v>0</v>
      </c>
      <c r="BB117" s="15" t="b">
        <f t="shared" si="25"/>
        <v>0</v>
      </c>
      <c r="BC117" s="15" t="b">
        <f t="shared" si="25"/>
        <v>0</v>
      </c>
      <c r="BD117" s="15" t="b">
        <f t="shared" si="25"/>
        <v>0</v>
      </c>
      <c r="BE117" s="15" t="b">
        <f t="shared" si="25"/>
        <v>0</v>
      </c>
      <c r="BF117" s="15" t="b">
        <f t="shared" si="25"/>
        <v>0</v>
      </c>
      <c r="BG117" s="15" t="b">
        <f t="shared" si="25"/>
        <v>0</v>
      </c>
      <c r="BH117" s="15" t="b">
        <f t="shared" si="25"/>
        <v>0</v>
      </c>
      <c r="BI117" s="15" t="b">
        <f t="shared" si="25"/>
        <v>0</v>
      </c>
      <c r="BJ117" s="15" t="b">
        <f t="shared" si="25"/>
        <v>0</v>
      </c>
      <c r="BK117" s="15" t="b">
        <f t="shared" si="25"/>
        <v>0</v>
      </c>
      <c r="BL117" s="15" t="b">
        <f t="shared" si="25"/>
        <v>0</v>
      </c>
      <c r="BM117" s="15" t="b">
        <f t="shared" si="25"/>
        <v>0</v>
      </c>
      <c r="BN117" s="15" t="b">
        <f t="shared" si="25"/>
        <v>0</v>
      </c>
      <c r="BO117" s="15" t="b">
        <f t="shared" si="25"/>
        <v>0</v>
      </c>
      <c r="BP117" s="15" t="b">
        <f>BP60&lt;&gt;BP61+BP75+BP82+BP88</f>
        <v>0</v>
      </c>
    </row>
    <row r="118" spans="1:68" hidden="1" x14ac:dyDescent="0.2">
      <c r="A118" s="15" t="s">
        <v>1635</v>
      </c>
      <c r="B118" s="15"/>
      <c r="C118" s="15" t="b">
        <f>C60&lt;&gt;C16-C19-C41-C59+C17+C18</f>
        <v>0</v>
      </c>
      <c r="D118" s="15" t="b">
        <f t="shared" ref="D118:BO118" si="26">D60&lt;&gt;D16-D19-D41-D59+D17+D18</f>
        <v>0</v>
      </c>
      <c r="E118" s="15" t="b">
        <f t="shared" si="26"/>
        <v>0</v>
      </c>
      <c r="F118" s="15" t="b">
        <f t="shared" si="26"/>
        <v>0</v>
      </c>
      <c r="G118" s="15" t="b">
        <f t="shared" si="26"/>
        <v>0</v>
      </c>
      <c r="H118" s="15" t="b">
        <f t="shared" si="26"/>
        <v>0</v>
      </c>
      <c r="I118" s="15" t="b">
        <f t="shared" si="26"/>
        <v>0</v>
      </c>
      <c r="J118" s="15" t="b">
        <f t="shared" si="26"/>
        <v>0</v>
      </c>
      <c r="K118" s="15" t="b">
        <f t="shared" si="26"/>
        <v>0</v>
      </c>
      <c r="L118" s="15" t="b">
        <f t="shared" si="26"/>
        <v>0</v>
      </c>
      <c r="M118" s="15" t="b">
        <f t="shared" si="26"/>
        <v>0</v>
      </c>
      <c r="N118" s="15" t="b">
        <f t="shared" si="26"/>
        <v>0</v>
      </c>
      <c r="O118" s="15" t="b">
        <f t="shared" si="26"/>
        <v>0</v>
      </c>
      <c r="P118" s="15" t="b">
        <f t="shared" si="26"/>
        <v>0</v>
      </c>
      <c r="Q118" s="15" t="b">
        <f t="shared" si="26"/>
        <v>0</v>
      </c>
      <c r="R118" s="15" t="b">
        <f t="shared" si="26"/>
        <v>0</v>
      </c>
      <c r="S118" s="15" t="b">
        <f t="shared" si="26"/>
        <v>0</v>
      </c>
      <c r="T118" s="15" t="b">
        <f t="shared" si="26"/>
        <v>0</v>
      </c>
      <c r="U118" s="15" t="b">
        <f t="shared" si="26"/>
        <v>0</v>
      </c>
      <c r="V118" s="15" t="b">
        <f t="shared" si="26"/>
        <v>0</v>
      </c>
      <c r="W118" s="15" t="b">
        <f t="shared" si="26"/>
        <v>0</v>
      </c>
      <c r="X118" s="15" t="b">
        <f t="shared" si="26"/>
        <v>0</v>
      </c>
      <c r="Y118" s="15" t="b">
        <f t="shared" si="26"/>
        <v>0</v>
      </c>
      <c r="Z118" s="15" t="b">
        <f t="shared" si="26"/>
        <v>0</v>
      </c>
      <c r="AA118" s="15" t="b">
        <f t="shared" si="26"/>
        <v>0</v>
      </c>
      <c r="AB118" s="15" t="b">
        <f t="shared" si="26"/>
        <v>0</v>
      </c>
      <c r="AC118" s="15" t="b">
        <f t="shared" si="26"/>
        <v>0</v>
      </c>
      <c r="AD118" s="15" t="b">
        <f t="shared" si="26"/>
        <v>0</v>
      </c>
      <c r="AE118" s="15" t="b">
        <f t="shared" si="26"/>
        <v>0</v>
      </c>
      <c r="AF118" s="15" t="b">
        <f t="shared" si="26"/>
        <v>0</v>
      </c>
      <c r="AG118" s="15" t="b">
        <f t="shared" si="26"/>
        <v>0</v>
      </c>
      <c r="AH118" s="15" t="b">
        <f t="shared" si="26"/>
        <v>0</v>
      </c>
      <c r="AI118" s="15" t="b">
        <f t="shared" si="26"/>
        <v>0</v>
      </c>
      <c r="AJ118" s="15" t="b">
        <f t="shared" si="26"/>
        <v>1</v>
      </c>
      <c r="AK118" s="15" t="b">
        <f t="shared" si="26"/>
        <v>1</v>
      </c>
      <c r="AL118" s="15" t="b">
        <f t="shared" si="26"/>
        <v>0</v>
      </c>
      <c r="AM118" s="15" t="b">
        <f t="shared" si="26"/>
        <v>0</v>
      </c>
      <c r="AN118" s="15" t="b">
        <f t="shared" si="26"/>
        <v>0</v>
      </c>
      <c r="AO118" s="15" t="b">
        <f t="shared" si="26"/>
        <v>0</v>
      </c>
      <c r="AP118" s="15" t="b">
        <f t="shared" si="26"/>
        <v>0</v>
      </c>
      <c r="AQ118" s="15" t="b">
        <f t="shared" si="26"/>
        <v>0</v>
      </c>
      <c r="AR118" s="15" t="b">
        <f t="shared" si="26"/>
        <v>0</v>
      </c>
      <c r="AS118" s="15" t="b">
        <f t="shared" si="26"/>
        <v>0</v>
      </c>
      <c r="AT118" s="15" t="b">
        <f t="shared" si="26"/>
        <v>0</v>
      </c>
      <c r="AU118" s="15" t="b">
        <f t="shared" si="26"/>
        <v>0</v>
      </c>
      <c r="AV118" s="15" t="b">
        <f t="shared" si="26"/>
        <v>0</v>
      </c>
      <c r="AW118" s="15" t="b">
        <f t="shared" si="26"/>
        <v>0</v>
      </c>
      <c r="AX118" s="15" t="b">
        <f t="shared" si="26"/>
        <v>0</v>
      </c>
      <c r="AY118" s="15" t="b">
        <f t="shared" si="26"/>
        <v>0</v>
      </c>
      <c r="AZ118" s="15" t="b">
        <f t="shared" si="26"/>
        <v>0</v>
      </c>
      <c r="BA118" s="15" t="b">
        <f t="shared" si="26"/>
        <v>0</v>
      </c>
      <c r="BB118" s="15" t="b">
        <f t="shared" si="26"/>
        <v>0</v>
      </c>
      <c r="BC118" s="15" t="b">
        <f t="shared" si="26"/>
        <v>0</v>
      </c>
      <c r="BD118" s="15" t="b">
        <f t="shared" si="26"/>
        <v>0</v>
      </c>
      <c r="BE118" s="15" t="b">
        <f t="shared" si="26"/>
        <v>0</v>
      </c>
      <c r="BF118" s="15" t="b">
        <f t="shared" si="26"/>
        <v>0</v>
      </c>
      <c r="BG118" s="15" t="b">
        <f t="shared" si="26"/>
        <v>0</v>
      </c>
      <c r="BH118" s="15" t="b">
        <f t="shared" si="26"/>
        <v>0</v>
      </c>
      <c r="BI118" s="15" t="b">
        <f t="shared" si="26"/>
        <v>0</v>
      </c>
      <c r="BJ118" s="15" t="b">
        <f t="shared" si="26"/>
        <v>0</v>
      </c>
      <c r="BK118" s="15" t="b">
        <f t="shared" si="26"/>
        <v>0</v>
      </c>
      <c r="BL118" s="15" t="b">
        <f t="shared" si="26"/>
        <v>0</v>
      </c>
      <c r="BM118" s="15" t="b">
        <f t="shared" si="26"/>
        <v>0</v>
      </c>
      <c r="BN118" s="15" t="b">
        <f t="shared" si="26"/>
        <v>0</v>
      </c>
      <c r="BO118" s="15" t="b">
        <f t="shared" si="26"/>
        <v>0</v>
      </c>
      <c r="BP118" s="15" t="b">
        <f>BP60&lt;&gt;BP16-BP19-BP41-BP59+BP17+BP18</f>
        <v>0</v>
      </c>
    </row>
    <row r="119" spans="1:68" x14ac:dyDescent="0.2">
      <c r="A119" s="15"/>
      <c r="B119" s="15"/>
      <c r="C119" s="15"/>
      <c r="D119" s="15"/>
      <c r="E119" s="15"/>
      <c r="F119" s="15"/>
      <c r="G119" s="15"/>
      <c r="H119" s="15"/>
      <c r="I119" s="15"/>
      <c r="J119" s="15"/>
      <c r="K119" s="15"/>
      <c r="L119" s="15"/>
      <c r="M119" s="15"/>
      <c r="N119" s="15"/>
      <c r="O119" s="15"/>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5"/>
      <c r="BL119" s="15"/>
      <c r="BM119" s="15"/>
      <c r="BN119" s="15"/>
      <c r="BO119" s="15"/>
      <c r="BP119" s="15"/>
    </row>
    <row r="120" spans="1:68" customFormat="1" x14ac:dyDescent="0.2"/>
    <row r="121" spans="1:68" customFormat="1" x14ac:dyDescent="0.2"/>
    <row r="122" spans="1:68" customFormat="1" x14ac:dyDescent="0.2"/>
    <row r="123" spans="1:68" customFormat="1" x14ac:dyDescent="0.2"/>
    <row r="124" spans="1:68" customFormat="1" x14ac:dyDescent="0.2"/>
    <row r="125" spans="1:68" customFormat="1" x14ac:dyDescent="0.2"/>
    <row r="126" spans="1:68" customFormat="1" x14ac:dyDescent="0.2"/>
    <row r="127" spans="1:68" customFormat="1" x14ac:dyDescent="0.2"/>
    <row r="128" spans="1:68" customFormat="1" x14ac:dyDescent="0.2"/>
    <row r="129" customFormat="1" x14ac:dyDescent="0.2"/>
    <row r="130" customFormat="1" x14ac:dyDescent="0.2"/>
    <row r="131" customFormat="1" x14ac:dyDescent="0.2"/>
  </sheetData>
  <protectedRanges>
    <protectedRange sqref="A16:XFD16" name="Range1"/>
    <protectedRange sqref="A19:XFD19" name="Range2"/>
    <protectedRange sqref="A41:XFD41" name="Range3"/>
    <protectedRange sqref="A60:XFD60" name="Range4"/>
    <protectedRange sqref="A61:XFD61" name="Range5"/>
    <protectedRange sqref="A75:XFD75" name="Range6"/>
    <protectedRange sqref="A88:XFD88" name="Range7"/>
    <protectedRange sqref="A93:XFD93" name="Range8"/>
    <protectedRange sqref="A102:XFD102" name="Range9"/>
  </protectedRanges>
  <mergeCells count="11">
    <mergeCell ref="S2:S3"/>
    <mergeCell ref="BC2:BP2"/>
    <mergeCell ref="AR2:BB2"/>
    <mergeCell ref="C2:L2"/>
    <mergeCell ref="R2:R3"/>
    <mergeCell ref="M2:Q2"/>
    <mergeCell ref="U2:Y2"/>
    <mergeCell ref="AQ2:AQ3"/>
    <mergeCell ref="T2:T3"/>
    <mergeCell ref="Z2:AK2"/>
    <mergeCell ref="AL2:AP2"/>
  </mergeCells>
  <phoneticPr fontId="9" type="noConversion"/>
  <conditionalFormatting sqref="C16:P16 R16:X16 Z16:BP16">
    <cfRule type="expression" dxfId="114" priority="125">
      <formula>C16&lt;&gt;SUM(C5:C15)</formula>
    </cfRule>
  </conditionalFormatting>
  <conditionalFormatting sqref="BG19 C19:P19 BJ19:BP19 R19:BE19">
    <cfRule type="expression" dxfId="113" priority="120">
      <formula>C19&lt;&gt;SUM(C20:C40)</formula>
    </cfRule>
  </conditionalFormatting>
  <conditionalFormatting sqref="C41:P41 BG41 BJ41:BP41 R41:BE41">
    <cfRule type="expression" dxfId="112" priority="119">
      <formula>C41&lt;&gt;SUM(C42:C58)</formula>
    </cfRule>
  </conditionalFormatting>
  <conditionalFormatting sqref="C60:P61 C75:P75 C82:P82 C88:P88 BG88 BG82 BG75 BG60:BG61 BJ60:BP61 BJ75:BP75 BJ82:BP82 BJ88:BP88 R88:BE88 R82:BE82 R75:BE75 R60:BE61">
    <cfRule type="expression" dxfId="111" priority="89">
      <formula>C$117</formula>
    </cfRule>
  </conditionalFormatting>
  <conditionalFormatting sqref="C61:P61 BG61 BJ61:BP61 R61:BE61">
    <cfRule type="expression" dxfId="110" priority="118">
      <formula>C61&lt;&gt;SUM(C62:C74)</formula>
    </cfRule>
  </conditionalFormatting>
  <conditionalFormatting sqref="C75:P75 BG75 BJ75:BP75 R75:BE75">
    <cfRule type="expression" dxfId="109" priority="116">
      <formula>C75&lt;&gt;SUM(C76:C81)</formula>
    </cfRule>
  </conditionalFormatting>
  <conditionalFormatting sqref="C82:P82 BG82 BJ82:BP82 R82:BE82">
    <cfRule type="expression" dxfId="108" priority="115">
      <formula>C82&lt;&gt;SUM(C83:C87)</formula>
    </cfRule>
  </conditionalFormatting>
  <conditionalFormatting sqref="BG93 BJ93:BP93 C93:BE93">
    <cfRule type="expression" dxfId="107" priority="113">
      <formula>C93&lt;&gt;SUM(C94:C97)</formula>
    </cfRule>
  </conditionalFormatting>
  <conditionalFormatting sqref="C102:BE102 BG102 BJ102:BP102">
    <cfRule type="expression" dxfId="106" priority="112">
      <formula>C102&lt;&gt;SUM(C98:C101)</formula>
    </cfRule>
  </conditionalFormatting>
  <conditionalFormatting sqref="C13:T14 BP12:BP14 AQ12 C12 E12">
    <cfRule type="expression" dxfId="105" priority="111">
      <formula>C12&gt;0</formula>
    </cfRule>
  </conditionalFormatting>
  <conditionalFormatting sqref="BG19 C93:BE93 C19:P19 R41:BE41 BP5:BP11 BC14:BM15 BJ19:BM23 BN19:BP40 R60:BE61 R42:AK59 R75:BE75 AQ76:BE81 R82:BE82 AR22:BH23 AQ27:BM39 AR24:BM26 AQ62:BE73 AQ42:BE59 AQ84:BE87 AR20:BB20 BD20:BH20 C97:BE102 BE94:BE95 BG41:BG102 AR9:AT9 AV9:BB9 AR21:AT21 AV21:BH21 AQ40:AT40 AV40:BM40 AQ74:AT74 AV74:BE74 AQ83:AT83 AV83:BE83 BE5 BN6:BN10 BN13:BN15 BJ41:BP61 C103:BP106 R19:BE19 AQ20:AQ40 BO5:BO15 BC6:BE13 BG5:BG13 BJ5:BM13 AR10:BB15 AQ13:AQ15 AQ9:AQ11 D12 R83:AK87 BJ75:BP75 BJ62:BM74 BO62:BP74 BJ82:BP82 BJ76:BM81 BO76:BP81 BJ88:BP93 BJ83:BM87 BO83:BP87 BJ96:BP102 BJ94:BM95 BO94:BP95 AQ5:BB8 AL5:AP15 R62:AK74 R76:AK81 R88:BE92 AI94:BB94 AI95:BC95 AI96:BE96 C94:AH96 C5:T6 C41:P92 C20:T40 C7:E11 F7:T12">
    <cfRule type="expression" dxfId="104" priority="91">
      <formula>C5&lt;0</formula>
    </cfRule>
  </conditionalFormatting>
  <conditionalFormatting sqref="C88:P88 BG88 BJ88:BP88 R88:BE88">
    <cfRule type="expression" dxfId="103" priority="114">
      <formula>C88&lt;&gt;SUM(C89:C91)</formula>
    </cfRule>
  </conditionalFormatting>
  <conditionalFormatting sqref="C41:P41 C59:P60 C16:C19 BG17:BG19 BG59:BG60 BG41 BJ41:BP41 R41:BE41 E16:P17 D16 D18:P19 BJ16:BP19 BJ59:BP60 R60:BE60 R59:AK59 AQ59:BE59 AR17:BE18 R16:BI16 R19:BE19 R17:AP18 U5:AK12 U14:AK15 AI13:AK13 U13:AG13">
    <cfRule type="expression" dxfId="102" priority="90">
      <formula>C$118</formula>
    </cfRule>
  </conditionalFormatting>
  <conditionalFormatting sqref="BF19">
    <cfRule type="expression" dxfId="101" priority="85">
      <formula>BF19&lt;&gt;SUM(BF20:BF40)</formula>
    </cfRule>
  </conditionalFormatting>
  <conditionalFormatting sqref="BF41">
    <cfRule type="expression" dxfId="100" priority="84">
      <formula>BF41&lt;&gt;SUM(BF42:BF58)</formula>
    </cfRule>
  </conditionalFormatting>
  <conditionalFormatting sqref="BF60:BF61 BF75 BF82 BF88">
    <cfRule type="expression" dxfId="99" priority="74">
      <formula>BF$117</formula>
    </cfRule>
  </conditionalFormatting>
  <conditionalFormatting sqref="BF61">
    <cfRule type="expression" dxfId="98" priority="83">
      <formula>BF61&lt;&gt;SUM(BF62:BF74)</formula>
    </cfRule>
  </conditionalFormatting>
  <conditionalFormatting sqref="BF75">
    <cfRule type="expression" dxfId="97" priority="82">
      <formula>BF75&lt;&gt;SUM(BF76:BF81)</formula>
    </cfRule>
  </conditionalFormatting>
  <conditionalFormatting sqref="BF82">
    <cfRule type="expression" dxfId="96" priority="81">
      <formula>BF82&lt;&gt;SUM(BF83:BF87)</formula>
    </cfRule>
  </conditionalFormatting>
  <conditionalFormatting sqref="BF93">
    <cfRule type="expression" dxfId="95" priority="79">
      <formula>BF93&lt;&gt;SUM(BF94:BF97)</formula>
    </cfRule>
  </conditionalFormatting>
  <conditionalFormatting sqref="BF102">
    <cfRule type="expression" dxfId="94" priority="78">
      <formula>BF102&lt;&gt;SUM(BF98:BF101)</formula>
    </cfRule>
  </conditionalFormatting>
  <conditionalFormatting sqref="BF19 BF41:BF94 BF96:BF102">
    <cfRule type="expression" dxfId="93" priority="76">
      <formula>BF19&lt;0</formula>
    </cfRule>
  </conditionalFormatting>
  <conditionalFormatting sqref="BF88">
    <cfRule type="expression" dxfId="92" priority="80">
      <formula>BF88&lt;&gt;SUM(BF89:BF91)</formula>
    </cfRule>
  </conditionalFormatting>
  <conditionalFormatting sqref="BF41 BF59:BF60 BF17:BF19">
    <cfRule type="expression" dxfId="91" priority="75">
      <formula>BF$118</formula>
    </cfRule>
  </conditionalFormatting>
  <conditionalFormatting sqref="BH19">
    <cfRule type="expression" dxfId="90" priority="72">
      <formula>BH19&lt;&gt;SUM(BH20:BH40)</formula>
    </cfRule>
  </conditionalFormatting>
  <conditionalFormatting sqref="BH41">
    <cfRule type="expression" dxfId="89" priority="71">
      <formula>BH41&lt;&gt;SUM(BH42:BH58)</formula>
    </cfRule>
  </conditionalFormatting>
  <conditionalFormatting sqref="BH60:BH61 BH75 BH82 BH88">
    <cfRule type="expression" dxfId="88" priority="61">
      <formula>BH$117</formula>
    </cfRule>
  </conditionalFormatting>
  <conditionalFormatting sqref="BH61">
    <cfRule type="expression" dxfId="87" priority="70">
      <formula>BH61&lt;&gt;SUM(BH62:BH74)</formula>
    </cfRule>
  </conditionalFormatting>
  <conditionalFormatting sqref="BH75">
    <cfRule type="expression" dxfId="86" priority="69">
      <formula>BH75&lt;&gt;SUM(BH76:BH81)</formula>
    </cfRule>
  </conditionalFormatting>
  <conditionalFormatting sqref="BH82">
    <cfRule type="expression" dxfId="85" priority="68">
      <formula>BH82&lt;&gt;SUM(BH83:BH87)</formula>
    </cfRule>
  </conditionalFormatting>
  <conditionalFormatting sqref="BH93">
    <cfRule type="expression" dxfId="84" priority="66">
      <formula>BH93&lt;&gt;SUM(BH94:BH97)</formula>
    </cfRule>
  </conditionalFormatting>
  <conditionalFormatting sqref="BH102">
    <cfRule type="expression" dxfId="83" priority="65">
      <formula>BH102&lt;&gt;SUM(BH98:BH101)</formula>
    </cfRule>
  </conditionalFormatting>
  <conditionalFormatting sqref="BH19 BH41:BH102">
    <cfRule type="expression" dxfId="82" priority="63">
      <formula>BH19&lt;0</formula>
    </cfRule>
  </conditionalFormatting>
  <conditionalFormatting sqref="BH88">
    <cfRule type="expression" dxfId="81" priority="67">
      <formula>BH88&lt;&gt;SUM(BH89:BH91)</formula>
    </cfRule>
  </conditionalFormatting>
  <conditionalFormatting sqref="BH41 BH59:BH60 BH17:BH19">
    <cfRule type="expression" dxfId="80" priority="62">
      <formula>BH$118</formula>
    </cfRule>
  </conditionalFormatting>
  <conditionalFormatting sqref="BI19">
    <cfRule type="expression" dxfId="79" priority="59">
      <formula>BI19&lt;&gt;SUM(BI20:BI40)</formula>
    </cfRule>
  </conditionalFormatting>
  <conditionalFormatting sqref="BI41">
    <cfRule type="expression" dxfId="78" priority="58">
      <formula>BI41&lt;&gt;SUM(BI42:BI58)</formula>
    </cfRule>
  </conditionalFormatting>
  <conditionalFormatting sqref="BI60:BI61 BI75 BI82 BI88">
    <cfRule type="expression" dxfId="77" priority="48">
      <formula>BI$117</formula>
    </cfRule>
  </conditionalFormatting>
  <conditionalFormatting sqref="BI61">
    <cfRule type="expression" dxfId="76" priority="57">
      <formula>BI61&lt;&gt;SUM(BI62:BI74)</formula>
    </cfRule>
  </conditionalFormatting>
  <conditionalFormatting sqref="BI75">
    <cfRule type="expression" dxfId="75" priority="56">
      <formula>BI75&lt;&gt;SUM(BI76:BI81)</formula>
    </cfRule>
  </conditionalFormatting>
  <conditionalFormatting sqref="BI82">
    <cfRule type="expression" dxfId="74" priority="55">
      <formula>BI82&lt;&gt;SUM(BI83:BI87)</formula>
    </cfRule>
  </conditionalFormatting>
  <conditionalFormatting sqref="BI93">
    <cfRule type="expression" dxfId="73" priority="53">
      <formula>BI93&lt;&gt;SUM(BI94:BI97)</formula>
    </cfRule>
  </conditionalFormatting>
  <conditionalFormatting sqref="BI102">
    <cfRule type="expression" dxfId="72" priority="52">
      <formula>BI102&lt;&gt;SUM(BI98:BI101)</formula>
    </cfRule>
  </conditionalFormatting>
  <conditionalFormatting sqref="BI19 BI41:BI93 BI96:BI102">
    <cfRule type="expression" dxfId="71" priority="50">
      <formula>BI19&lt;0</formula>
    </cfRule>
  </conditionalFormatting>
  <conditionalFormatting sqref="BI88">
    <cfRule type="expression" dxfId="70" priority="54">
      <formula>BI88&lt;&gt;SUM(BI89:BI91)</formula>
    </cfRule>
  </conditionalFormatting>
  <conditionalFormatting sqref="BI41 BI59:BI60 BI17:BI19">
    <cfRule type="expression" dxfId="69" priority="49">
      <formula>BI$118</formula>
    </cfRule>
  </conditionalFormatting>
  <conditionalFormatting sqref="Q16">
    <cfRule type="expression" dxfId="68" priority="47">
      <formula>Q16&lt;&gt;SUM(Q5:Q15)</formula>
    </cfRule>
  </conditionalFormatting>
  <conditionalFormatting sqref="Q19">
    <cfRule type="expression" dxfId="67" priority="46">
      <formula>Q19&lt;&gt;SUM(Q20:Q40)</formula>
    </cfRule>
  </conditionalFormatting>
  <conditionalFormatting sqref="Q41">
    <cfRule type="expression" dxfId="66" priority="45">
      <formula>Q41&lt;&gt;SUM(Q42:Q58)</formula>
    </cfRule>
  </conditionalFormatting>
  <conditionalFormatting sqref="Q88 Q82 Q75 Q60:Q61">
    <cfRule type="expression" dxfId="65" priority="37">
      <formula>Q$117</formula>
    </cfRule>
  </conditionalFormatting>
  <conditionalFormatting sqref="Q61">
    <cfRule type="expression" dxfId="64" priority="44">
      <formula>Q61&lt;&gt;SUM(Q62:Q74)</formula>
    </cfRule>
  </conditionalFormatting>
  <conditionalFormatting sqref="Q75">
    <cfRule type="expression" dxfId="63" priority="43">
      <formula>Q75&lt;&gt;SUM(Q76:Q81)</formula>
    </cfRule>
  </conditionalFormatting>
  <conditionalFormatting sqref="Q82">
    <cfRule type="expression" dxfId="62" priority="42">
      <formula>Q82&lt;&gt;SUM(Q83:Q87)</formula>
    </cfRule>
  </conditionalFormatting>
  <conditionalFormatting sqref="Q19 Q41:Q92">
    <cfRule type="expression" dxfId="61" priority="39">
      <formula>Q19&lt;0</formula>
    </cfRule>
  </conditionalFormatting>
  <conditionalFormatting sqref="Q88">
    <cfRule type="expression" dxfId="60" priority="41">
      <formula>Q88&lt;&gt;SUM(Q89:Q91)</formula>
    </cfRule>
  </conditionalFormatting>
  <conditionalFormatting sqref="Q16:Q19 Q59:Q60 Q41">
    <cfRule type="expression" dxfId="59" priority="38">
      <formula>Q$118</formula>
    </cfRule>
  </conditionalFormatting>
  <conditionalFormatting sqref="BB93">
    <cfRule type="expression" dxfId="58" priority="34">
      <formula>BB$117</formula>
    </cfRule>
  </conditionalFormatting>
  <conditionalFormatting sqref="BB93">
    <cfRule type="expression" dxfId="57" priority="35">
      <formula>BB93&lt;&gt;SUM(BB94:BB96)</formula>
    </cfRule>
  </conditionalFormatting>
  <conditionalFormatting sqref="D17">
    <cfRule type="expression" dxfId="56" priority="33">
      <formula>D17&gt;0</formula>
    </cfRule>
  </conditionalFormatting>
  <conditionalFormatting sqref="BF6:BF13">
    <cfRule type="expression" dxfId="55" priority="29">
      <formula>BF6&lt;0</formula>
    </cfRule>
  </conditionalFormatting>
  <conditionalFormatting sqref="BH5:BH13">
    <cfRule type="expression" dxfId="54" priority="28">
      <formula>BH5&lt;0</formula>
    </cfRule>
  </conditionalFormatting>
  <conditionalFormatting sqref="BI6:BI13">
    <cfRule type="expression" dxfId="53" priority="27">
      <formula>BI6&lt;0</formula>
    </cfRule>
  </conditionalFormatting>
  <conditionalFormatting sqref="BI20:BI23">
    <cfRule type="expression" dxfId="52" priority="26">
      <formula>BI20&lt;0</formula>
    </cfRule>
  </conditionalFormatting>
  <conditionalFormatting sqref="U20:AK40">
    <cfRule type="expression" dxfId="51" priority="25">
      <formula>U$118</formula>
    </cfRule>
  </conditionalFormatting>
  <conditionalFormatting sqref="AL29:AP31">
    <cfRule type="expression" dxfId="50" priority="23">
      <formula>AL29&gt;0</formula>
    </cfRule>
  </conditionalFormatting>
  <conditionalFormatting sqref="AL20:AP28">
    <cfRule type="expression" dxfId="49" priority="22">
      <formula>AL20&lt;0</formula>
    </cfRule>
  </conditionalFormatting>
  <conditionalFormatting sqref="AL36:AP38">
    <cfRule type="expression" dxfId="48" priority="21">
      <formula>AL36&gt;0</formula>
    </cfRule>
  </conditionalFormatting>
  <conditionalFormatting sqref="AL32:AP35 AL39:AP40">
    <cfRule type="expression" dxfId="47" priority="20">
      <formula>AL32&lt;0</formula>
    </cfRule>
  </conditionalFormatting>
  <conditionalFormatting sqref="AL42:AP59">
    <cfRule type="expression" dxfId="46" priority="19">
      <formula>AL42&gt;0</formula>
    </cfRule>
  </conditionalFormatting>
  <conditionalFormatting sqref="AL62:AP74">
    <cfRule type="expression" dxfId="45" priority="17">
      <formula>AL62&gt;0</formula>
    </cfRule>
  </conditionalFormatting>
  <conditionalFormatting sqref="AL76:AP81">
    <cfRule type="expression" dxfId="44" priority="16">
      <formula>AL76&gt;0</formula>
    </cfRule>
  </conditionalFormatting>
  <conditionalFormatting sqref="AL83:AP87">
    <cfRule type="expression" dxfId="43" priority="15">
      <formula>AL83&gt;0</formula>
    </cfRule>
  </conditionalFormatting>
  <conditionalFormatting sqref="Y16">
    <cfRule type="expression" dxfId="42" priority="170">
      <formula>Y16&lt;&gt;SUM(Y6:Y15)</formula>
    </cfRule>
  </conditionalFormatting>
  <conditionalFormatting sqref="AQ17">
    <cfRule type="expression" dxfId="41" priority="7">
      <formula>AQ17&gt;0</formula>
    </cfRule>
  </conditionalFormatting>
  <conditionalFormatting sqref="AQ18">
    <cfRule type="expression" dxfId="40" priority="6">
      <formula>AQ18&gt;0</formula>
    </cfRule>
  </conditionalFormatting>
  <conditionalFormatting sqref="BN62:BN74">
    <cfRule type="expression" dxfId="39" priority="4">
      <formula>BN62&lt;0</formula>
    </cfRule>
  </conditionalFormatting>
  <conditionalFormatting sqref="BN76:BN81">
    <cfRule type="expression" dxfId="38" priority="3">
      <formula>BN76&lt;0</formula>
    </cfRule>
  </conditionalFormatting>
  <conditionalFormatting sqref="BN83:BN87">
    <cfRule type="expression" dxfId="37" priority="2">
      <formula>BN83&lt;0</formula>
    </cfRule>
  </conditionalFormatting>
  <conditionalFormatting sqref="BN94:BN95">
    <cfRule type="expression" dxfId="36" priority="1">
      <formula>BN94&lt;0</formula>
    </cfRule>
  </conditionalFormatting>
  <conditionalFormatting sqref="AH13">
    <cfRule type="expression" dxfId="35" priority="173">
      <formula>AE$118</formula>
    </cfRule>
  </conditionalFormatting>
  <hyperlinks>
    <hyperlink ref="F3" location="SUBCOAL" display="Sub-Bituminous Coal (kt)" xr:uid="{00000000-0004-0000-0700-000000000000}"/>
    <hyperlink ref="G3" location="LIGNITE" display="Lignite/Brown Coal (kt)" xr:uid="{00000000-0004-0000-0700-000001000000}"/>
    <hyperlink ref="R2" location="PEAT" display="Peat (kt)" xr:uid="{00000000-0004-0000-0700-000002000000}"/>
    <hyperlink ref="H3" location="PATFUEL" display="Patent Fuel (kt)" xr:uid="{00000000-0004-0000-0700-000003000000}"/>
    <hyperlink ref="I3" location="OVENCOKE" display="Coke Oven Coke (kt)" xr:uid="{00000000-0004-0000-0700-000004000000}"/>
    <hyperlink ref="J3" location="GASCOKE" display="Gas Coke (kt)" xr:uid="{00000000-0004-0000-0700-000005000000}"/>
    <hyperlink ref="K3" location="COALTAR" display="Coal Tar (kt)" xr:uid="{00000000-0004-0000-0700-000006000000}"/>
    <hyperlink ref="L3" location="BKB" display="BKB/Peat Briquettes (kt)" xr:uid="{00000000-0004-0000-0700-000007000000}"/>
    <hyperlink ref="N3" location="COKEOVGS" display="Coke Oven Gas (TJ-gross)" xr:uid="{00000000-0004-0000-0700-000008000000}"/>
    <hyperlink ref="O3" location="BLFURGS" display="Blast Furnace Gas (TJ-gross)" xr:uid="{00000000-0004-0000-0700-000009000000}"/>
    <hyperlink ref="P3" location="OXYSTGS" display="Oxygen Steel Furnace Gas (TJ-gross)" xr:uid="{00000000-0004-0000-0700-00000A000000}"/>
    <hyperlink ref="W3" location="REFFEEDS" display="Refinery Feedstocks (kt)" xr:uid="{00000000-0004-0000-0700-00000B000000}"/>
    <hyperlink ref="X3" location="ADDITIVE" display="Additives/Blending Components (kt)" xr:uid="{00000000-0004-0000-0700-00000C000000}"/>
    <hyperlink ref="Y3" location="NONCRUDE" display="Other Hydrocarbons (kt)" xr:uid="{00000000-0004-0000-0700-00000D000000}"/>
    <hyperlink ref="Z3" location="REFINGAS" display="Refinery Gas (kt)" xr:uid="{00000000-0004-0000-0700-00000E000000}"/>
    <hyperlink ref="AA3" location="ETHANE" display="Ethane (kt)" xr:uid="{00000000-0004-0000-0700-00000F000000}"/>
    <hyperlink ref="AB3" location="LPG" display="Liquefied Petroleum Gases (kt)" xr:uid="{00000000-0004-0000-0700-000010000000}"/>
    <hyperlink ref="AC3" location="NONBIOGASO" display="Motor Gasoline excl. bio" xr:uid="{00000000-0004-0000-0700-000011000000}"/>
    <hyperlink ref="AD3" location="AVGAS" display="Aviation Gasoline (kt)" xr:uid="{00000000-0004-0000-0700-000012000000}"/>
    <hyperlink ref="AE3" location="JETGAS" display="Gasoline Type Jet Fuel (kt)" xr:uid="{00000000-0004-0000-0700-000013000000}"/>
    <hyperlink ref="AF3" location="JETKERO" display="Kerosene Type Jet Fuel (kt)" xr:uid="{00000000-0004-0000-0700-000014000000}"/>
    <hyperlink ref="AG3" location="OTHKERO" display="OTHKERO" xr:uid="{00000000-0004-0000-0700-000015000000}"/>
    <hyperlink ref="AH3" location="NONBIODIES" display="Gas/Diesel Oil excl. bio" xr:uid="{00000000-0004-0000-0700-000016000000}"/>
    <hyperlink ref="AI3" location="RESFUEL" display="Residual Fuel Oil (kt)" xr:uid="{00000000-0004-0000-0700-000017000000}"/>
    <hyperlink ref="AJ3" location="NAPHTHA" display="Naphtha (kt)" xr:uid="{00000000-0004-0000-0700-000018000000}"/>
    <hyperlink ref="AK3" location="WHITESP" display="White Spirit (kt)" xr:uid="{00000000-0004-0000-0700-000019000000}"/>
    <hyperlink ref="AN3" location="PARWAX" display="Paraffin Waxes (kt)" xr:uid="{00000000-0004-0000-0700-00001A000000}"/>
    <hyperlink ref="AO3" location="PETCOKE" display="Petroleum Coke (kt)" xr:uid="{00000000-0004-0000-0700-00001B000000}"/>
    <hyperlink ref="AP3" location="ONONSPEC" display="ONONSPEC" xr:uid="{00000000-0004-0000-0700-00001C000000}"/>
    <hyperlink ref="V3" location="NGL" display="Natural Gas Liquids (kt)" xr:uid="{00000000-0004-0000-0700-00001D000000}"/>
    <hyperlink ref="U3" location="CRUDEOIL" display="Crude Oil (kt)" xr:uid="{00000000-0004-0000-0700-00001E000000}"/>
    <hyperlink ref="C3" location="ANTCOAL" display="Anthracite (kt)" xr:uid="{00000000-0004-0000-0700-00001F000000}"/>
    <hyperlink ref="D3" location="COKCOAL" display="Coking Coal (kt)" xr:uid="{00000000-0004-0000-0700-000020000000}"/>
    <hyperlink ref="M3" location="GASWKSGS" display="Gas Works Gas (TJ-gross)" xr:uid="{00000000-0004-0000-0700-000021000000}"/>
    <hyperlink ref="AL3" location="LUBRIC" display="Lubricants (kt)" xr:uid="{00000000-0004-0000-0700-000022000000}"/>
    <hyperlink ref="AM3" location="BITUMEN" display="Bitumen (kt)" xr:uid="{00000000-0004-0000-0700-000023000000}"/>
    <hyperlink ref="A5" location="INDPROD" display="Production                                   " xr:uid="{00000000-0004-0000-0700-000024000000}"/>
    <hyperlink ref="A11" location="IMPORTS" display="Imports                                      " xr:uid="{00000000-0004-0000-0700-000025000000}"/>
    <hyperlink ref="A12" location="EXPORTS" display="Exports                                      " xr:uid="{00000000-0004-0000-0700-000026000000}"/>
    <hyperlink ref="A13" location="MARBUNK" display="International Marine Bunkers                 " xr:uid="{00000000-0004-0000-0700-000027000000}"/>
    <hyperlink ref="A15" location="STOCKCHA" display="Stock Changes                                " xr:uid="{00000000-0004-0000-0700-000028000000}"/>
    <hyperlink ref="A17" location="TRANSFER" display="TRANSFER" xr:uid="{00000000-0004-0000-0700-000029000000}"/>
    <hyperlink ref="A18" location="STATDIFF" display="STATDIFF" xr:uid="{00000000-0004-0000-0700-00002A000000}"/>
    <hyperlink ref="A19" location="TOTTRANF" display="TOTTRANF" xr:uid="{00000000-0004-0000-0700-00002B000000}"/>
    <hyperlink ref="A20" location="MAINELEC" display="Main Activity Producer Electricity Plants    " xr:uid="{00000000-0004-0000-0700-00002C000000}"/>
    <hyperlink ref="A21" location="AUTOELEC" display="AUTOELEC" xr:uid="{00000000-0004-0000-0700-00002D000000}"/>
    <hyperlink ref="A22" location="MAINCHP" display="Main Activity Producer CHP Plants            " xr:uid="{00000000-0004-0000-0700-00002E000000}"/>
    <hyperlink ref="A23" location="AUTOCHP" display="AUTOCHP" xr:uid="{00000000-0004-0000-0700-00002F000000}"/>
    <hyperlink ref="A24" location="MAINHEAT" display="Main Activity Producer Heat Plants           " xr:uid="{00000000-0004-0000-0700-000030000000}"/>
    <hyperlink ref="A25" location="AUTOHEAT" display="AUTOHEAT" xr:uid="{00000000-0004-0000-0700-000031000000}"/>
    <hyperlink ref="A29" location="TPATFUEL" display="Patent Fuel Plants                           " xr:uid="{00000000-0004-0000-0700-000032000000}"/>
    <hyperlink ref="A30" location="TCOKEOVS" display="Coke Ovens                                   " xr:uid="{00000000-0004-0000-0700-000033000000}"/>
    <hyperlink ref="A31" location="TGASWKS" display="Gas Works                                    " xr:uid="{00000000-0004-0000-0700-000034000000}"/>
    <hyperlink ref="A32" location="TBLASTFUR" display="Blast Furnaces                               " xr:uid="{00000000-0004-0000-0700-000035000000}"/>
    <hyperlink ref="A33" location="TPETCHEM" display="Petrochemical Industry                       " xr:uid="{00000000-0004-0000-0700-000036000000}"/>
    <hyperlink ref="A34" location="TBKB" display="BKB Plants                                   " xr:uid="{00000000-0004-0000-0700-000037000000}"/>
    <hyperlink ref="A35" location="TREFINER" display="Petroleum Refineries                         " xr:uid="{00000000-0004-0000-0700-000038000000}"/>
    <hyperlink ref="A36" location="TCOALLIQ" display="Coal Liquefaction Plants                     " xr:uid="{00000000-0004-0000-0700-000039000000}"/>
    <hyperlink ref="A39" location="TCHARCOAL" display="TCHARCOAL" xr:uid="{00000000-0004-0000-0700-00003A000000}"/>
    <hyperlink ref="A40" location="TNONSPEC" display="TNONSPEC" xr:uid="{00000000-0004-0000-0700-00003B000000}"/>
    <hyperlink ref="A41" location="TOTENGY" display="TOTENGY" xr:uid="{00000000-0004-0000-0700-00003C000000}"/>
    <hyperlink ref="A42" location="EMINES" display="Coal Mines                                   " xr:uid="{00000000-0004-0000-0700-00003D000000}"/>
    <hyperlink ref="A43" location="EOILGASEX" display="Oil and Gas Extraction                       " xr:uid="{00000000-0004-0000-0700-00003E000000}"/>
    <hyperlink ref="A47" location="EBIOGAS" display="Gasification Plants for Biogas               " xr:uid="{00000000-0004-0000-0700-00003F000000}"/>
    <hyperlink ref="A55" location="EPUMPST" display="EPUMPST" xr:uid="{00000000-0004-0000-0700-000040000000}"/>
    <hyperlink ref="A58" location="ENONSPEC" display="ENONSPEC" xr:uid="{00000000-0004-0000-0700-000041000000}"/>
    <hyperlink ref="A59" location="DISTLOSS" display="DISTLOSS" xr:uid="{00000000-0004-0000-0700-000042000000}"/>
    <hyperlink ref="A60" location="FINCONS" display="FINCONS" xr:uid="{00000000-0004-0000-0700-000043000000}"/>
    <hyperlink ref="A61" location="TOTIND" display="TOTIND" xr:uid="{00000000-0004-0000-0700-000044000000}"/>
    <hyperlink ref="A62" location="IRONST" display="Iron and Steel                               " xr:uid="{00000000-0004-0000-0700-000045000000}"/>
    <hyperlink ref="A63" location="CHEMICAL" display="CHEMICAL" xr:uid="{00000000-0004-0000-0700-000046000000}"/>
    <hyperlink ref="A92" location="NECHEM" display="NECHEM" xr:uid="{00000000-0004-0000-0700-000047000000}"/>
    <hyperlink ref="A64" location="NONFERR" display="NONFERR" xr:uid="{00000000-0004-0000-0700-000048000000}"/>
    <hyperlink ref="A65" location="NONMET" display="NONMET" xr:uid="{00000000-0004-0000-0700-000049000000}"/>
    <hyperlink ref="A66" location="TRANSEQ" display="TRANSEQ" xr:uid="{00000000-0004-0000-0700-00004A000000}"/>
    <hyperlink ref="A67" location="MACHINE" display="MACHINE" xr:uid="{00000000-0004-0000-0700-00004B000000}"/>
    <hyperlink ref="A68" location="MINING" display="MINING" xr:uid="{00000000-0004-0000-0700-00004C000000}"/>
    <hyperlink ref="A69" location="FOODPRO" display="FOODPRO" xr:uid="{00000000-0004-0000-0700-00004D000000}"/>
    <hyperlink ref="A70" location="PAPERPRO" display="PAPERPRO" xr:uid="{00000000-0004-0000-0700-00004E000000}"/>
    <hyperlink ref="A71" location="WOODPRO" display="WOODPRO" xr:uid="{00000000-0004-0000-0700-00004F000000}"/>
    <hyperlink ref="A72" location="CONSTRUC" display="CONSTRUC" xr:uid="{00000000-0004-0000-0700-000050000000}"/>
    <hyperlink ref="A73" location="TEXTILES" display="TEXTILES" xr:uid="{00000000-0004-0000-0700-000051000000}"/>
    <hyperlink ref="A74" location="INONSPEC" display="INONSPEC" xr:uid="{00000000-0004-0000-0700-000052000000}"/>
    <hyperlink ref="A75" location="TOTTRANS" display="TOTTRANS" xr:uid="{00000000-0004-0000-0700-000053000000}"/>
    <hyperlink ref="A76" location="ROAD" display="Road                                         " xr:uid="{00000000-0004-0000-0700-000054000000}"/>
    <hyperlink ref="A14" location="AVBUNK" display="International Aviation Bunkers                       " xr:uid="{00000000-0004-0000-0700-000055000000}"/>
    <hyperlink ref="A77" location="DOMESAIR" display="Domestic Aviation                            " xr:uid="{00000000-0004-0000-0700-000056000000}"/>
    <hyperlink ref="A78" location="RAIL" display="Rail                                         " xr:uid="{00000000-0004-0000-0700-000057000000}"/>
    <hyperlink ref="A79" location="PIPELINE" display="PIPELINE" xr:uid="{00000000-0004-0000-0700-000058000000}"/>
    <hyperlink ref="A80" location="DOMESNAV" display="Domestic Navigation                          " xr:uid="{00000000-0004-0000-0700-000059000000}"/>
    <hyperlink ref="A83" location="RESIDENT" display="Residential                                  " xr:uid="{00000000-0004-0000-0700-00005A000000}"/>
    <hyperlink ref="A84" location="COMMPUB" display="COMMPUB" xr:uid="{00000000-0004-0000-0700-00005B000000}"/>
    <hyperlink ref="A85" location="AGRICULT" display="Agriculture/Forestry                         " xr:uid="{00000000-0004-0000-0700-00005C000000}"/>
    <hyperlink ref="A88" location="NONENUSE" display="Non-Energy Use                               " xr:uid="{00000000-0004-0000-0700-00005D000000}"/>
    <hyperlink ref="A102" location="HEATOUT" display="Heat Output in TJ                            " xr:uid="{00000000-0004-0000-0700-00005E000000}"/>
    <hyperlink ref="A93" location="ELOUTPUT" display="Elect.Output in GWh                          " xr:uid="{00000000-0004-0000-0700-00005F000000}"/>
    <hyperlink ref="A37" location="TGTL" display="Gas-to-Liquids (GTL) Plants                  " xr:uid="{00000000-0004-0000-0700-000060000000}"/>
    <hyperlink ref="A38" location="TBLENDGAS" display="For Blended Natural Gas                      " xr:uid="{00000000-0004-0000-0700-000061000000}"/>
    <hyperlink ref="A86" location="FISHING" display="Fishing                                      " xr:uid="{00000000-0004-0000-0700-000062000000}"/>
    <hyperlink ref="A52" location="ELNG" display="Liquefaction (LNG) / Regasification Plants   " xr:uid="{00000000-0004-0000-0700-000063000000}"/>
    <hyperlink ref="A26" location="THEAT" display="Heat Pumps                                   " xr:uid="{00000000-0004-0000-0700-000064000000}"/>
    <hyperlink ref="A27" location="TBOILER" display="Electric Boilers                             " xr:uid="{00000000-0004-0000-0700-000065000000}"/>
    <hyperlink ref="A28" location="TELE" display="Chemical heat for electricity production     " xr:uid="{00000000-0004-0000-0700-000066000000}"/>
    <hyperlink ref="A54" location="EPOWERPLT" display="Own Use in Electricity, CHP and Heat Plants  " xr:uid="{00000000-0004-0000-0700-000067000000}"/>
    <hyperlink ref="A56" location="ENUC" display="Nuclear Industry                             " xr:uid="{00000000-0004-0000-0700-000068000000}"/>
    <hyperlink ref="A6" location="OSOURCES" display="From Other Sources - coal                    " xr:uid="{00000000-0004-0000-0700-000069000000}"/>
    <hyperlink ref="A9" location="OSOURCES" display="From Other Sources - renewables              " xr:uid="{00000000-0004-0000-0700-00006A000000}"/>
    <hyperlink ref="A10" location="OSOURCES" display="From Other Sources - non-specified           " xr:uid="{00000000-0004-0000-0700-00006B000000}"/>
    <hyperlink ref="A44" location="EPATFUEL" display="Patent Fuel Plants                           " xr:uid="{00000000-0004-0000-0700-00006C000000}"/>
    <hyperlink ref="A45" location="ECOKEOVS" display="Coke Ovens                                   " xr:uid="{00000000-0004-0000-0700-00006D000000}"/>
    <hyperlink ref="A46" location="EGASWKS" display="Gas Works                                    " xr:uid="{00000000-0004-0000-0700-00006E000000}"/>
    <hyperlink ref="A48" location="EBLASTFUR" display="Blast Furnaces                               " xr:uid="{00000000-0004-0000-0700-00006F000000}"/>
    <hyperlink ref="A49" location="EBKB" display="BKB Plants                                   " xr:uid="{00000000-0004-0000-0700-000070000000}"/>
    <hyperlink ref="A50" location="EREFINER" display="Petroleum Refineries                         " xr:uid="{00000000-0004-0000-0700-000071000000}"/>
    <hyperlink ref="A51" location="ECOALLIQ" display="Coal Liquefaction Plants                     " xr:uid="{00000000-0004-0000-0700-000072000000}"/>
    <hyperlink ref="A53" location="EGTL" display="Gas-to-Liquids (GTL) Plants                  " xr:uid="{00000000-0004-0000-0700-000073000000}"/>
    <hyperlink ref="A57" location="ECHARCOAL" display="Charcoal Production Plants                   " xr:uid="{00000000-0004-0000-0700-000074000000}"/>
    <hyperlink ref="A81" location="TRNONSPE" display="Non-specified (Transport)                    " xr:uid="{00000000-0004-0000-0700-000075000000}"/>
    <hyperlink ref="A82" location="TOTOTHER" display="Other Sectors                                " xr:uid="{00000000-0004-0000-0700-000076000000}"/>
    <hyperlink ref="A89" location="NEINTREN" display="Non-Energy Use Industry/Transformation/Energy" xr:uid="{00000000-0004-0000-0700-000077000000}"/>
    <hyperlink ref="A90" location="NETRANS" display="Non-Energy Use in Transport                  " xr:uid="{00000000-0004-0000-0700-000078000000}"/>
    <hyperlink ref="A91" location="NEOTHER" display="Non-Energy Use in Other Sectors              " xr:uid="{00000000-0004-0000-0700-000079000000}"/>
    <hyperlink ref="BC3" location="NUCLEAR" display="Nuclear" xr:uid="{00000000-0004-0000-0700-00007A000000}"/>
    <hyperlink ref="Q3" location="MANGAS" display="Elec/Heat Output from non-spec. Manuf. Gases" xr:uid="{00000000-0004-0000-0700-00007B000000}"/>
    <hyperlink ref="S2:S3" location="PEATPROD" display="Peat Products (kt)" xr:uid="{00000000-0004-0000-0700-00007C000000}"/>
    <hyperlink ref="T2:T3" location="OILSHALE" display="Oilshale and Oil Sands (kt)" xr:uid="{00000000-0004-0000-0700-00007D000000}"/>
    <hyperlink ref="E3" location="BITCOAL" display="Other Bituminous Coal (kt)" xr:uid="{00000000-0004-0000-0700-00007E000000}"/>
    <hyperlink ref="AR3" location="INDWASTE" display="Industrial Waste (TJ-net)" xr:uid="{00000000-0004-0000-0700-00007F000000}"/>
    <hyperlink ref="AS3" location="MUNWASTER" display="MUNWASTER" xr:uid="{00000000-0004-0000-0700-000080000000}"/>
    <hyperlink ref="AT3" location="MUNWASTEN" display="MUNWASTEN" xr:uid="{00000000-0004-0000-0700-000081000000}"/>
    <hyperlink ref="AU3:BB3" location="INDWASTE" display="Industrial Waste (TJ-net)" xr:uid="{00000000-0004-0000-0700-000082000000}"/>
    <hyperlink ref="BD3:BP3" location="NUCLEAR" display="Nuclear" xr:uid="{00000000-0004-0000-0700-000083000000}"/>
    <hyperlink ref="AU3" location="PRIMSBIO" display="PRIMSBIO" xr:uid="{00000000-0004-0000-0700-000084000000}"/>
    <hyperlink ref="AV3" location="BIOGASES" display="BIOGASES" xr:uid="{00000000-0004-0000-0700-000085000000}"/>
    <hyperlink ref="AW3" location="BIOGASOL" display="BIOGASOL" xr:uid="{00000000-0004-0000-0700-000086000000}"/>
    <hyperlink ref="AX3" location="BIOJETKERO" display="BIOJETKERO" xr:uid="{00000000-0004-0000-0700-000087000000}"/>
    <hyperlink ref="AY3" location="BIODIESEL" display="BIODIESEL" xr:uid="{00000000-0004-0000-0700-000088000000}"/>
    <hyperlink ref="AZ3" location="OBIOLIQ" display="OBIOLIQ" xr:uid="{00000000-0004-0000-0700-000089000000}"/>
    <hyperlink ref="BB3" location="CHARCOAL" display="CHARCOAL" xr:uid="{00000000-0004-0000-0700-00008A000000}"/>
    <hyperlink ref="BA3" location="RENEWNS" display="RENEWNS" xr:uid="{00000000-0004-0000-0700-00008B000000}"/>
    <hyperlink ref="BD3" location="HYDRO" display="HYDRO" xr:uid="{00000000-0004-0000-0700-00008C000000}"/>
    <hyperlink ref="BE3" location="GEOTHERM" display="GEOTHERM" xr:uid="{00000000-0004-0000-0700-00008D000000}"/>
    <hyperlink ref="BF3" location="SOLARPV" display="SOLARPV" xr:uid="{00000000-0004-0000-0700-00008E000000}"/>
    <hyperlink ref="BG3" location="SOLARTH" display="SOLARTH" xr:uid="{00000000-0004-0000-0700-00008F000000}"/>
    <hyperlink ref="BH3" location="TIDE" display="TIDE" xr:uid="{00000000-0004-0000-0700-000090000000}"/>
    <hyperlink ref="BI3" location="WIND" display="WIND" xr:uid="{00000000-0004-0000-0700-000091000000}"/>
    <hyperlink ref="BJ3" location="HEATPUMP" display="HEATPUMP" xr:uid="{00000000-0004-0000-0700-000092000000}"/>
    <hyperlink ref="BK3" location="BOILER" display="BOILER" xr:uid="{00000000-0004-0000-0700-000093000000}"/>
    <hyperlink ref="BL3" location="CHEMHEAT" display="CHEMHEAT" xr:uid="{00000000-0004-0000-0700-000094000000}"/>
    <hyperlink ref="BM3" location="OTHER" display="OTHER" xr:uid="{00000000-0004-0000-0700-000095000000}"/>
    <hyperlink ref="BN3" location="ELECTR" display="ELECTR" xr:uid="{00000000-0004-0000-0700-000096000000}"/>
    <hyperlink ref="BO3" location="HEAT" display="HEAT" xr:uid="{00000000-0004-0000-0700-000097000000}"/>
    <hyperlink ref="BP3" location="HEATNS" display="HEATNS" xr:uid="{00000000-0004-0000-0700-000098000000}"/>
    <hyperlink ref="A7" location="OSOURCES" display="From Other Sources - natural gas             " xr:uid="{00000000-0004-0000-0700-000099000000}"/>
    <hyperlink ref="A8" location="OSOURCES" display="From Other Sources - oil products            " xr:uid="{00000000-0004-0000-0700-00009A000000}"/>
    <hyperlink ref="A16" location="DOMSUP" display="DOMSUP" xr:uid="{00000000-0004-0000-0700-00009B000000}"/>
    <hyperlink ref="AQ2:AQ3" location="NATGAS" display="Natural Gas (TJ-gross)" xr:uid="{00000000-0004-0000-0700-00009C000000}"/>
  </hyperlinks>
  <printOptions horizontalCentered="1" verticalCentered="1"/>
  <pageMargins left="0.25" right="0.25" top="0.75" bottom="0.75" header="0.3" footer="0.3"/>
  <pageSetup paperSize="9" scale="63" fitToHeight="0" orientation="landscape" r:id="rId1"/>
  <headerFooter alignWithMargins="0"/>
  <ignoredErrors>
    <ignoredError sqref="BC19 AZ93:BI93 AY102:BI102 AY88:AZ88 BB82:BG82 AY41:BF42 BG41:BH41 AY103:BC103 BE103:BI103" formulaRange="1"/>
  </ignoredError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05">
    <tabColor theme="6" tint="0.59999389629810485"/>
  </sheetPr>
  <dimension ref="A1:AP179"/>
  <sheetViews>
    <sheetView showGridLines="0" zoomScaleNormal="100" workbookViewId="0">
      <pane xSplit="2" ySplit="4" topLeftCell="E25" activePane="bottomRight" state="frozen"/>
      <selection pane="topRight" activeCell="C1" sqref="C1"/>
      <selection pane="bottomLeft" activeCell="A5" sqref="A5"/>
      <selection pane="bottomRight" activeCell="E25" sqref="E25"/>
    </sheetView>
  </sheetViews>
  <sheetFormatPr defaultColWidth="9.140625" defaultRowHeight="12.75" x14ac:dyDescent="0.2"/>
  <cols>
    <col min="1" max="1" width="33.7109375" style="2" customWidth="1"/>
    <col min="2" max="2" width="13.85546875" hidden="1" customWidth="1"/>
    <col min="3" max="17" width="16.7109375" style="2" customWidth="1"/>
    <col min="18" max="18" width="13" style="2" bestFit="1" customWidth="1"/>
    <col min="19" max="26" width="9.140625" style="2"/>
    <col min="27" max="42" width="9.140625" style="2" hidden="1" customWidth="1"/>
    <col min="43" max="16384" width="9.140625" style="2"/>
  </cols>
  <sheetData>
    <row r="1" spans="1:42" customFormat="1" ht="30" customHeight="1" x14ac:dyDescent="0.2">
      <c r="A1" s="2113" t="str">
        <f>HLOOKUP(LangChoice,Definitions_ProdLang!$M$2:$P$30,Definitions_ProdLang!$M$13+1)</f>
        <v>Conversion factors</v>
      </c>
      <c r="B1" s="2115" t="s">
        <v>184</v>
      </c>
      <c r="C1" s="2114"/>
      <c r="D1" s="2114"/>
      <c r="E1" s="2114"/>
      <c r="F1" s="2114"/>
      <c r="G1" s="2114"/>
      <c r="H1" s="2114"/>
      <c r="I1" s="2114"/>
      <c r="J1" s="2114"/>
      <c r="K1" s="2114"/>
      <c r="L1" s="2114"/>
      <c r="M1" s="2114"/>
      <c r="N1" s="2114"/>
      <c r="O1" s="2114"/>
      <c r="P1" s="2114"/>
      <c r="Q1" s="2114"/>
    </row>
    <row r="2" spans="1:42" customFormat="1" ht="12.75" customHeight="1" x14ac:dyDescent="0.2">
      <c r="A2" s="2302" t="str">
        <f>CountryName &amp;", "&amp;DataYear</f>
        <v>South Africa, 2019</v>
      </c>
      <c r="B2" s="2114"/>
      <c r="C2" s="2301" t="str">
        <f>HLOOKUP(LangChoice,Definitions_ProdLang!$M$2:$P$30,Definitions_ProdLang!$M$14+1)</f>
        <v>Net calorific values (kJ/kg)</v>
      </c>
      <c r="D2" s="2301"/>
      <c r="E2" s="2301"/>
      <c r="F2" s="2301"/>
      <c r="G2" s="2301"/>
      <c r="H2" s="2301"/>
      <c r="I2" s="2301"/>
      <c r="J2" s="2301"/>
      <c r="K2" s="2301"/>
      <c r="L2" s="2301"/>
      <c r="M2" s="2301"/>
      <c r="N2" s="2301"/>
      <c r="O2" s="2301"/>
      <c r="P2" s="2301"/>
      <c r="Q2" s="2301"/>
    </row>
    <row r="3" spans="1:42" customFormat="1" ht="58.5" customHeight="1" x14ac:dyDescent="0.2">
      <c r="A3" s="2303"/>
      <c r="B3" s="2114"/>
      <c r="C3" s="2116" t="s">
        <v>1636</v>
      </c>
      <c r="D3" s="2117" t="str">
        <f>INDPROD</f>
        <v>Production</v>
      </c>
      <c r="E3" s="2117" t="str">
        <f>OSOURCES</f>
        <v>From other sources</v>
      </c>
      <c r="F3" s="2117" t="str">
        <f>IMPORTS</f>
        <v>Imports</v>
      </c>
      <c r="G3" s="2117" t="str">
        <f>EXPORTS</f>
        <v>Exports</v>
      </c>
      <c r="H3" s="2117" t="str">
        <f>TCOKEOVS</f>
        <v>Coke ovens</v>
      </c>
      <c r="I3" s="2117" t="str">
        <f>TBLASTFUR</f>
        <v>Blast furnaces</v>
      </c>
      <c r="J3" s="2118" t="str">
        <f>MAINELEC</f>
        <v>Main activity electricity plants</v>
      </c>
      <c r="K3" s="2118" t="str">
        <f>AUTOELEC</f>
        <v>Autoproducer electricity plants</v>
      </c>
      <c r="L3" s="2118" t="str">
        <f>MAINCHP</f>
        <v>Main activity producer CHP plants</v>
      </c>
      <c r="M3" s="2118" t="str">
        <f>AUTOCHP</f>
        <v>Autoproducer CHP plants</v>
      </c>
      <c r="N3" s="2118" t="str">
        <f>MAINHEAT</f>
        <v>Main activity producer heat plants</v>
      </c>
      <c r="O3" s="2118" t="str">
        <f>AUTOHEAT</f>
        <v>Autoproducer heat plants</v>
      </c>
      <c r="P3" s="2117" t="str">
        <f>TOTIND</f>
        <v>Industry</v>
      </c>
      <c r="Q3" s="2119" t="str">
        <f>OTHNONSPEC</f>
        <v>Non-specified (other)</v>
      </c>
      <c r="AA3" s="653" t="s">
        <v>74</v>
      </c>
      <c r="AB3" s="1043" t="s">
        <v>1637</v>
      </c>
      <c r="AC3" s="653"/>
      <c r="AD3" s="653"/>
      <c r="AE3" s="653"/>
      <c r="AF3" s="653"/>
      <c r="AG3" s="653"/>
      <c r="AH3" s="653"/>
      <c r="AI3" s="653"/>
      <c r="AJ3" s="653"/>
      <c r="AK3" s="653"/>
      <c r="AL3" s="653"/>
      <c r="AM3" s="653"/>
      <c r="AN3" s="653"/>
      <c r="AO3" s="653"/>
      <c r="AP3" s="653"/>
    </row>
    <row r="4" spans="1:42" customFormat="1" x14ac:dyDescent="0.2">
      <c r="A4" s="660" t="s">
        <v>184</v>
      </c>
      <c r="B4" s="373" t="s">
        <v>1638</v>
      </c>
      <c r="C4" s="373" t="s">
        <v>1639</v>
      </c>
      <c r="D4" s="373" t="s">
        <v>1640</v>
      </c>
      <c r="E4" s="373" t="s">
        <v>1641</v>
      </c>
      <c r="F4" s="373" t="s">
        <v>1642</v>
      </c>
      <c r="G4" s="373" t="s">
        <v>1643</v>
      </c>
      <c r="H4" s="373" t="s">
        <v>1644</v>
      </c>
      <c r="I4" s="373" t="s">
        <v>1645</v>
      </c>
      <c r="J4" s="373" t="s">
        <v>1646</v>
      </c>
      <c r="K4" s="373" t="s">
        <v>1647</v>
      </c>
      <c r="L4" s="373" t="s">
        <v>1648</v>
      </c>
      <c r="M4" s="373" t="s">
        <v>1649</v>
      </c>
      <c r="N4" s="373" t="s">
        <v>1650</v>
      </c>
      <c r="O4" s="373" t="s">
        <v>1651</v>
      </c>
      <c r="P4" s="373" t="s">
        <v>1652</v>
      </c>
      <c r="Q4" s="373" t="s">
        <v>1653</v>
      </c>
      <c r="AB4" s="373" t="s">
        <v>1639</v>
      </c>
      <c r="AC4" s="373" t="s">
        <v>1640</v>
      </c>
      <c r="AD4" s="373" t="s">
        <v>1641</v>
      </c>
      <c r="AE4" s="373" t="s">
        <v>1642</v>
      </c>
      <c r="AF4" s="373" t="s">
        <v>1643</v>
      </c>
      <c r="AG4" s="373" t="s">
        <v>1644</v>
      </c>
      <c r="AH4" s="373" t="s">
        <v>1645</v>
      </c>
      <c r="AI4" s="373" t="s">
        <v>1646</v>
      </c>
      <c r="AJ4" s="373" t="s">
        <v>1647</v>
      </c>
      <c r="AK4" s="373" t="s">
        <v>1648</v>
      </c>
      <c r="AL4" s="373" t="s">
        <v>1649</v>
      </c>
      <c r="AM4" s="373" t="s">
        <v>1650</v>
      </c>
      <c r="AN4" s="373" t="s">
        <v>1651</v>
      </c>
      <c r="AO4" s="373" t="s">
        <v>1652</v>
      </c>
      <c r="AP4" s="373" t="s">
        <v>1653</v>
      </c>
    </row>
    <row r="5" spans="1:42" s="20" customFormat="1" ht="11.25" x14ac:dyDescent="0.2">
      <c r="A5" s="1360" t="str">
        <f>ANTCOAL</f>
        <v>Anthracite</v>
      </c>
      <c r="B5" s="20" t="s">
        <v>325</v>
      </c>
      <c r="C5" s="1357">
        <f>ROUND(IF('For printing'!C$5+'For printing'!C$6+'For printing'!C$11+'For printing'!C$13+'For printing'!C$12,(D5*'For printing'!C$5+E5*'For printing'!C$6+F5*'For printing'!C$11+G5*'For printing'!C$12+Q5*'For printing'!C$13)/('For printing'!C$5+'For printing'!C$6+'For printing'!C$11+'For printing'!C$13+'For printing'!C$12),D5),)</f>
        <v>24144</v>
      </c>
      <c r="D5" s="889">
        <v>23597</v>
      </c>
      <c r="E5" s="889">
        <v>26700</v>
      </c>
      <c r="F5" s="889">
        <v>26996</v>
      </c>
      <c r="G5" s="889">
        <v>23597</v>
      </c>
      <c r="H5" s="889">
        <v>30995</v>
      </c>
      <c r="I5" s="889">
        <v>30995</v>
      </c>
      <c r="J5" s="889">
        <v>20097</v>
      </c>
      <c r="K5" s="889">
        <v>26996</v>
      </c>
      <c r="L5" s="889">
        <v>20097</v>
      </c>
      <c r="M5" s="889">
        <v>26996</v>
      </c>
      <c r="N5" s="889">
        <v>20097</v>
      </c>
      <c r="O5" s="889">
        <v>26996</v>
      </c>
      <c r="P5" s="889">
        <v>26996</v>
      </c>
      <c r="Q5" s="889">
        <v>26996</v>
      </c>
      <c r="AA5" s="20" t="s">
        <v>325</v>
      </c>
      <c r="AB5" s="20">
        <f>ROUND(IF('For printing'!AB$5+'For printing'!AB$6+'For printing'!AC$8+'For printing'!AB$13+'For printing'!AC$9,(AC5*'For printing'!AB$5+AD5*'For printing'!AB$6+AE5*'For printing'!AC$8+AF5*'For printing'!AC$9+AP5*'For printing'!AB$13)/('For printing'!AB$5+'For printing'!AB$6+'For printing'!AC$8+'For printing'!AB$13+'For printing'!AC$9),AC5),)</f>
        <v>26700</v>
      </c>
      <c r="AC5" s="20">
        <v>26700</v>
      </c>
      <c r="AD5" s="20">
        <v>26700</v>
      </c>
      <c r="AE5" s="20">
        <v>26700</v>
      </c>
      <c r="AF5" s="20">
        <v>26700</v>
      </c>
      <c r="AG5" s="20">
        <v>26700</v>
      </c>
      <c r="AH5" s="20">
        <v>26700</v>
      </c>
      <c r="AI5" s="20">
        <v>26700</v>
      </c>
      <c r="AJ5" s="20">
        <v>26700</v>
      </c>
      <c r="AK5" s="20">
        <v>26700</v>
      </c>
      <c r="AL5" s="20">
        <v>26700</v>
      </c>
      <c r="AM5" s="20">
        <v>26700</v>
      </c>
      <c r="AN5" s="20">
        <v>26700</v>
      </c>
      <c r="AO5" s="20">
        <v>26700</v>
      </c>
      <c r="AP5" s="20">
        <v>26700</v>
      </c>
    </row>
    <row r="6" spans="1:42" s="20" customFormat="1" ht="11.25" x14ac:dyDescent="0.2">
      <c r="A6" s="1360" t="str">
        <f>COKCOAL</f>
        <v>Coking coal</v>
      </c>
      <c r="B6" s="20" t="s">
        <v>338</v>
      </c>
      <c r="C6" s="1357">
        <f>ROUND(IF('For printing'!D$5+'For printing'!D$6+'For printing'!D$11+'For printing'!D$13+'For printing'!D$12,(D6*'For printing'!D$5+E6*'For printing'!D$6+F6*'For printing'!D$11+G6*'For printing'!D$12+Q6*'For printing'!D$13)/('For printing'!D$5+'For printing'!D$6+'For printing'!D$11+'For printing'!D$13+'For printing'!D$12),D6),)</f>
        <v>30995</v>
      </c>
      <c r="D6" s="889">
        <v>30995</v>
      </c>
      <c r="E6" s="889">
        <v>28200</v>
      </c>
      <c r="F6" s="889">
        <v>30995</v>
      </c>
      <c r="G6" s="889">
        <v>30995</v>
      </c>
      <c r="H6" s="889">
        <v>30995</v>
      </c>
      <c r="I6" s="889">
        <v>30995</v>
      </c>
      <c r="J6" s="889">
        <v>30995</v>
      </c>
      <c r="K6" s="889">
        <v>30995</v>
      </c>
      <c r="L6" s="889">
        <v>30995</v>
      </c>
      <c r="M6" s="889">
        <v>30995</v>
      </c>
      <c r="N6" s="889">
        <v>30995</v>
      </c>
      <c r="O6" s="889">
        <v>30995</v>
      </c>
      <c r="P6" s="889">
        <v>30995</v>
      </c>
      <c r="Q6" s="889">
        <v>30995</v>
      </c>
      <c r="AA6" s="20" t="s">
        <v>338</v>
      </c>
      <c r="AB6" s="20">
        <f>ROUND(IF('For printing'!AC$5+'For printing'!AC$6+'For printing'!AC$11+'For printing'!AC$13+'For printing'!AC$12,(AC6*'For printing'!AC$5+AD6*'For printing'!AC$6+AE6*'For printing'!AC$11+AF6*'For printing'!AC$12+AP6*'For printing'!AC$13)/('For printing'!AC$5+'For printing'!AC$6+'For printing'!AC$11+'For printing'!AC$13+'For printing'!AC$12),AC6),)</f>
        <v>28200</v>
      </c>
      <c r="AC6" s="20">
        <v>28200</v>
      </c>
      <c r="AD6" s="20">
        <v>28200</v>
      </c>
      <c r="AE6" s="20">
        <v>28200</v>
      </c>
      <c r="AF6" s="20">
        <v>28200</v>
      </c>
      <c r="AG6" s="20">
        <v>28200</v>
      </c>
      <c r="AH6" s="20">
        <v>28200</v>
      </c>
      <c r="AI6" s="20">
        <v>28200</v>
      </c>
      <c r="AJ6" s="20">
        <v>28200</v>
      </c>
      <c r="AK6" s="20">
        <v>28200</v>
      </c>
      <c r="AL6" s="20">
        <v>28200</v>
      </c>
      <c r="AM6" s="20">
        <v>28200</v>
      </c>
      <c r="AN6" s="20">
        <v>28200</v>
      </c>
      <c r="AO6" s="20">
        <v>28200</v>
      </c>
      <c r="AP6" s="20">
        <v>28200</v>
      </c>
    </row>
    <row r="7" spans="1:42" s="20" customFormat="1" ht="11.25" x14ac:dyDescent="0.2">
      <c r="A7" s="1360" t="str">
        <f>BITCOAL</f>
        <v>Other bituminous coal</v>
      </c>
      <c r="B7" s="20" t="s">
        <v>348</v>
      </c>
      <c r="C7" s="1357">
        <f>ROUND(IF('For printing'!E$5+'For printing'!E$6+'For printing'!E$11+'For printing'!E$13+'For printing'!E$12,(D7*'For printing'!E$5+E7*'For printing'!E$6+F7*'For printing'!E$11+G7*'For printing'!E$12+Q7*'For printing'!E$13)/('For printing'!E$5+'For printing'!E$6+'For printing'!E$11+'For printing'!E$13+'For printing'!E$12),D7),)</f>
        <v>21977</v>
      </c>
      <c r="D7" s="889">
        <v>23597</v>
      </c>
      <c r="E7" s="889">
        <v>25800</v>
      </c>
      <c r="F7" s="889">
        <v>26996</v>
      </c>
      <c r="G7" s="889">
        <v>27993</v>
      </c>
      <c r="H7" s="889">
        <v>30995</v>
      </c>
      <c r="I7" s="889">
        <v>30995</v>
      </c>
      <c r="J7" s="889">
        <v>20097</v>
      </c>
      <c r="K7" s="889">
        <v>26996</v>
      </c>
      <c r="L7" s="889">
        <v>20097</v>
      </c>
      <c r="M7" s="889">
        <v>26996</v>
      </c>
      <c r="N7" s="889">
        <v>20097</v>
      </c>
      <c r="O7" s="889">
        <v>26996</v>
      </c>
      <c r="P7" s="889">
        <v>26996</v>
      </c>
      <c r="Q7" s="889">
        <v>26996</v>
      </c>
      <c r="AA7" s="20" t="s">
        <v>348</v>
      </c>
      <c r="AB7" s="20">
        <f>ROUND(IF('For printing'!AD$5+'For printing'!AD$6+'For printing'!AD$11+'For printing'!AD$13+'For printing'!AD$12,(AC7*'For printing'!AD$5+AD7*'For printing'!AD$6+AE7*'For printing'!AD$11+AF7*'For printing'!AD$12+AP7*'For printing'!AD$13)/('For printing'!AD$5+'For printing'!AD$6+'For printing'!AD$11+'For printing'!AD$13+'For printing'!AD$12),AC7),)</f>
        <v>25800</v>
      </c>
      <c r="AC7" s="20">
        <v>25800</v>
      </c>
      <c r="AD7" s="20">
        <v>25800</v>
      </c>
      <c r="AE7" s="20">
        <v>25800</v>
      </c>
      <c r="AF7" s="20">
        <v>25800</v>
      </c>
      <c r="AG7" s="20">
        <v>25800</v>
      </c>
      <c r="AH7" s="20">
        <v>25800</v>
      </c>
      <c r="AI7" s="20">
        <v>25800</v>
      </c>
      <c r="AJ7" s="20">
        <v>25800</v>
      </c>
      <c r="AK7" s="20">
        <v>25800</v>
      </c>
      <c r="AL7" s="20">
        <v>25800</v>
      </c>
      <c r="AM7" s="20">
        <v>25800</v>
      </c>
      <c r="AN7" s="20">
        <v>25800</v>
      </c>
      <c r="AO7" s="20">
        <v>25800</v>
      </c>
      <c r="AP7" s="20">
        <v>25800</v>
      </c>
    </row>
    <row r="8" spans="1:42" s="20" customFormat="1" ht="11.25" x14ac:dyDescent="0.2">
      <c r="A8" s="1360" t="str">
        <f>SUBCOAL</f>
        <v>Sub-bituminous coal</v>
      </c>
      <c r="B8" s="20" t="s">
        <v>358</v>
      </c>
      <c r="C8" s="1357">
        <f>ROUND(IF('For printing'!F$5+'For printing'!F$6+'For printing'!F$11+'For printing'!F$13+'For printing'!F$12,(D8*'For printing'!F$5+E8*'For printing'!F$6+F8*'For printing'!F$11+G8*'For printing'!F$12+Q8*'For printing'!F$13)/('For printing'!F$5+'For printing'!F$6+'For printing'!F$11+'For printing'!F$13+'For printing'!F$12),D8),)</f>
        <v>18900</v>
      </c>
      <c r="D8" s="889">
        <v>18900</v>
      </c>
      <c r="E8" s="889">
        <v>18900</v>
      </c>
      <c r="F8" s="889">
        <v>18900</v>
      </c>
      <c r="G8" s="889">
        <v>18900</v>
      </c>
      <c r="H8" s="889">
        <v>18900</v>
      </c>
      <c r="I8" s="889">
        <v>18900</v>
      </c>
      <c r="J8" s="889">
        <v>18900</v>
      </c>
      <c r="K8" s="889">
        <v>18900</v>
      </c>
      <c r="L8" s="889">
        <v>18900</v>
      </c>
      <c r="M8" s="889">
        <v>18900</v>
      </c>
      <c r="N8" s="889">
        <v>18900</v>
      </c>
      <c r="O8" s="889">
        <v>18900</v>
      </c>
      <c r="P8" s="889">
        <v>18900</v>
      </c>
      <c r="Q8" s="889">
        <v>18900</v>
      </c>
      <c r="AA8" s="20" t="s">
        <v>358</v>
      </c>
      <c r="AB8" s="20">
        <f>ROUND(IF('For printing'!AE$5+'For printing'!AE$6+'For printing'!AE$11+'For printing'!AH$13+'For printing'!AE$12,(AC8*'For printing'!AE$5+AD8*'For printing'!AE$6+AE8*'For printing'!AE$11+AF8*'For printing'!AE$12+AP8*'For printing'!AH$13)/('For printing'!AE$5+'For printing'!AE$6+'For printing'!AE$11+'For printing'!AH$13+'For printing'!AE$12),AC8),)</f>
        <v>18900</v>
      </c>
      <c r="AC8" s="20">
        <v>18900</v>
      </c>
      <c r="AD8" s="20">
        <v>18900</v>
      </c>
      <c r="AE8" s="20">
        <v>18900</v>
      </c>
      <c r="AF8" s="20">
        <v>18900</v>
      </c>
      <c r="AG8" s="20">
        <v>18900</v>
      </c>
      <c r="AH8" s="20">
        <v>18900</v>
      </c>
      <c r="AI8" s="20">
        <v>18900</v>
      </c>
      <c r="AJ8" s="20">
        <v>18900</v>
      </c>
      <c r="AK8" s="20">
        <v>18900</v>
      </c>
      <c r="AL8" s="20">
        <v>18900</v>
      </c>
      <c r="AM8" s="20">
        <v>18900</v>
      </c>
      <c r="AN8" s="20">
        <v>18900</v>
      </c>
      <c r="AO8" s="20">
        <v>18900</v>
      </c>
      <c r="AP8" s="20">
        <v>18900</v>
      </c>
    </row>
    <row r="9" spans="1:42" s="20" customFormat="1" ht="11.25" x14ac:dyDescent="0.2">
      <c r="A9" s="1360" t="str">
        <f>LIGNITE</f>
        <v>Lignite</v>
      </c>
      <c r="B9" s="20" t="s">
        <v>368</v>
      </c>
      <c r="C9" s="1357">
        <f>ROUND(IF('For printing'!G$5+'For printing'!G$6+'For printing'!G$11+'For printing'!G$13+'For printing'!G$12,(D9*'For printing'!G$5+E9*'For printing'!G$6+F9*'For printing'!G$11+G9*'For printing'!G$12+Q9*'For printing'!G$13)/('For printing'!G$5+'For printing'!G$6+'For printing'!G$11+'For printing'!G$13+'For printing'!G$12),D9),)</f>
        <v>11900</v>
      </c>
      <c r="D9" s="889">
        <v>11900</v>
      </c>
      <c r="E9" s="889">
        <v>11900</v>
      </c>
      <c r="F9" s="889">
        <v>11900</v>
      </c>
      <c r="G9" s="889">
        <v>11900</v>
      </c>
      <c r="H9" s="889">
        <v>11900</v>
      </c>
      <c r="I9" s="889">
        <v>11900</v>
      </c>
      <c r="J9" s="889">
        <v>11900</v>
      </c>
      <c r="K9" s="889">
        <v>11900</v>
      </c>
      <c r="L9" s="889">
        <v>11900</v>
      </c>
      <c r="M9" s="889">
        <v>11900</v>
      </c>
      <c r="N9" s="889">
        <v>11900</v>
      </c>
      <c r="O9" s="889">
        <v>11900</v>
      </c>
      <c r="P9" s="889">
        <v>11900</v>
      </c>
      <c r="Q9" s="889">
        <v>11900</v>
      </c>
      <c r="AA9" s="20" t="s">
        <v>368</v>
      </c>
      <c r="AB9" s="20">
        <f>ROUND(IF('For printing'!AF$5+'For printing'!AF$6+'For printing'!AF$11+'For printing'!AF$13+'For printing'!AF$12,(AC9*'For printing'!AF$5+AD9*'For printing'!AF$6+AE9*'For printing'!AF$11+AF9*'For printing'!AF$12+AP9*'For printing'!AF$13)/('For printing'!AF$5+'For printing'!AF$6+'For printing'!AF$11+'For printing'!AF$13+'For printing'!AF$12),AC9),)</f>
        <v>11900</v>
      </c>
      <c r="AC9" s="20">
        <v>11900</v>
      </c>
      <c r="AD9" s="20">
        <v>11900</v>
      </c>
      <c r="AE9" s="20">
        <v>11900</v>
      </c>
      <c r="AF9" s="20">
        <v>11900</v>
      </c>
      <c r="AG9" s="20">
        <v>11900</v>
      </c>
      <c r="AH9" s="20">
        <v>11900</v>
      </c>
      <c r="AI9" s="20">
        <v>11900</v>
      </c>
      <c r="AJ9" s="20">
        <v>11900</v>
      </c>
      <c r="AK9" s="20">
        <v>11900</v>
      </c>
      <c r="AL9" s="20">
        <v>11900</v>
      </c>
      <c r="AM9" s="20">
        <v>11900</v>
      </c>
      <c r="AN9" s="20">
        <v>11900</v>
      </c>
      <c r="AO9" s="20">
        <v>11900</v>
      </c>
      <c r="AP9" s="20">
        <v>11900</v>
      </c>
    </row>
    <row r="10" spans="1:42" s="20" customFormat="1" ht="11.25" x14ac:dyDescent="0.2">
      <c r="A10" s="1360" t="str">
        <f>PATFUEL</f>
        <v>Patent fuel</v>
      </c>
      <c r="B10" s="20" t="s">
        <v>377</v>
      </c>
      <c r="C10" s="1357">
        <f>ROUND(IF('For printing'!H$5+'For printing'!H$6+'For printing'!H$11+'For printing'!H$13+'For printing'!H$12,(D10*'For printing'!H$5+E10*'For printing'!H$6+F10*'For printing'!H$11+G10*'For printing'!H$12+Q10*'For printing'!H$13)/('For printing'!H$5+'For printing'!H$6+'For printing'!H$11+'For printing'!H$13+'For printing'!H$12),D10),)</f>
        <v>29000</v>
      </c>
      <c r="D10" s="889">
        <v>29000</v>
      </c>
      <c r="E10" s="889">
        <v>29000</v>
      </c>
      <c r="F10" s="889">
        <v>29000</v>
      </c>
      <c r="G10" s="889">
        <v>29000</v>
      </c>
      <c r="H10" s="889">
        <v>29000</v>
      </c>
      <c r="I10" s="889">
        <v>29000</v>
      </c>
      <c r="J10" s="889">
        <v>29000</v>
      </c>
      <c r="K10" s="889">
        <v>29000</v>
      </c>
      <c r="L10" s="889">
        <v>29000</v>
      </c>
      <c r="M10" s="889">
        <v>29000</v>
      </c>
      <c r="N10" s="889">
        <v>29000</v>
      </c>
      <c r="O10" s="889">
        <v>29000</v>
      </c>
      <c r="P10" s="889">
        <v>29000</v>
      </c>
      <c r="Q10" s="889">
        <v>29000</v>
      </c>
      <c r="AA10" s="20" t="s">
        <v>377</v>
      </c>
      <c r="AB10" s="20">
        <f>ROUND(IF('For printing'!AG$5+'For printing'!AG$6+'For printing'!AG$11+'For printing'!AG$13+'For printing'!AG$12,(AC10*'For printing'!AG$5+AD10*'For printing'!AG$6+AE10*'For printing'!AG$11+AF10*'For printing'!AG$12+AP10*'For printing'!AG$13)/('For printing'!AG$5+'For printing'!AG$6+'For printing'!AG$11+'For printing'!AG$13+'For printing'!AG$12),AC10),)</f>
        <v>29000</v>
      </c>
      <c r="AC10" s="20">
        <v>29000</v>
      </c>
      <c r="AD10" s="20">
        <v>29000</v>
      </c>
      <c r="AE10" s="20">
        <v>29000</v>
      </c>
      <c r="AF10" s="20">
        <v>29000</v>
      </c>
      <c r="AG10" s="20">
        <v>29000</v>
      </c>
      <c r="AH10" s="20">
        <v>29000</v>
      </c>
      <c r="AI10" s="20">
        <v>29000</v>
      </c>
      <c r="AJ10" s="20">
        <v>29000</v>
      </c>
      <c r="AK10" s="20">
        <v>29000</v>
      </c>
      <c r="AL10" s="20">
        <v>29000</v>
      </c>
      <c r="AM10" s="20">
        <v>29000</v>
      </c>
      <c r="AN10" s="20">
        <v>29000</v>
      </c>
      <c r="AO10" s="20">
        <v>29000</v>
      </c>
      <c r="AP10" s="20">
        <v>29000</v>
      </c>
    </row>
    <row r="11" spans="1:42" s="20" customFormat="1" ht="11.25" x14ac:dyDescent="0.2">
      <c r="A11" s="1360" t="str">
        <f>OVENCOKE</f>
        <v>Coke oven coke</v>
      </c>
      <c r="B11" s="20" t="s">
        <v>387</v>
      </c>
      <c r="C11" s="1357">
        <f>ROUND(IF('For printing'!I$5+'For printing'!I$6+'For printing'!I$11+'For printing'!I$13+'For printing'!I$12,(D11*'For printing'!I$5+E11*'For printing'!I$6+F11*'For printing'!I$11+G11*'For printing'!I$12+Q11*'For printing'!I$13)/('For printing'!I$5+'For printing'!I$6+'For printing'!I$11+'For printing'!I$13+'For printing'!I$12),D11),)</f>
        <v>26498</v>
      </c>
      <c r="D11" s="889">
        <v>26498</v>
      </c>
      <c r="E11" s="889">
        <v>28200</v>
      </c>
      <c r="F11" s="889">
        <v>26498</v>
      </c>
      <c r="G11" s="889">
        <v>26498</v>
      </c>
      <c r="H11" s="889">
        <v>26498</v>
      </c>
      <c r="I11" s="889">
        <v>26498</v>
      </c>
      <c r="J11" s="889">
        <v>26498</v>
      </c>
      <c r="K11" s="889">
        <v>26498</v>
      </c>
      <c r="L11" s="889">
        <v>26498</v>
      </c>
      <c r="M11" s="889">
        <v>26498</v>
      </c>
      <c r="N11" s="889">
        <v>26498</v>
      </c>
      <c r="O11" s="889">
        <v>26498</v>
      </c>
      <c r="P11" s="889">
        <v>26498</v>
      </c>
      <c r="Q11" s="889">
        <v>26498</v>
      </c>
      <c r="AA11" s="20" t="s">
        <v>387</v>
      </c>
      <c r="AB11" s="20" t="e">
        <f>ROUND(IF('For printing'!AH$5+'For printing'!AH$6+'For printing'!AH$11+'For printing'!#REF!+'For printing'!AH$12,(AC11*'For printing'!AH$5+AD11*'For printing'!AH$6+AE11*'For printing'!AH$11+AF11*'For printing'!AH$12+AP11*'For printing'!#REF!)/('For printing'!AH$5+'For printing'!AH$6+'For printing'!AH$11+'For printing'!#REF!+'For printing'!AH$12),AC11),)</f>
        <v>#REF!</v>
      </c>
      <c r="AC11" s="20">
        <v>28200</v>
      </c>
      <c r="AD11" s="20">
        <v>28200</v>
      </c>
      <c r="AE11" s="20">
        <v>28200</v>
      </c>
      <c r="AF11" s="20">
        <v>28200</v>
      </c>
      <c r="AG11" s="20">
        <v>28200</v>
      </c>
      <c r="AH11" s="20">
        <v>28200</v>
      </c>
      <c r="AI11" s="20">
        <v>28200</v>
      </c>
      <c r="AJ11" s="20">
        <v>28200</v>
      </c>
      <c r="AK11" s="20">
        <v>28200</v>
      </c>
      <c r="AL11" s="20">
        <v>28200</v>
      </c>
      <c r="AM11" s="20">
        <v>28200</v>
      </c>
      <c r="AN11" s="20">
        <v>28200</v>
      </c>
      <c r="AO11" s="20">
        <v>28200</v>
      </c>
      <c r="AP11" s="20">
        <v>28200</v>
      </c>
    </row>
    <row r="12" spans="1:42" s="20" customFormat="1" ht="11.25" x14ac:dyDescent="0.2">
      <c r="A12" s="1360" t="str">
        <f>GASCOKE</f>
        <v>Gas coke</v>
      </c>
      <c r="B12" s="20" t="s">
        <v>397</v>
      </c>
      <c r="C12" s="1357">
        <f>ROUND(IF('For printing'!J$5+'For printing'!J$6+'For printing'!J$11+'For printing'!J$13+'For printing'!J$12,(D12*'For printing'!J$5+E12*'For printing'!J$6+F12*'For printing'!J$11+G12*'For printing'!J$12+Q12*'For printing'!J$13)/('For printing'!J$5+'For printing'!J$6+'For printing'!J$11+'For printing'!J$13+'For printing'!J$12),D12),)</f>
        <v>28200</v>
      </c>
      <c r="D12" s="889">
        <v>28200</v>
      </c>
      <c r="E12" s="889">
        <v>28200</v>
      </c>
      <c r="F12" s="889">
        <v>28200</v>
      </c>
      <c r="G12" s="889">
        <v>28200</v>
      </c>
      <c r="H12" s="889">
        <v>28200</v>
      </c>
      <c r="I12" s="889">
        <v>28200</v>
      </c>
      <c r="J12" s="889">
        <v>28200</v>
      </c>
      <c r="K12" s="889">
        <v>28200</v>
      </c>
      <c r="L12" s="889">
        <v>28200</v>
      </c>
      <c r="M12" s="889">
        <v>28200</v>
      </c>
      <c r="N12" s="889">
        <v>28200</v>
      </c>
      <c r="O12" s="889">
        <v>28200</v>
      </c>
      <c r="P12" s="889">
        <v>28200</v>
      </c>
      <c r="Q12" s="889">
        <v>28200</v>
      </c>
      <c r="AA12" s="20" t="s">
        <v>397</v>
      </c>
      <c r="AB12" s="20">
        <f>ROUND(IF('For printing'!AI$5+'For printing'!AI$6+'For printing'!AI$11+'For printing'!AI$13+'For printing'!AI$12,(AC12*'For printing'!AI$5+AD12*'For printing'!AI$6+AE12*'For printing'!AI$11+AF12*'For printing'!AI$12+AP12*'For printing'!AI$13)/('For printing'!AI$5+'For printing'!AI$6+'For printing'!AI$11+'For printing'!AI$13+'For printing'!AI$12),AC12),)</f>
        <v>28200</v>
      </c>
      <c r="AC12" s="20">
        <v>28200</v>
      </c>
      <c r="AD12" s="20">
        <v>28200</v>
      </c>
      <c r="AE12" s="20">
        <v>28200</v>
      </c>
      <c r="AF12" s="20">
        <v>28200</v>
      </c>
      <c r="AG12" s="20">
        <v>28200</v>
      </c>
      <c r="AH12" s="20">
        <v>28200</v>
      </c>
      <c r="AI12" s="20">
        <v>28200</v>
      </c>
      <c r="AJ12" s="20">
        <v>28200</v>
      </c>
      <c r="AK12" s="20">
        <v>28200</v>
      </c>
      <c r="AL12" s="20">
        <v>28200</v>
      </c>
      <c r="AM12" s="20">
        <v>28200</v>
      </c>
      <c r="AN12" s="20">
        <v>28200</v>
      </c>
      <c r="AO12" s="20">
        <v>28200</v>
      </c>
      <c r="AP12" s="20">
        <v>28200</v>
      </c>
    </row>
    <row r="13" spans="1:42" s="20" customFormat="1" ht="11.25" x14ac:dyDescent="0.2">
      <c r="A13" s="1360" t="str">
        <f>COALTAR</f>
        <v>Coal tar</v>
      </c>
      <c r="B13" s="20" t="s">
        <v>407</v>
      </c>
      <c r="C13" s="1357">
        <f>ROUND(IF('For printing'!K$5+'For printing'!K$6+'For printing'!K$11+'For printing'!K$13+'For printing'!K$12,(D13*'For printing'!K$5+E13*'For printing'!K$6+F13*'For printing'!K$11+G13*'For printing'!K$12+Q13*'For printing'!K$13)/('For printing'!K$5+'For printing'!K$6+'For printing'!K$11+'For printing'!K$13+'For printing'!K$12),D13),)</f>
        <v>38000</v>
      </c>
      <c r="D13" s="889">
        <v>38000</v>
      </c>
      <c r="E13" s="889">
        <v>38000</v>
      </c>
      <c r="F13" s="889">
        <v>38000</v>
      </c>
      <c r="G13" s="889">
        <v>38000</v>
      </c>
      <c r="H13" s="889">
        <v>38000</v>
      </c>
      <c r="I13" s="889">
        <v>38000</v>
      </c>
      <c r="J13" s="889">
        <v>38000</v>
      </c>
      <c r="K13" s="889">
        <v>38000</v>
      </c>
      <c r="L13" s="889">
        <v>38000</v>
      </c>
      <c r="M13" s="889">
        <v>38000</v>
      </c>
      <c r="N13" s="889">
        <v>38000</v>
      </c>
      <c r="O13" s="889">
        <v>38000</v>
      </c>
      <c r="P13" s="889">
        <v>38000</v>
      </c>
      <c r="Q13" s="889">
        <v>38000</v>
      </c>
      <c r="AA13" s="20" t="s">
        <v>407</v>
      </c>
      <c r="AB13" s="20">
        <f>ROUND(IF('For printing'!AJ$5+'For printing'!AJ$6+'For printing'!AJ$11+'For printing'!AJ$13+'For printing'!AJ$12,(AC13*'For printing'!AJ$5+AD13*'For printing'!AJ$6+AE13*'For printing'!AJ$11+AF13*'For printing'!AJ$12+AP13*'For printing'!AJ$13)/('For printing'!AJ$5+'For printing'!AJ$6+'For printing'!AJ$11+'For printing'!AJ$13+'For printing'!AJ$12),AC13),)</f>
        <v>38000</v>
      </c>
      <c r="AC13" s="20">
        <v>38000</v>
      </c>
      <c r="AD13" s="20">
        <v>38000</v>
      </c>
      <c r="AE13" s="20">
        <v>38000</v>
      </c>
      <c r="AF13" s="20">
        <v>38000</v>
      </c>
      <c r="AG13" s="20">
        <v>38000</v>
      </c>
      <c r="AH13" s="20">
        <v>38000</v>
      </c>
      <c r="AI13" s="20">
        <v>38000</v>
      </c>
      <c r="AJ13" s="20">
        <v>38000</v>
      </c>
      <c r="AK13" s="20">
        <v>38000</v>
      </c>
      <c r="AL13" s="20">
        <v>38000</v>
      </c>
      <c r="AM13" s="20">
        <v>38000</v>
      </c>
      <c r="AN13" s="20">
        <v>38000</v>
      </c>
      <c r="AO13" s="20">
        <v>38000</v>
      </c>
      <c r="AP13" s="20">
        <v>38000</v>
      </c>
    </row>
    <row r="14" spans="1:42" s="20" customFormat="1" ht="11.25" x14ac:dyDescent="0.2">
      <c r="A14" s="1360" t="str">
        <f>BKB</f>
        <v>BKB (Brown coal briquettes)</v>
      </c>
      <c r="B14" s="20" t="s">
        <v>418</v>
      </c>
      <c r="C14" s="1357">
        <f>ROUND(IF('For printing'!L$5+'For printing'!L$6+'For printing'!L$11+'For printing'!L$13+'For printing'!L$12,(D14*'For printing'!L$5+E14*'For printing'!L$6+F14*'For printing'!L$11+G14*'For printing'!L$12+Q14*'For printing'!L$13)/('For printing'!L$5+'For printing'!L$6+'For printing'!L$11+'For printing'!L$13+'For printing'!L$12),D14),)</f>
        <v>20000</v>
      </c>
      <c r="D14" s="889">
        <v>20000</v>
      </c>
      <c r="E14" s="889">
        <v>20000</v>
      </c>
      <c r="F14" s="889">
        <v>20000</v>
      </c>
      <c r="G14" s="889">
        <v>20000</v>
      </c>
      <c r="H14" s="889">
        <v>20000</v>
      </c>
      <c r="I14" s="889">
        <v>20000</v>
      </c>
      <c r="J14" s="889">
        <v>20000</v>
      </c>
      <c r="K14" s="889">
        <v>20000</v>
      </c>
      <c r="L14" s="889">
        <v>20000</v>
      </c>
      <c r="M14" s="889">
        <v>20000</v>
      </c>
      <c r="N14" s="889">
        <v>20000</v>
      </c>
      <c r="O14" s="889">
        <v>20000</v>
      </c>
      <c r="P14" s="889">
        <v>20000</v>
      </c>
      <c r="Q14" s="889">
        <v>20000</v>
      </c>
      <c r="AA14" s="20" t="s">
        <v>418</v>
      </c>
      <c r="AB14" s="20">
        <f>ROUND(IF('For printing'!AK$5+'For printing'!AK$6+'For printing'!AK$11+'For printing'!AK$13+'For printing'!AK$12,(AC14*'For printing'!AK$5+AD14*'For printing'!AK$6+AE14*'For printing'!AK$11+AF14*'For printing'!AK$12+AP14*'For printing'!AK$13)/('For printing'!AK$5+'For printing'!AK$6+'For printing'!AK$11+'For printing'!AK$13+'For printing'!AK$12),AC14),)</f>
        <v>20000</v>
      </c>
      <c r="AC14" s="20">
        <v>20000</v>
      </c>
      <c r="AD14" s="20">
        <v>20000</v>
      </c>
      <c r="AE14" s="20">
        <v>20000</v>
      </c>
      <c r="AF14" s="20">
        <v>20000</v>
      </c>
      <c r="AG14" s="20">
        <v>20000</v>
      </c>
      <c r="AH14" s="20">
        <v>20000</v>
      </c>
      <c r="AI14" s="20">
        <v>20000</v>
      </c>
      <c r="AJ14" s="20">
        <v>20000</v>
      </c>
      <c r="AK14" s="20">
        <v>20000</v>
      </c>
      <c r="AL14" s="20">
        <v>20000</v>
      </c>
      <c r="AM14" s="20">
        <v>20000</v>
      </c>
      <c r="AN14" s="20">
        <v>20000</v>
      </c>
      <c r="AO14" s="20">
        <v>20000</v>
      </c>
      <c r="AP14" s="20">
        <v>20000</v>
      </c>
    </row>
    <row r="15" spans="1:42" s="20" customFormat="1" ht="11.25" x14ac:dyDescent="0.2">
      <c r="A15" s="1360" t="str">
        <f>PEAT</f>
        <v>Peat</v>
      </c>
      <c r="B15" s="20" t="s">
        <v>469</v>
      </c>
      <c r="C15" s="1357">
        <f>ROUND(IF('For printing'!R$5+'For printing'!R$6+'For printing'!R$11+'For printing'!R$13+'For printing'!R$1,(D15*'For printing'!R$5+E15*'For printing'!R$6+F15*'For printing'!R$11+G15*'For printing'!R$12+Q15*'For printing'!R$13)/('For printing'!R$5+'For printing'!R$6+'For printing'!R$11+'For printing'!R$13+'For printing'!R$12),D15),)</f>
        <v>9760</v>
      </c>
      <c r="D15" s="889">
        <v>9760</v>
      </c>
      <c r="E15" s="889">
        <v>9760</v>
      </c>
      <c r="F15" s="889">
        <v>9760</v>
      </c>
      <c r="G15" s="889">
        <v>9760</v>
      </c>
      <c r="H15" s="889">
        <v>9760</v>
      </c>
      <c r="I15" s="889">
        <v>9760</v>
      </c>
      <c r="J15" s="889">
        <v>9760</v>
      </c>
      <c r="K15" s="889">
        <v>9760</v>
      </c>
      <c r="L15" s="889">
        <v>9760</v>
      </c>
      <c r="M15" s="889">
        <v>9760</v>
      </c>
      <c r="N15" s="889">
        <v>9760</v>
      </c>
      <c r="O15" s="889">
        <v>9760</v>
      </c>
      <c r="P15" s="889">
        <v>9760</v>
      </c>
      <c r="Q15" s="889">
        <v>9760</v>
      </c>
      <c r="AA15" s="20" t="s">
        <v>469</v>
      </c>
      <c r="AB15" s="20">
        <f>ROUND(IF('For printing'!AQ$5+'For printing'!AQ$6+'For printing'!AQ$11+'For printing'!AQ$13+'For printing'!AQ$1,(AC15*'For printing'!AQ$5+AD15*'For printing'!AQ$6+AE15*'For printing'!AQ$11+AF15*'For printing'!AQ$12+AP15*'For printing'!AQ$13)/('For printing'!AQ$5+'For printing'!AQ$6+'For printing'!AQ$11+'For printing'!AQ$13+'For printing'!AQ$12),AC15),)</f>
        <v>9760</v>
      </c>
      <c r="AC15" s="20">
        <v>9760</v>
      </c>
      <c r="AD15" s="20">
        <v>9760</v>
      </c>
      <c r="AE15" s="20">
        <v>9760</v>
      </c>
      <c r="AF15" s="20">
        <v>9760</v>
      </c>
      <c r="AG15" s="20">
        <v>9760</v>
      </c>
      <c r="AH15" s="20">
        <v>9760</v>
      </c>
      <c r="AI15" s="20">
        <v>9760</v>
      </c>
      <c r="AJ15" s="20">
        <v>9760</v>
      </c>
      <c r="AK15" s="20">
        <v>9760</v>
      </c>
      <c r="AL15" s="20">
        <v>9760</v>
      </c>
      <c r="AM15" s="20">
        <v>9760</v>
      </c>
      <c r="AN15" s="20">
        <v>9760</v>
      </c>
      <c r="AO15" s="20">
        <v>9760</v>
      </c>
      <c r="AP15" s="20">
        <v>9760</v>
      </c>
    </row>
    <row r="16" spans="1:42" s="20" customFormat="1" ht="11.25" x14ac:dyDescent="0.2">
      <c r="A16" s="1360" t="str">
        <f>PEATPROD</f>
        <v>Peat products</v>
      </c>
      <c r="B16" s="20" t="s">
        <v>476</v>
      </c>
      <c r="C16" s="1357">
        <f>ROUND(IF('For printing'!S$5+'For printing'!S$6+'For printing'!S$11+'For printing'!S$13+'For printing'!S$12,(D16*'For printing'!S$5+E16*'For printing'!S$6+F16*'For printing'!S$11+G16*'For printing'!S$12+Q16*'For printing'!S$13)/('For printing'!S$5+'For printing'!S$6+'For printing'!S$11+'For printing'!S$13+'For printing'!S$12),D16),)</f>
        <v>20000</v>
      </c>
      <c r="D16" s="889">
        <v>20000</v>
      </c>
      <c r="E16" s="889">
        <v>20000</v>
      </c>
      <c r="F16" s="889">
        <v>20000</v>
      </c>
      <c r="G16" s="889">
        <v>20000</v>
      </c>
      <c r="H16" s="889">
        <v>20000</v>
      </c>
      <c r="I16" s="889">
        <v>20000</v>
      </c>
      <c r="J16" s="889">
        <v>20000</v>
      </c>
      <c r="K16" s="889">
        <v>20000</v>
      </c>
      <c r="L16" s="889">
        <v>20000</v>
      </c>
      <c r="M16" s="889">
        <v>20000</v>
      </c>
      <c r="N16" s="889">
        <v>20000</v>
      </c>
      <c r="O16" s="889">
        <v>20000</v>
      </c>
      <c r="P16" s="889">
        <v>20000</v>
      </c>
      <c r="Q16" s="889">
        <v>20000</v>
      </c>
      <c r="AA16" s="20" t="s">
        <v>476</v>
      </c>
      <c r="AB16" s="20">
        <f>ROUND(IF('For printing'!AR$5+'For printing'!AR$6+'For printing'!AR$11+'For printing'!AR$13+'For printing'!AR$12,(AC16*'For printing'!AR$5+AD16*'For printing'!AR$6+AE16*'For printing'!AR$11+AF16*'For printing'!AR$12+AP16*'For printing'!AR$13)/('For printing'!AR$5+'For printing'!AR$6+'For printing'!AR$11+'For printing'!AR$13+'For printing'!AR$12),AC16),)</f>
        <v>20000</v>
      </c>
      <c r="AC16" s="20">
        <v>20000</v>
      </c>
      <c r="AD16" s="20">
        <v>20000</v>
      </c>
      <c r="AE16" s="20">
        <v>20000</v>
      </c>
      <c r="AF16" s="20">
        <v>20000</v>
      </c>
      <c r="AG16" s="20">
        <v>20000</v>
      </c>
      <c r="AH16" s="20">
        <v>20000</v>
      </c>
      <c r="AI16" s="20">
        <v>20000</v>
      </c>
      <c r="AJ16" s="20">
        <v>20000</v>
      </c>
      <c r="AK16" s="20">
        <v>20000</v>
      </c>
      <c r="AL16" s="20">
        <v>20000</v>
      </c>
      <c r="AM16" s="20">
        <v>20000</v>
      </c>
      <c r="AN16" s="20">
        <v>20000</v>
      </c>
      <c r="AO16" s="20">
        <v>20000</v>
      </c>
      <c r="AP16" s="20">
        <v>20000</v>
      </c>
    </row>
    <row r="17" spans="1:42" s="20" customFormat="1" ht="11.25" x14ac:dyDescent="0.2">
      <c r="A17" s="1360" t="str">
        <f>OILSHALE</f>
        <v>Oil shale and oil sands</v>
      </c>
      <c r="B17" s="20" t="s">
        <v>483</v>
      </c>
      <c r="C17" s="1357">
        <f>ROUND(IF('For printing'!T$5+'For printing'!T$6+'For printing'!T$11+'For printing'!T$13+'For printing'!T$12,(D17*'For printing'!T$5+E17*'For printing'!T$6+F17*'For printing'!T$11+G17*'For printing'!T$12+Q17*'For printing'!T$13)/('For printing'!T$5+'For printing'!T$6+'For printing'!T$11+'For printing'!T$13+'For printing'!T$12),D17),)</f>
        <v>9400</v>
      </c>
      <c r="D17" s="889">
        <v>9400</v>
      </c>
      <c r="E17" s="889">
        <v>9400</v>
      </c>
      <c r="F17" s="889">
        <v>9400</v>
      </c>
      <c r="G17" s="889">
        <v>9400</v>
      </c>
      <c r="H17" s="889">
        <v>9400</v>
      </c>
      <c r="I17" s="889">
        <v>9400</v>
      </c>
      <c r="J17" s="889">
        <v>9400</v>
      </c>
      <c r="K17" s="889">
        <v>9400</v>
      </c>
      <c r="L17" s="889">
        <v>9400</v>
      </c>
      <c r="M17" s="889">
        <v>9400</v>
      </c>
      <c r="N17" s="889">
        <v>9400</v>
      </c>
      <c r="O17" s="889">
        <v>9400</v>
      </c>
      <c r="P17" s="889">
        <v>9400</v>
      </c>
      <c r="Q17" s="889">
        <v>9400</v>
      </c>
      <c r="AA17" s="20" t="s">
        <v>483</v>
      </c>
      <c r="AB17" s="20">
        <f>ROUND(IF('For printing'!AS$5+'For printing'!AS$6+'For printing'!AS$11+'For printing'!AS$13+'For printing'!AS$12,(AC17*'For printing'!AS$5+AD17*'For printing'!AS$6+AE17*'For printing'!AS$11+AF17*'For printing'!AS$12+AP17*'For printing'!AS$13)/('For printing'!AS$5+'For printing'!AS$6+'For printing'!AS$11+'For printing'!AS$13+'For printing'!AS$12),AC17),)</f>
        <v>9400</v>
      </c>
      <c r="AC17" s="20">
        <v>9400</v>
      </c>
      <c r="AD17" s="20">
        <v>9400</v>
      </c>
      <c r="AE17" s="20">
        <v>9400</v>
      </c>
      <c r="AF17" s="20">
        <v>9400</v>
      </c>
      <c r="AG17" s="20">
        <v>9400</v>
      </c>
      <c r="AH17" s="20">
        <v>9400</v>
      </c>
      <c r="AI17" s="20">
        <v>9400</v>
      </c>
      <c r="AJ17" s="20">
        <v>9400</v>
      </c>
      <c r="AK17" s="20">
        <v>9400</v>
      </c>
      <c r="AL17" s="20">
        <v>9400</v>
      </c>
      <c r="AM17" s="20">
        <v>9400</v>
      </c>
      <c r="AN17" s="20">
        <v>9400</v>
      </c>
      <c r="AO17" s="20">
        <v>9400</v>
      </c>
      <c r="AP17" s="20">
        <v>9400</v>
      </c>
    </row>
    <row r="18" spans="1:42" s="20" customFormat="1" ht="11.25" x14ac:dyDescent="0.2">
      <c r="A18" s="1361" t="str">
        <f>CRUDEOIL</f>
        <v>Crude oil</v>
      </c>
      <c r="B18" s="20" t="s">
        <v>493</v>
      </c>
      <c r="C18" s="1358">
        <v>42300</v>
      </c>
      <c r="D18" s="1358">
        <v>42300</v>
      </c>
      <c r="E18" s="890" t="s">
        <v>1654</v>
      </c>
      <c r="F18" s="1358">
        <v>42300</v>
      </c>
      <c r="G18" s="1358">
        <v>42300</v>
      </c>
      <c r="H18" s="2262" t="s">
        <v>1655</v>
      </c>
      <c r="I18" s="1356"/>
      <c r="J18" s="1356"/>
      <c r="K18" s="1356"/>
      <c r="L18" s="1356"/>
      <c r="M18" s="1356"/>
      <c r="N18" s="1356"/>
      <c r="O18" s="1356"/>
      <c r="P18" s="1356"/>
      <c r="Q18" s="1356"/>
      <c r="AA18" s="20" t="s">
        <v>493</v>
      </c>
      <c r="AB18" s="20">
        <v>42300</v>
      </c>
      <c r="AC18" s="20">
        <v>42300</v>
      </c>
      <c r="AD18" s="555" t="s">
        <v>1656</v>
      </c>
      <c r="AE18" s="20">
        <v>42300</v>
      </c>
      <c r="AF18" s="20">
        <v>42300</v>
      </c>
      <c r="AP18" s="20" t="s">
        <v>322</v>
      </c>
    </row>
    <row r="19" spans="1:42" s="20" customFormat="1" ht="11.25" x14ac:dyDescent="0.2">
      <c r="A19" s="1361" t="str">
        <f>NGL</f>
        <v>Natural gas liquids (NGL)</v>
      </c>
      <c r="B19" s="20" t="s">
        <v>500</v>
      </c>
      <c r="C19" s="1358">
        <v>42743</v>
      </c>
      <c r="D19" s="1358">
        <v>42743</v>
      </c>
      <c r="E19" s="890" t="s">
        <v>1654</v>
      </c>
      <c r="F19" s="1358">
        <v>42743</v>
      </c>
      <c r="G19" s="1358">
        <v>42743</v>
      </c>
      <c r="H19" s="2262" t="s">
        <v>1655</v>
      </c>
      <c r="I19" s="1356"/>
      <c r="J19" s="1356"/>
      <c r="K19" s="1356"/>
      <c r="L19" s="1356"/>
      <c r="M19" s="1356"/>
      <c r="N19" s="1356"/>
      <c r="O19" s="1356"/>
      <c r="P19" s="1356"/>
      <c r="Q19" s="1356"/>
      <c r="AA19" s="20" t="s">
        <v>500</v>
      </c>
      <c r="AB19" s="20">
        <v>43000</v>
      </c>
      <c r="AC19" s="20">
        <v>43000</v>
      </c>
      <c r="AD19" s="555" t="s">
        <v>1656</v>
      </c>
      <c r="AE19" s="20">
        <v>43000</v>
      </c>
      <c r="AF19" s="20">
        <v>43000</v>
      </c>
      <c r="AP19" s="20" t="s">
        <v>322</v>
      </c>
    </row>
    <row r="20" spans="1:42" s="20" customFormat="1" ht="11.25" x14ac:dyDescent="0.2">
      <c r="A20" s="1361" t="str">
        <f>REFFEEDS</f>
        <v>Refinery feedstocks</v>
      </c>
      <c r="B20" s="20" t="s">
        <v>507</v>
      </c>
      <c r="C20" s="1358">
        <v>41868</v>
      </c>
      <c r="D20" s="1358">
        <v>41868</v>
      </c>
      <c r="E20" s="890" t="s">
        <v>1654</v>
      </c>
      <c r="F20" s="1358">
        <v>41868</v>
      </c>
      <c r="G20" s="1358">
        <v>41868</v>
      </c>
      <c r="H20" s="2262" t="s">
        <v>1655</v>
      </c>
      <c r="I20" s="1011"/>
      <c r="J20" s="1011"/>
      <c r="K20" s="1011"/>
      <c r="L20" s="1011"/>
      <c r="M20" s="1011"/>
      <c r="N20" s="1011"/>
      <c r="O20" s="1011"/>
      <c r="P20" s="1011"/>
      <c r="Q20" s="1011"/>
      <c r="AA20" s="20" t="s">
        <v>507</v>
      </c>
      <c r="AB20" s="20">
        <v>41868</v>
      </c>
      <c r="AC20" s="20">
        <v>41868</v>
      </c>
      <c r="AD20" s="555" t="s">
        <v>1656</v>
      </c>
      <c r="AE20" s="20">
        <v>41868</v>
      </c>
      <c r="AF20" s="20">
        <v>41868</v>
      </c>
      <c r="AP20" s="20" t="s">
        <v>322</v>
      </c>
    </row>
    <row r="21" spans="1:42" s="20" customFormat="1" ht="11.25" x14ac:dyDescent="0.2">
      <c r="A21" s="1361" t="str">
        <f>ADDITIVE</f>
        <v>Additives/ blending components</v>
      </c>
      <c r="B21" s="20" t="s">
        <v>514</v>
      </c>
      <c r="C21" s="1358">
        <v>41868</v>
      </c>
      <c r="D21" s="1358">
        <v>41868</v>
      </c>
      <c r="E21" s="890" t="s">
        <v>1654</v>
      </c>
      <c r="F21" s="1358">
        <v>41868</v>
      </c>
      <c r="G21" s="1358">
        <v>41868</v>
      </c>
      <c r="H21" s="2262" t="s">
        <v>1655</v>
      </c>
      <c r="I21" s="1011"/>
      <c r="J21" s="1011"/>
      <c r="K21" s="1011"/>
      <c r="L21" s="1011"/>
      <c r="M21" s="1011"/>
      <c r="N21" s="1011"/>
      <c r="O21" s="1011"/>
      <c r="P21" s="1011"/>
      <c r="Q21" s="1011"/>
      <c r="AA21" s="20" t="s">
        <v>514</v>
      </c>
      <c r="AB21" s="20">
        <v>25120</v>
      </c>
      <c r="AC21" s="20">
        <v>25120</v>
      </c>
      <c r="AD21" s="555" t="s">
        <v>1656</v>
      </c>
      <c r="AE21" s="20">
        <v>25120</v>
      </c>
      <c r="AF21" s="20">
        <v>25120</v>
      </c>
      <c r="AP21" s="20" t="s">
        <v>322</v>
      </c>
    </row>
    <row r="22" spans="1:42" s="20" customFormat="1" ht="11.25" x14ac:dyDescent="0.2">
      <c r="A22" s="1361" t="str">
        <f>NONCRUDE</f>
        <v>Other hydro-carbons</v>
      </c>
      <c r="B22" s="20" t="s">
        <v>521</v>
      </c>
      <c r="C22" s="1358">
        <v>40520</v>
      </c>
      <c r="D22" s="1358">
        <v>40520</v>
      </c>
      <c r="E22" s="890" t="s">
        <v>1654</v>
      </c>
      <c r="F22" s="1358">
        <v>40520</v>
      </c>
      <c r="G22" s="1358">
        <v>40520</v>
      </c>
      <c r="H22" s="2262" t="s">
        <v>1655</v>
      </c>
      <c r="I22" s="1011"/>
      <c r="J22" s="1011"/>
      <c r="K22" s="1011"/>
      <c r="L22" s="1011"/>
      <c r="M22" s="1011"/>
      <c r="N22" s="1011"/>
      <c r="O22" s="1011"/>
      <c r="P22" s="1011"/>
      <c r="Q22" s="1011"/>
      <c r="AA22" s="20" t="s">
        <v>521</v>
      </c>
      <c r="AB22" s="20">
        <v>41868</v>
      </c>
      <c r="AC22" s="20">
        <v>41868</v>
      </c>
      <c r="AD22" s="555" t="s">
        <v>1656</v>
      </c>
      <c r="AE22" s="20">
        <v>41868</v>
      </c>
      <c r="AF22" s="20">
        <v>41868</v>
      </c>
      <c r="AP22" s="20" t="s">
        <v>322</v>
      </c>
    </row>
    <row r="23" spans="1:42" s="20" customFormat="1" ht="11.25" x14ac:dyDescent="0.2">
      <c r="A23" s="2263" t="str">
        <f>REFINGAS</f>
        <v>Refinery gas</v>
      </c>
      <c r="B23" s="2264" t="s">
        <v>531</v>
      </c>
      <c r="C23" s="2265">
        <f>F61</f>
        <v>29733</v>
      </c>
      <c r="D23" s="1356"/>
      <c r="E23" s="1356"/>
      <c r="F23" s="1356"/>
      <c r="G23" s="1356"/>
      <c r="H23" s="2262" t="s">
        <v>1657</v>
      </c>
      <c r="I23" s="1011" t="s">
        <v>1658</v>
      </c>
      <c r="J23" s="1011"/>
      <c r="K23" s="1011"/>
      <c r="L23" s="1011"/>
      <c r="M23" s="1011"/>
      <c r="N23" s="1011"/>
      <c r="O23" s="1011"/>
      <c r="P23" s="1011"/>
      <c r="Q23" s="1011"/>
    </row>
    <row r="24" spans="1:42" s="20" customFormat="1" ht="11.25" x14ac:dyDescent="0.2">
      <c r="A24" s="2263" t="str">
        <f>ETHANE</f>
        <v>Ethane</v>
      </c>
      <c r="B24" s="2264" t="s">
        <v>538</v>
      </c>
      <c r="C24" s="2265">
        <f t="shared" ref="C24:C34" si="0">F62</f>
        <v>6883</v>
      </c>
      <c r="D24" s="1356"/>
      <c r="E24" s="1356"/>
      <c r="F24" s="1356"/>
      <c r="G24" s="1356"/>
      <c r="H24" s="2262" t="s">
        <v>1657</v>
      </c>
      <c r="I24" s="1011"/>
      <c r="J24" s="1011"/>
      <c r="K24" s="1011"/>
      <c r="L24" s="1011"/>
      <c r="M24" s="1011"/>
      <c r="N24" s="1011"/>
      <c r="O24" s="1011"/>
      <c r="P24" s="1011"/>
      <c r="Q24" s="1011"/>
    </row>
    <row r="25" spans="1:42" s="20" customFormat="1" ht="11.25" x14ac:dyDescent="0.2">
      <c r="A25" s="2263" t="str">
        <f>LPG</f>
        <v>Liquefied petroleum gases (LPG)</v>
      </c>
      <c r="B25" s="2264" t="s">
        <v>545</v>
      </c>
      <c r="C25" s="2265">
        <f t="shared" si="0"/>
        <v>13632</v>
      </c>
      <c r="D25" s="1356"/>
      <c r="E25" s="1356"/>
      <c r="F25" s="1356"/>
      <c r="G25" s="1356"/>
      <c r="H25" s="2262" t="s">
        <v>1657</v>
      </c>
      <c r="I25" s="1011"/>
      <c r="J25" s="1011"/>
      <c r="K25" s="1011"/>
      <c r="L25" s="1011"/>
      <c r="M25" s="1011"/>
      <c r="N25" s="1011"/>
      <c r="O25" s="1011"/>
      <c r="P25" s="1011"/>
      <c r="Q25" s="1011"/>
    </row>
    <row r="26" spans="1:42" s="20" customFormat="1" ht="11.25" x14ac:dyDescent="0.2">
      <c r="A26" s="2263" t="str">
        <f>NONBIOGASO</f>
        <v>Motor gasoline excl. biofuels</v>
      </c>
      <c r="B26" s="2264" t="s">
        <v>552</v>
      </c>
      <c r="C26" s="2265">
        <f t="shared" si="0"/>
        <v>24117</v>
      </c>
      <c r="D26" s="1356"/>
      <c r="E26" s="1356"/>
      <c r="F26" s="1356"/>
      <c r="G26" s="1356"/>
      <c r="H26" s="2262" t="s">
        <v>1657</v>
      </c>
      <c r="I26" s="1011"/>
      <c r="J26" s="1011"/>
      <c r="K26" s="1011"/>
      <c r="L26" s="1011"/>
      <c r="M26" s="1011"/>
      <c r="N26" s="1011"/>
      <c r="O26" s="1011"/>
      <c r="P26" s="1011"/>
      <c r="Q26" s="1011"/>
    </row>
    <row r="27" spans="1:42" s="20" customFormat="1" ht="11.25" x14ac:dyDescent="0.2">
      <c r="A27" s="2263" t="str">
        <f>AVGAS</f>
        <v>Aviation gasoline</v>
      </c>
      <c r="B27" s="2264" t="s">
        <v>559</v>
      </c>
      <c r="C27" s="2265">
        <f t="shared" si="0"/>
        <v>24253</v>
      </c>
      <c r="D27" s="1356"/>
      <c r="E27" s="1356"/>
      <c r="F27" s="1356"/>
      <c r="G27" s="1356"/>
      <c r="H27" s="2262" t="s">
        <v>1657</v>
      </c>
      <c r="I27" s="1011"/>
      <c r="J27" s="1011"/>
      <c r="K27" s="1011"/>
      <c r="L27" s="1011"/>
      <c r="M27" s="1011"/>
      <c r="N27" s="1011"/>
      <c r="O27" s="1011"/>
      <c r="P27" s="1011"/>
      <c r="Q27" s="1011"/>
    </row>
    <row r="28" spans="1:42" s="20" customFormat="1" ht="11.25" x14ac:dyDescent="0.2">
      <c r="A28" s="2263" t="str">
        <f>JETGAS</f>
        <v>Gasoline type jet fuel</v>
      </c>
      <c r="B28" s="2264" t="s">
        <v>566</v>
      </c>
      <c r="C28" s="2265">
        <f t="shared" si="0"/>
        <v>23508</v>
      </c>
      <c r="D28" s="1356"/>
      <c r="E28" s="1356"/>
      <c r="F28" s="1356"/>
      <c r="G28" s="1356"/>
      <c r="H28" s="2262" t="s">
        <v>1657</v>
      </c>
      <c r="I28" s="1011"/>
      <c r="J28" s="1011"/>
      <c r="K28" s="1011"/>
      <c r="L28" s="1011"/>
      <c r="M28" s="1011"/>
      <c r="N28" s="1011"/>
      <c r="O28" s="1011"/>
      <c r="P28" s="1011"/>
      <c r="Q28" s="1011"/>
    </row>
    <row r="29" spans="1:42" s="20" customFormat="1" ht="11.25" x14ac:dyDescent="0.2">
      <c r="A29" s="2263" t="str">
        <f>NONBIOJETK</f>
        <v>Kerosene type jet fuel excl. biofuels</v>
      </c>
      <c r="B29" s="2264" t="s">
        <v>573</v>
      </c>
      <c r="C29" s="2265">
        <f t="shared" si="0"/>
        <v>26915</v>
      </c>
      <c r="D29" s="1356"/>
      <c r="E29" s="1356"/>
      <c r="F29" s="1356"/>
      <c r="G29" s="1356"/>
      <c r="H29" s="2262" t="s">
        <v>1657</v>
      </c>
      <c r="I29" s="1011"/>
      <c r="J29" s="1011"/>
      <c r="K29" s="1011"/>
      <c r="L29" s="1011"/>
      <c r="M29" s="1011"/>
      <c r="N29" s="1011"/>
      <c r="O29" s="1011"/>
      <c r="P29" s="1011"/>
      <c r="Q29" s="1011"/>
    </row>
    <row r="30" spans="1:42" s="20" customFormat="1" ht="11.25" x14ac:dyDescent="0.2">
      <c r="A30" s="2263" t="str">
        <f>OTHKERO</f>
        <v>Other kerosene</v>
      </c>
      <c r="B30" s="2264" t="s">
        <v>580</v>
      </c>
      <c r="C30" s="2265">
        <f t="shared" si="0"/>
        <v>28341</v>
      </c>
      <c r="D30" s="1356"/>
      <c r="E30" s="1356"/>
      <c r="F30" s="1356"/>
      <c r="G30" s="1356"/>
      <c r="H30" s="2262" t="s">
        <v>1657</v>
      </c>
      <c r="I30" s="1011"/>
      <c r="J30" s="1011"/>
      <c r="K30" s="1011"/>
      <c r="L30" s="1011"/>
      <c r="M30" s="1011"/>
      <c r="N30" s="1011"/>
      <c r="O30" s="1011"/>
      <c r="P30" s="1011"/>
      <c r="Q30" s="1011"/>
    </row>
    <row r="31" spans="1:42" s="20" customFormat="1" ht="11.25" x14ac:dyDescent="0.2">
      <c r="A31" s="2263" t="str">
        <f>NONBIODIES</f>
        <v>Gas/diesel oil excluding biofuels</v>
      </c>
      <c r="B31" s="2264" t="s">
        <v>587</v>
      </c>
      <c r="C31" s="2265">
        <f t="shared" si="0"/>
        <v>32479</v>
      </c>
      <c r="D31" s="1356"/>
      <c r="E31" s="1356"/>
      <c r="F31" s="1356"/>
      <c r="G31" s="1356"/>
      <c r="H31" s="2262" t="s">
        <v>1657</v>
      </c>
      <c r="I31" s="1011"/>
      <c r="J31" s="1011"/>
      <c r="K31" s="1011"/>
      <c r="L31" s="1011"/>
      <c r="M31" s="1011"/>
      <c r="N31" s="1011"/>
      <c r="O31" s="1011"/>
      <c r="P31" s="1011"/>
      <c r="Q31" s="1011"/>
    </row>
    <row r="32" spans="1:42" s="20" customFormat="1" ht="11.25" x14ac:dyDescent="0.2">
      <c r="A32" s="2263" t="str">
        <f>RESFUEL</f>
        <v>Fuel oil</v>
      </c>
      <c r="B32" s="2264" t="s">
        <v>594</v>
      </c>
      <c r="C32" s="2265">
        <f t="shared" si="0"/>
        <v>37758</v>
      </c>
      <c r="D32" s="1356"/>
      <c r="E32" s="1356"/>
      <c r="F32" s="1356"/>
      <c r="G32" s="1356"/>
      <c r="H32" s="2262" t="s">
        <v>1657</v>
      </c>
      <c r="I32" s="1011"/>
      <c r="J32" s="1011"/>
      <c r="K32" s="1011"/>
      <c r="L32" s="1011"/>
      <c r="M32" s="1011"/>
      <c r="N32" s="1011"/>
      <c r="O32" s="1011"/>
      <c r="P32" s="1011"/>
      <c r="Q32" s="1011"/>
    </row>
    <row r="33" spans="1:17" s="20" customFormat="1" ht="11.25" x14ac:dyDescent="0.2">
      <c r="A33" s="2263" t="str">
        <f>NAPHTHA</f>
        <v>Naphtha</v>
      </c>
      <c r="B33" s="2264" t="s">
        <v>601</v>
      </c>
      <c r="C33" s="2265">
        <f t="shared" si="0"/>
        <v>23267</v>
      </c>
      <c r="D33" s="1356"/>
      <c r="E33" s="1356"/>
      <c r="F33" s="1356"/>
      <c r="G33" s="1356"/>
      <c r="H33" s="2262" t="s">
        <v>1657</v>
      </c>
      <c r="I33" s="1011"/>
      <c r="J33" s="1011"/>
      <c r="K33" s="1011"/>
      <c r="L33" s="1011"/>
      <c r="M33" s="1011"/>
      <c r="N33" s="1011"/>
      <c r="O33" s="1011"/>
      <c r="P33" s="1011"/>
      <c r="Q33" s="1011"/>
    </row>
    <row r="34" spans="1:17" s="20" customFormat="1" ht="11.25" x14ac:dyDescent="0.2">
      <c r="A34" s="2263" t="str">
        <f>WHITESP</f>
        <v>White spirit &amp; SBP</v>
      </c>
      <c r="B34" s="2264" t="s">
        <v>608</v>
      </c>
      <c r="C34" s="2265">
        <f t="shared" si="0"/>
        <v>27847</v>
      </c>
      <c r="D34" s="1356"/>
      <c r="E34" s="1356"/>
      <c r="F34" s="1356"/>
      <c r="G34" s="1356"/>
      <c r="H34" s="2262" t="s">
        <v>1657</v>
      </c>
      <c r="I34" s="1011"/>
      <c r="J34" s="1011"/>
      <c r="K34" s="1011"/>
      <c r="L34" s="1011"/>
      <c r="M34" s="1011"/>
      <c r="N34" s="1011"/>
      <c r="O34" s="1011"/>
      <c r="P34" s="1011"/>
      <c r="Q34" s="1011"/>
    </row>
    <row r="35" spans="1:17" s="20" customFormat="1" ht="11.25" x14ac:dyDescent="0.2">
      <c r="A35" s="1361" t="str">
        <f>LUBRIC</f>
        <v>Lubricants</v>
      </c>
      <c r="B35" s="20" t="s">
        <v>615</v>
      </c>
      <c r="C35" s="1358">
        <v>42000</v>
      </c>
      <c r="D35" s="1356"/>
      <c r="E35" s="1356"/>
      <c r="F35" s="1356"/>
      <c r="G35" s="1356"/>
      <c r="H35" s="2262" t="s">
        <v>1655</v>
      </c>
      <c r="I35" s="1011"/>
      <c r="J35" s="1011"/>
      <c r="K35" s="1011"/>
      <c r="L35" s="1011"/>
      <c r="M35" s="1011"/>
      <c r="N35" s="1011"/>
      <c r="O35" s="1011"/>
      <c r="P35" s="1011"/>
      <c r="Q35" s="1011"/>
    </row>
    <row r="36" spans="1:17" s="20" customFormat="1" ht="11.25" x14ac:dyDescent="0.2">
      <c r="A36" s="1361" t="str">
        <f>BITUMEN</f>
        <v>Bitumen</v>
      </c>
      <c r="B36" s="20" t="s">
        <v>622</v>
      </c>
      <c r="C36" s="1358">
        <v>39000</v>
      </c>
      <c r="D36" s="1356"/>
      <c r="E36" s="1356"/>
      <c r="F36" s="1356"/>
      <c r="G36" s="1356"/>
      <c r="H36" s="2262" t="s">
        <v>1655</v>
      </c>
      <c r="I36" s="1011"/>
      <c r="J36" s="1011"/>
      <c r="K36" s="1011"/>
      <c r="L36" s="1011"/>
      <c r="M36" s="1011"/>
      <c r="N36" s="1011"/>
      <c r="O36" s="1011"/>
      <c r="P36" s="1011"/>
      <c r="Q36" s="1011"/>
    </row>
    <row r="37" spans="1:17" s="20" customFormat="1" ht="11.25" x14ac:dyDescent="0.2">
      <c r="A37" s="1361" t="str">
        <f>PARWAX</f>
        <v>Paraffin waxes</v>
      </c>
      <c r="B37" s="20" t="s">
        <v>629</v>
      </c>
      <c r="C37" s="1358">
        <v>40000</v>
      </c>
      <c r="D37" s="1356"/>
      <c r="E37" s="1356"/>
      <c r="F37" s="1356"/>
      <c r="G37" s="1356"/>
      <c r="H37" s="2262" t="s">
        <v>1655</v>
      </c>
      <c r="I37" s="1011"/>
      <c r="J37" s="1011"/>
      <c r="K37" s="1011"/>
      <c r="L37" s="1011"/>
      <c r="M37" s="1011"/>
      <c r="N37" s="1011"/>
      <c r="O37" s="1011"/>
      <c r="P37" s="1011"/>
      <c r="Q37" s="1011"/>
    </row>
    <row r="38" spans="1:17" s="20" customFormat="1" ht="11.25" x14ac:dyDescent="0.2">
      <c r="A38" s="1361" t="str">
        <f>PETCOKE</f>
        <v>Petroleum coke</v>
      </c>
      <c r="B38" s="20" t="s">
        <v>636</v>
      </c>
      <c r="C38" s="1358">
        <v>32000</v>
      </c>
      <c r="D38" s="1356"/>
      <c r="E38" s="1356"/>
      <c r="F38" s="1356"/>
      <c r="G38" s="1356"/>
      <c r="H38" s="2262" t="s">
        <v>1655</v>
      </c>
      <c r="I38" s="1011"/>
      <c r="J38" s="1011"/>
      <c r="K38" s="1011"/>
      <c r="L38" s="1011"/>
      <c r="M38" s="1011"/>
      <c r="N38" s="1011"/>
      <c r="O38" s="1011"/>
      <c r="P38" s="1011"/>
      <c r="Q38" s="1011"/>
    </row>
    <row r="39" spans="1:17" s="20" customFormat="1" ht="11.25" x14ac:dyDescent="0.2">
      <c r="A39" s="1361" t="str">
        <f>ONONSPEC</f>
        <v>Non-specified oil products</v>
      </c>
      <c r="B39" s="20" t="s">
        <v>643</v>
      </c>
      <c r="C39" s="1358">
        <v>40000</v>
      </c>
      <c r="D39" s="1356"/>
      <c r="E39" s="1356"/>
      <c r="F39" s="1356"/>
      <c r="G39" s="1356"/>
      <c r="H39" s="2262" t="s">
        <v>1655</v>
      </c>
      <c r="I39" s="1011"/>
      <c r="J39" s="1011"/>
      <c r="K39" s="1011"/>
      <c r="L39" s="1011"/>
      <c r="M39" s="1011"/>
      <c r="N39" s="1011"/>
      <c r="O39" s="1011"/>
      <c r="P39" s="1011"/>
      <c r="Q39" s="1011"/>
    </row>
    <row r="40" spans="1:17" s="20" customFormat="1" ht="11.25" x14ac:dyDescent="0.2">
      <c r="A40" s="1362" t="str">
        <f>BIOGASOL</f>
        <v>Biogasoline</v>
      </c>
      <c r="B40" s="20" t="s">
        <v>696</v>
      </c>
      <c r="C40" s="1359">
        <v>26800</v>
      </c>
      <c r="D40" s="1356"/>
      <c r="E40" s="1356"/>
      <c r="F40" s="1356"/>
      <c r="G40" s="1356"/>
      <c r="H40" s="2262" t="s">
        <v>1655</v>
      </c>
      <c r="I40" s="1356"/>
      <c r="J40" s="1356"/>
      <c r="K40" s="1356"/>
      <c r="L40" s="1356"/>
      <c r="M40" s="1356"/>
      <c r="N40" s="1356"/>
      <c r="O40" s="1356"/>
      <c r="P40" s="1356"/>
      <c r="Q40" s="1356"/>
    </row>
    <row r="41" spans="1:17" s="20" customFormat="1" ht="11.25" x14ac:dyDescent="0.2">
      <c r="A41" s="1362" t="str">
        <f>BIOJETKERO</f>
        <v>Bio jet kerosene</v>
      </c>
      <c r="B41" s="20" t="s">
        <v>703</v>
      </c>
      <c r="C41" s="1359">
        <v>41073</v>
      </c>
      <c r="D41" s="1356"/>
      <c r="E41" s="1356"/>
      <c r="F41" s="1356"/>
      <c r="G41" s="1356"/>
      <c r="H41" s="2262" t="s">
        <v>1655</v>
      </c>
      <c r="I41" s="1356"/>
      <c r="J41" s="1356"/>
      <c r="K41" s="1356"/>
      <c r="L41" s="1356"/>
      <c r="M41" s="1356"/>
      <c r="N41" s="1356"/>
      <c r="O41" s="1356"/>
      <c r="P41" s="1356"/>
      <c r="Q41" s="1356"/>
    </row>
    <row r="42" spans="1:17" s="20" customFormat="1" ht="11.25" x14ac:dyDescent="0.2">
      <c r="A42" s="1362" t="str">
        <f>BIODIESEL</f>
        <v>Biodiesels</v>
      </c>
      <c r="B42" s="20" t="s">
        <v>710</v>
      </c>
      <c r="C42" s="1359">
        <v>36800</v>
      </c>
      <c r="D42" s="1356"/>
      <c r="E42" s="1356"/>
      <c r="F42" s="1356"/>
      <c r="G42" s="1356"/>
      <c r="H42" s="2262" t="s">
        <v>1655</v>
      </c>
      <c r="I42" s="1356"/>
      <c r="J42" s="1356"/>
      <c r="K42" s="1356"/>
      <c r="L42" s="1356"/>
      <c r="M42" s="1356"/>
      <c r="N42" s="1356"/>
      <c r="O42" s="1356"/>
      <c r="P42" s="1356"/>
      <c r="Q42" s="1356"/>
    </row>
    <row r="43" spans="1:17" s="20" customFormat="1" ht="11.25" x14ac:dyDescent="0.2">
      <c r="A43" s="1362" t="str">
        <f>OBIOLIQ</f>
        <v>Other liquid biofuels</v>
      </c>
      <c r="B43" s="20" t="s">
        <v>717</v>
      </c>
      <c r="C43" s="1359">
        <v>36800</v>
      </c>
      <c r="D43" s="1356"/>
      <c r="E43" s="1356"/>
      <c r="F43" s="1356"/>
      <c r="G43" s="1356"/>
      <c r="H43" s="2262" t="s">
        <v>1655</v>
      </c>
      <c r="I43" s="1356"/>
      <c r="J43" s="1356"/>
      <c r="K43" s="1356"/>
      <c r="L43" s="1356"/>
      <c r="M43" s="1356"/>
      <c r="N43" s="1356"/>
      <c r="O43" s="1356"/>
      <c r="P43" s="1356"/>
      <c r="Q43" s="1356"/>
    </row>
    <row r="44" spans="1:17" s="20" customFormat="1" ht="11.25" x14ac:dyDescent="0.2">
      <c r="A44" s="1362" t="str">
        <f>CHARCOAL</f>
        <v>Charcoal</v>
      </c>
      <c r="B44" s="20" t="s">
        <v>731</v>
      </c>
      <c r="C44" s="1359">
        <v>30800</v>
      </c>
      <c r="D44" s="1356"/>
      <c r="E44" s="1356"/>
      <c r="F44" s="1356"/>
      <c r="G44" s="1356"/>
      <c r="H44" s="2262" t="s">
        <v>1655</v>
      </c>
      <c r="I44" s="1356"/>
      <c r="J44" s="1356"/>
      <c r="K44" s="1356"/>
      <c r="L44" s="1356"/>
      <c r="M44" s="1356"/>
      <c r="N44" s="1356"/>
      <c r="O44" s="1356"/>
      <c r="P44" s="1356"/>
      <c r="Q44" s="1356"/>
    </row>
    <row r="45" spans="1:17" s="20" customFormat="1" ht="11.25" x14ac:dyDescent="0.2">
      <c r="C45" s="1363"/>
    </row>
    <row r="46" spans="1:17" s="20" customFormat="1" ht="24" customHeight="1" x14ac:dyDescent="0.2">
      <c r="A46" s="2120" t="s">
        <v>1659</v>
      </c>
      <c r="B46" s="2114"/>
      <c r="C46" s="2121"/>
      <c r="D46" s="2114"/>
      <c r="E46" s="2114"/>
      <c r="F46" s="2114"/>
      <c r="G46" s="2114"/>
      <c r="H46" s="2114"/>
      <c r="I46" s="2114"/>
      <c r="J46" s="2114"/>
      <c r="K46" s="2114"/>
      <c r="L46" s="2114"/>
      <c r="M46" s="2114"/>
      <c r="N46" s="2114"/>
      <c r="O46" s="2114"/>
      <c r="P46" s="2114"/>
      <c r="Q46" s="2114"/>
    </row>
    <row r="47" spans="1:17" s="20" customFormat="1" ht="16.5" customHeight="1" x14ac:dyDescent="0.2">
      <c r="A47" s="1364" t="s">
        <v>1660</v>
      </c>
      <c r="B47" s="256"/>
      <c r="C47" s="1365"/>
      <c r="D47" s="1366"/>
      <c r="E47" s="1366"/>
      <c r="F47" s="1366"/>
      <c r="G47" s="1366"/>
      <c r="H47" s="1366"/>
      <c r="I47" s="1366"/>
      <c r="J47" s="1366"/>
      <c r="K47" s="1366"/>
      <c r="L47" s="1366"/>
      <c r="M47" s="1366"/>
      <c r="N47" s="1366"/>
      <c r="O47" s="1366"/>
      <c r="P47" s="1366"/>
      <c r="Q47" s="1366"/>
    </row>
    <row r="48" spans="1:17" s="20" customFormat="1" ht="11.25" x14ac:dyDescent="0.2">
      <c r="A48" s="1367" t="str">
        <f>GASWKSGS</f>
        <v>Gas works gas</v>
      </c>
      <c r="B48" s="20" t="s">
        <v>428</v>
      </c>
      <c r="C48" s="1368">
        <v>0.9</v>
      </c>
      <c r="D48" s="2299" t="s">
        <v>1661</v>
      </c>
      <c r="E48" s="2299"/>
      <c r="F48" s="2299"/>
      <c r="G48" s="2299"/>
      <c r="H48" s="2299"/>
      <c r="I48" s="2299"/>
      <c r="J48" s="2299"/>
      <c r="M48" s="555"/>
      <c r="N48" s="555"/>
      <c r="O48" s="555"/>
      <c r="P48" s="555"/>
      <c r="Q48" s="555"/>
    </row>
    <row r="49" spans="1:17" s="20" customFormat="1" ht="11.25" customHeight="1" x14ac:dyDescent="0.2">
      <c r="A49" s="1367" t="str">
        <f>COKEOVGS</f>
        <v>Coke oven gas</v>
      </c>
      <c r="B49" s="20" t="s">
        <v>441</v>
      </c>
      <c r="C49" s="1368">
        <v>0.9</v>
      </c>
      <c r="D49" s="2273"/>
      <c r="E49" s="2273"/>
      <c r="F49" s="2273"/>
      <c r="G49" s="2273"/>
      <c r="H49" s="2273"/>
      <c r="I49" s="2273"/>
      <c r="J49" s="2273"/>
      <c r="M49" s="555"/>
      <c r="N49" s="555"/>
      <c r="O49" s="555"/>
      <c r="P49" s="555"/>
      <c r="Q49" s="555"/>
    </row>
    <row r="50" spans="1:17" s="20" customFormat="1" ht="11.25" x14ac:dyDescent="0.2">
      <c r="A50" s="1367" t="str">
        <f>BLFURGS</f>
        <v>Blast furnace gas</v>
      </c>
      <c r="B50" s="20" t="s">
        <v>448</v>
      </c>
      <c r="C50" s="1369">
        <v>1</v>
      </c>
      <c r="D50" s="2273"/>
      <c r="E50" s="2273"/>
      <c r="F50" s="2273"/>
      <c r="G50" s="2273"/>
      <c r="H50" s="2273"/>
      <c r="I50" s="2273"/>
      <c r="J50" s="2273"/>
      <c r="M50" s="555"/>
    </row>
    <row r="51" spans="1:17" s="20" customFormat="1" ht="11.25" x14ac:dyDescent="0.2">
      <c r="A51" s="1367" t="str">
        <f>OGASES</f>
        <v>Other recovered gases</v>
      </c>
      <c r="B51" s="20" t="s">
        <v>455</v>
      </c>
      <c r="C51" s="1369">
        <v>1</v>
      </c>
      <c r="D51" s="2273"/>
      <c r="E51" s="2273"/>
      <c r="F51" s="2273"/>
      <c r="G51" s="2273"/>
      <c r="H51" s="2273"/>
      <c r="I51" s="2273"/>
      <c r="J51" s="2273"/>
      <c r="M51" s="555"/>
      <c r="N51" s="555"/>
      <c r="O51" s="555"/>
      <c r="P51" s="555"/>
      <c r="Q51" s="555"/>
    </row>
    <row r="52" spans="1:17" s="20" customFormat="1" ht="11.25" x14ac:dyDescent="0.2">
      <c r="A52" s="1370" t="str">
        <f>NATGAS</f>
        <v>Natural gas</v>
      </c>
      <c r="B52" s="20" t="s">
        <v>653</v>
      </c>
      <c r="C52" s="1371">
        <v>0.9</v>
      </c>
      <c r="D52" s="2300"/>
      <c r="E52" s="2300"/>
      <c r="F52" s="2300"/>
      <c r="G52" s="2300"/>
      <c r="H52" s="2300"/>
      <c r="I52" s="2300"/>
      <c r="J52" s="2300"/>
      <c r="M52" s="555"/>
      <c r="N52" s="555"/>
      <c r="O52" s="555"/>
      <c r="P52" s="555"/>
      <c r="Q52" s="555"/>
    </row>
    <row r="53" spans="1:17" s="20" customFormat="1" ht="16.5" customHeight="1" x14ac:dyDescent="0.2">
      <c r="A53" s="1364" t="s">
        <v>1662</v>
      </c>
      <c r="B53" s="256"/>
      <c r="C53" s="256"/>
      <c r="D53" s="256"/>
      <c r="E53" s="256"/>
      <c r="F53" s="256"/>
      <c r="G53" s="256"/>
      <c r="H53" s="256"/>
      <c r="I53" s="256"/>
      <c r="J53" s="256"/>
      <c r="K53" s="256"/>
      <c r="L53" s="256"/>
      <c r="M53" s="256"/>
      <c r="N53" s="256"/>
      <c r="O53" s="256"/>
      <c r="P53" s="256"/>
      <c r="Q53" s="256"/>
    </row>
    <row r="54" spans="1:17" s="20" customFormat="1" ht="11.25" x14ac:dyDescent="0.2">
      <c r="A54" s="555" t="s">
        <v>1663</v>
      </c>
      <c r="C54" s="20">
        <f>10^6</f>
        <v>1000000</v>
      </c>
      <c r="M54" s="555"/>
      <c r="N54" s="555"/>
      <c r="O54" s="555"/>
      <c r="P54" s="555"/>
      <c r="Q54" s="555"/>
    </row>
    <row r="55" spans="1:17" s="20" customFormat="1" ht="11.25" x14ac:dyDescent="0.2">
      <c r="A55" s="555" t="s">
        <v>1664</v>
      </c>
      <c r="C55" s="20">
        <f>10^-9</f>
        <v>1.0000000000000001E-9</v>
      </c>
      <c r="M55" s="555"/>
      <c r="N55" s="555"/>
      <c r="O55" s="555"/>
      <c r="P55" s="555"/>
      <c r="Q55" s="555"/>
    </row>
    <row r="56" spans="1:17" s="20" customFormat="1" ht="11.25" x14ac:dyDescent="0.2">
      <c r="A56" s="555" t="s">
        <v>1665</v>
      </c>
      <c r="C56" s="1372">
        <f>1/41.868</f>
        <v>2.3884589662749593E-2</v>
      </c>
      <c r="M56" s="555"/>
      <c r="N56" s="555"/>
      <c r="O56" s="555"/>
      <c r="P56" s="555"/>
      <c r="Q56" s="555"/>
    </row>
    <row r="57" spans="1:17" s="20" customFormat="1" ht="11.25" x14ac:dyDescent="0.2">
      <c r="A57" s="555" t="s">
        <v>1666</v>
      </c>
      <c r="C57" s="1372">
        <f>TJ_to_ktoe*kJ_to_TJ</f>
        <v>2.3884589662749594E-11</v>
      </c>
      <c r="M57" s="555"/>
      <c r="N57" s="555"/>
      <c r="O57" s="555"/>
      <c r="P57" s="555"/>
      <c r="Q57" s="555"/>
    </row>
    <row r="58" spans="1:17" s="20" customFormat="1" ht="11.25" x14ac:dyDescent="0.2">
      <c r="A58" s="555" t="s">
        <v>1667</v>
      </c>
      <c r="C58" s="20">
        <f>1/11.63</f>
        <v>8.5984522785898534E-2</v>
      </c>
      <c r="M58" s="555"/>
      <c r="N58" s="555"/>
      <c r="O58" s="555"/>
      <c r="P58" s="555"/>
      <c r="Q58" s="555"/>
    </row>
    <row r="59" spans="1:17" s="20" customFormat="1" ht="11.25" x14ac:dyDescent="0.2">
      <c r="A59" s="555"/>
      <c r="M59" s="555"/>
      <c r="N59" s="555"/>
      <c r="O59" s="555"/>
      <c r="P59" s="555"/>
      <c r="Q59" s="555"/>
    </row>
    <row r="60" spans="1:17" s="20" customFormat="1" ht="11.25" x14ac:dyDescent="0.2">
      <c r="A60" s="555"/>
      <c r="C60" s="20" t="s">
        <v>1668</v>
      </c>
      <c r="D60" s="20" t="s">
        <v>1669</v>
      </c>
      <c r="E60" s="20" t="s">
        <v>1670</v>
      </c>
      <c r="F60" s="20" t="s">
        <v>1671</v>
      </c>
      <c r="M60" s="555"/>
      <c r="N60" s="555"/>
      <c r="O60" s="555"/>
      <c r="P60" s="555"/>
      <c r="Q60" s="555"/>
    </row>
    <row r="61" spans="1:17" s="20" customFormat="1" ht="11.25" x14ac:dyDescent="0.2">
      <c r="A61" s="1361" t="str">
        <f>REFINGAS</f>
        <v>Refinery gas</v>
      </c>
      <c r="B61" s="20" t="s">
        <v>531</v>
      </c>
      <c r="C61" s="1358">
        <v>37817</v>
      </c>
      <c r="D61" s="20">
        <v>8</v>
      </c>
      <c r="E61" s="714">
        <v>158.98729499999999</v>
      </c>
      <c r="F61" s="20">
        <f>ROUND(C61*1000/(D61*E61),)</f>
        <v>29733</v>
      </c>
      <c r="M61" s="555"/>
      <c r="N61" s="555"/>
      <c r="O61" s="555"/>
      <c r="P61" s="555"/>
      <c r="Q61" s="555"/>
    </row>
    <row r="62" spans="1:17" s="20" customFormat="1" ht="11.25" x14ac:dyDescent="0.2">
      <c r="A62" s="1361" t="str">
        <f>ETHANE</f>
        <v>Ethane</v>
      </c>
      <c r="B62" s="20" t="s">
        <v>538</v>
      </c>
      <c r="C62" s="1358">
        <v>18440</v>
      </c>
      <c r="D62" s="20">
        <v>16.850000000000001</v>
      </c>
      <c r="E62" s="714">
        <v>158.98729499999999</v>
      </c>
      <c r="F62" s="20">
        <f t="shared" ref="F62:F72" si="1">ROUND(C62*1000/(D62*E62),)</f>
        <v>6883</v>
      </c>
      <c r="M62" s="555"/>
      <c r="N62" s="555"/>
      <c r="O62" s="555"/>
      <c r="P62" s="555"/>
      <c r="Q62" s="555"/>
    </row>
    <row r="63" spans="1:17" s="20" customFormat="1" ht="11.25" x14ac:dyDescent="0.2">
      <c r="A63" s="1361" t="str">
        <f>LPG</f>
        <v>Liquefied petroleum gases (LPG)</v>
      </c>
      <c r="B63" s="20" t="s">
        <v>545</v>
      </c>
      <c r="C63" s="1358">
        <v>25249</v>
      </c>
      <c r="D63" s="20">
        <v>11.65</v>
      </c>
      <c r="E63" s="714">
        <v>158.98729499999999</v>
      </c>
      <c r="F63" s="20">
        <f t="shared" si="1"/>
        <v>13632</v>
      </c>
      <c r="M63" s="555"/>
      <c r="N63" s="555"/>
      <c r="O63" s="555"/>
      <c r="P63" s="555"/>
      <c r="Q63" s="555"/>
    </row>
    <row r="64" spans="1:17" s="20" customFormat="1" ht="11.25" x14ac:dyDescent="0.2">
      <c r="A64" s="1361" t="str">
        <f>NONBIOGASO</f>
        <v>Motor gasoline excl. biofuels</v>
      </c>
      <c r="B64" s="20" t="s">
        <v>552</v>
      </c>
      <c r="C64" s="1358">
        <v>32592</v>
      </c>
      <c r="D64" s="20">
        <v>8.5</v>
      </c>
      <c r="E64" s="714">
        <v>158.98729499999999</v>
      </c>
      <c r="F64" s="20">
        <f t="shared" si="1"/>
        <v>24117</v>
      </c>
      <c r="M64" s="555"/>
      <c r="N64" s="555"/>
      <c r="O64" s="555"/>
      <c r="P64" s="555"/>
      <c r="Q64" s="555"/>
    </row>
    <row r="65" spans="1:17" s="20" customFormat="1" ht="11.25" x14ac:dyDescent="0.2">
      <c r="A65" s="1361" t="str">
        <f>AVGAS</f>
        <v>Aviation gasoline</v>
      </c>
      <c r="B65" s="20" t="s">
        <v>559</v>
      </c>
      <c r="C65" s="1358">
        <v>33238</v>
      </c>
      <c r="D65" s="20">
        <v>8.6199999999999992</v>
      </c>
      <c r="E65" s="714">
        <v>158.98729499999999</v>
      </c>
      <c r="F65" s="20">
        <f t="shared" si="1"/>
        <v>24253</v>
      </c>
      <c r="M65" s="555"/>
      <c r="N65" s="555"/>
      <c r="O65" s="555"/>
      <c r="P65" s="555"/>
      <c r="Q65" s="555"/>
    </row>
    <row r="66" spans="1:17" s="20" customFormat="1" ht="11.25" x14ac:dyDescent="0.2">
      <c r="A66" s="1361" t="str">
        <f>JETGAS</f>
        <v>Gasoline type jet fuel</v>
      </c>
      <c r="B66" s="20" t="s">
        <v>566</v>
      </c>
      <c r="C66" s="1358">
        <v>30946</v>
      </c>
      <c r="D66" s="20">
        <v>8.2799999999999994</v>
      </c>
      <c r="E66" s="714">
        <v>158.98729499999999</v>
      </c>
      <c r="F66" s="20">
        <f t="shared" si="1"/>
        <v>23508</v>
      </c>
      <c r="M66" s="555"/>
      <c r="N66" s="555"/>
      <c r="O66" s="555"/>
      <c r="P66" s="555"/>
      <c r="Q66" s="555"/>
    </row>
    <row r="67" spans="1:17" s="20" customFormat="1" ht="11.25" x14ac:dyDescent="0.2">
      <c r="A67" s="1361" t="str">
        <f>NONBIOJETK</f>
        <v>Kerosene type jet fuel excl. biofuels</v>
      </c>
      <c r="B67" s="20" t="s">
        <v>573</v>
      </c>
      <c r="C67" s="1358">
        <v>33249</v>
      </c>
      <c r="D67" s="20">
        <v>7.77</v>
      </c>
      <c r="E67" s="714">
        <v>158.98729499999999</v>
      </c>
      <c r="F67" s="20">
        <f t="shared" si="1"/>
        <v>26915</v>
      </c>
      <c r="M67" s="555"/>
      <c r="N67" s="555"/>
      <c r="O67" s="555"/>
      <c r="P67" s="555"/>
      <c r="Q67" s="555"/>
    </row>
    <row r="68" spans="1:17" s="20" customFormat="1" ht="11.25" x14ac:dyDescent="0.2">
      <c r="A68" s="1361" t="str">
        <f>OTHKERO</f>
        <v>Other kerosene</v>
      </c>
      <c r="B68" s="20" t="s">
        <v>580</v>
      </c>
      <c r="C68" s="1358">
        <v>35011</v>
      </c>
      <c r="D68" s="20">
        <v>7.77</v>
      </c>
      <c r="E68" s="714">
        <v>158.98729499999999</v>
      </c>
      <c r="F68" s="20">
        <f t="shared" si="1"/>
        <v>28341</v>
      </c>
      <c r="M68" s="555"/>
      <c r="N68" s="555"/>
      <c r="O68" s="555"/>
      <c r="P68" s="555"/>
      <c r="Q68" s="555"/>
    </row>
    <row r="69" spans="1:17" s="20" customFormat="1" ht="11.25" x14ac:dyDescent="0.2">
      <c r="A69" s="1361" t="str">
        <f>NONBIODIES</f>
        <v>Gas/diesel oil excluding biofuels</v>
      </c>
      <c r="B69" s="20" t="s">
        <v>587</v>
      </c>
      <c r="C69" s="1358">
        <v>37334</v>
      </c>
      <c r="D69" s="20">
        <v>7.23</v>
      </c>
      <c r="E69" s="714">
        <v>158.98729499999999</v>
      </c>
      <c r="F69" s="20">
        <f t="shared" si="1"/>
        <v>32479</v>
      </c>
      <c r="M69" s="555"/>
      <c r="N69" s="555"/>
      <c r="O69" s="555"/>
      <c r="P69" s="555"/>
      <c r="Q69" s="555"/>
    </row>
    <row r="70" spans="1:17" s="20" customFormat="1" ht="11.25" x14ac:dyDescent="0.2">
      <c r="A70" s="1361" t="str">
        <f>RESFUEL</f>
        <v>Fuel oil</v>
      </c>
      <c r="B70" s="20" t="s">
        <v>594</v>
      </c>
      <c r="C70" s="1358">
        <v>39740</v>
      </c>
      <c r="D70" s="20">
        <v>6.62</v>
      </c>
      <c r="E70" s="714">
        <v>158.98729499999999</v>
      </c>
      <c r="F70" s="20">
        <f t="shared" si="1"/>
        <v>37758</v>
      </c>
      <c r="M70" s="555"/>
      <c r="N70" s="555"/>
      <c r="O70" s="555"/>
      <c r="P70" s="555"/>
      <c r="Q70" s="555"/>
    </row>
    <row r="71" spans="1:17" s="20" customFormat="1" ht="11.25" x14ac:dyDescent="0.2">
      <c r="A71" s="1361" t="str">
        <f>NAPHTHA</f>
        <v>Naphtha</v>
      </c>
      <c r="B71" s="20" t="s">
        <v>601</v>
      </c>
      <c r="C71" s="1358">
        <v>32330</v>
      </c>
      <c r="D71" s="20">
        <v>8.74</v>
      </c>
      <c r="E71" s="714">
        <v>158.98729499999999</v>
      </c>
      <c r="F71" s="20">
        <f t="shared" si="1"/>
        <v>23267</v>
      </c>
      <c r="M71" s="555"/>
      <c r="N71" s="555"/>
      <c r="O71" s="555"/>
      <c r="P71" s="555"/>
      <c r="Q71" s="555"/>
    </row>
    <row r="72" spans="1:17" s="20" customFormat="1" ht="11.25" x14ac:dyDescent="0.2">
      <c r="A72" s="1361" t="str">
        <f>WHITESP</f>
        <v>White spirit &amp; SBP</v>
      </c>
      <c r="B72" s="20" t="s">
        <v>608</v>
      </c>
      <c r="C72" s="1358">
        <v>34400</v>
      </c>
      <c r="D72" s="20">
        <v>7.77</v>
      </c>
      <c r="E72" s="714">
        <v>158.98729499999999</v>
      </c>
      <c r="F72" s="20">
        <f t="shared" si="1"/>
        <v>27847</v>
      </c>
      <c r="M72" s="555"/>
      <c r="N72" s="555"/>
      <c r="O72" s="555"/>
      <c r="P72" s="555"/>
      <c r="Q72" s="555"/>
    </row>
    <row r="73" spans="1:17" s="20" customFormat="1" ht="11.25" x14ac:dyDescent="0.2">
      <c r="A73" s="555"/>
      <c r="M73" s="555"/>
      <c r="N73" s="555"/>
      <c r="O73" s="555"/>
      <c r="P73" s="555"/>
      <c r="Q73" s="555"/>
    </row>
    <row r="74" spans="1:17" s="20" customFormat="1" x14ac:dyDescent="0.2">
      <c r="A74"/>
      <c r="B74"/>
      <c r="C74"/>
      <c r="D74"/>
      <c r="E74"/>
      <c r="F74"/>
      <c r="G74"/>
      <c r="H74"/>
      <c r="I74"/>
      <c r="M74" s="555"/>
      <c r="N74" s="555"/>
      <c r="O74" s="555"/>
      <c r="P74" s="555"/>
      <c r="Q74" s="555"/>
    </row>
    <row r="75" spans="1:17" s="20" customFormat="1" x14ac:dyDescent="0.2">
      <c r="A75"/>
      <c r="B75"/>
      <c r="C75"/>
      <c r="D75"/>
      <c r="E75"/>
      <c r="F75"/>
      <c r="G75"/>
      <c r="H75"/>
      <c r="I75"/>
      <c r="M75" s="555"/>
      <c r="N75" s="555"/>
      <c r="O75" s="555"/>
      <c r="P75" s="555"/>
      <c r="Q75" s="555"/>
    </row>
    <row r="76" spans="1:17" s="20" customFormat="1" x14ac:dyDescent="0.2">
      <c r="A76"/>
      <c r="B76"/>
      <c r="C76"/>
      <c r="D76"/>
      <c r="E76"/>
      <c r="F76"/>
      <c r="G76"/>
      <c r="H76"/>
      <c r="I76"/>
      <c r="M76" s="555"/>
      <c r="N76" s="555"/>
      <c r="O76" s="555"/>
      <c r="P76" s="555"/>
      <c r="Q76" s="555"/>
    </row>
    <row r="77" spans="1:17" s="20" customFormat="1" x14ac:dyDescent="0.2">
      <c r="A77"/>
      <c r="B77"/>
      <c r="C77"/>
      <c r="D77"/>
      <c r="E77"/>
      <c r="F77"/>
      <c r="G77"/>
      <c r="H77"/>
      <c r="I77"/>
      <c r="M77" s="555"/>
      <c r="N77" s="555"/>
      <c r="O77" s="555"/>
      <c r="P77" s="555"/>
      <c r="Q77" s="555"/>
    </row>
    <row r="78" spans="1:17" s="20" customFormat="1" x14ac:dyDescent="0.2">
      <c r="A78"/>
      <c r="B78"/>
      <c r="C78"/>
      <c r="D78"/>
      <c r="E78"/>
      <c r="F78"/>
      <c r="G78"/>
      <c r="H78"/>
      <c r="I78"/>
      <c r="M78" s="555"/>
      <c r="N78" s="555"/>
      <c r="O78" s="555"/>
      <c r="P78" s="555"/>
      <c r="Q78" s="555"/>
    </row>
    <row r="79" spans="1:17" s="20" customFormat="1" x14ac:dyDescent="0.2">
      <c r="A79"/>
      <c r="B79"/>
      <c r="C79"/>
      <c r="D79"/>
      <c r="E79"/>
      <c r="F79"/>
      <c r="G79"/>
      <c r="H79"/>
      <c r="I79"/>
      <c r="M79" s="555"/>
      <c r="N79" s="555"/>
      <c r="O79" s="555"/>
      <c r="P79" s="555"/>
      <c r="Q79" s="555"/>
    </row>
    <row r="80" spans="1:17" s="20" customFormat="1" x14ac:dyDescent="0.2">
      <c r="A80"/>
      <c r="B80"/>
      <c r="C80"/>
      <c r="D80"/>
      <c r="E80"/>
      <c r="F80"/>
      <c r="G80"/>
      <c r="H80"/>
      <c r="I80"/>
      <c r="M80" s="555"/>
      <c r="N80" s="555"/>
      <c r="O80" s="555"/>
      <c r="P80" s="555"/>
      <c r="Q80" s="555"/>
    </row>
    <row r="81" spans="1:17" s="20" customFormat="1" x14ac:dyDescent="0.2">
      <c r="A81"/>
      <c r="B81"/>
      <c r="C81"/>
      <c r="D81"/>
      <c r="E81"/>
      <c r="F81"/>
      <c r="G81"/>
      <c r="H81"/>
      <c r="I81"/>
      <c r="M81" s="555"/>
      <c r="N81" s="555"/>
      <c r="O81" s="555"/>
      <c r="P81" s="555"/>
      <c r="Q81" s="555"/>
    </row>
    <row r="82" spans="1:17" s="20" customFormat="1" ht="11.25" x14ac:dyDescent="0.2">
      <c r="A82" s="555"/>
      <c r="M82" s="555"/>
      <c r="N82" s="555"/>
      <c r="O82" s="555"/>
      <c r="P82" s="555"/>
      <c r="Q82" s="555"/>
    </row>
    <row r="83" spans="1:17" s="20" customFormat="1" ht="11.25" x14ac:dyDescent="0.2">
      <c r="A83" s="555"/>
      <c r="M83" s="555"/>
      <c r="N83" s="555"/>
      <c r="O83" s="555"/>
      <c r="P83" s="555"/>
      <c r="Q83" s="555"/>
    </row>
    <row r="84" spans="1:17" s="20" customFormat="1" ht="11.25" x14ac:dyDescent="0.2">
      <c r="A84" s="555"/>
      <c r="M84" s="555"/>
      <c r="N84" s="555"/>
      <c r="O84" s="555"/>
      <c r="P84" s="555"/>
      <c r="Q84" s="555"/>
    </row>
    <row r="85" spans="1:17" s="20" customFormat="1" ht="11.25" x14ac:dyDescent="0.2">
      <c r="A85" s="555"/>
      <c r="M85" s="555"/>
      <c r="N85" s="555"/>
      <c r="O85" s="555"/>
      <c r="P85" s="555"/>
      <c r="Q85" s="555"/>
    </row>
    <row r="86" spans="1:17" s="20" customFormat="1" ht="11.25" x14ac:dyDescent="0.2">
      <c r="A86" s="555"/>
      <c r="M86" s="555"/>
      <c r="N86" s="555"/>
      <c r="O86" s="555"/>
      <c r="P86" s="555"/>
      <c r="Q86" s="555"/>
    </row>
    <row r="87" spans="1:17" s="20" customFormat="1" ht="11.25" x14ac:dyDescent="0.2">
      <c r="A87" s="555"/>
      <c r="M87" s="555"/>
      <c r="N87" s="555"/>
      <c r="O87" s="555"/>
      <c r="P87" s="555"/>
      <c r="Q87" s="555"/>
    </row>
    <row r="88" spans="1:17" s="20" customFormat="1" ht="11.25" x14ac:dyDescent="0.2">
      <c r="M88" s="555"/>
      <c r="N88" s="555"/>
      <c r="O88" s="555"/>
      <c r="P88" s="555"/>
      <c r="Q88" s="555"/>
    </row>
    <row r="89" spans="1:17" s="20" customFormat="1" ht="11.25" x14ac:dyDescent="0.2">
      <c r="M89" s="555"/>
      <c r="N89" s="555"/>
      <c r="O89" s="555"/>
      <c r="P89" s="555"/>
      <c r="Q89" s="555"/>
    </row>
    <row r="90" spans="1:17" s="20" customFormat="1" ht="11.25" x14ac:dyDescent="0.2">
      <c r="M90" s="555"/>
      <c r="N90" s="555"/>
      <c r="O90" s="555"/>
      <c r="P90" s="555"/>
      <c r="Q90" s="555"/>
    </row>
    <row r="91" spans="1:17" s="20" customFormat="1" ht="11.25" x14ac:dyDescent="0.2">
      <c r="M91" s="555"/>
      <c r="N91" s="555"/>
      <c r="O91" s="555"/>
      <c r="P91" s="555"/>
      <c r="Q91" s="555"/>
    </row>
    <row r="92" spans="1:17" s="20" customFormat="1" ht="11.25" x14ac:dyDescent="0.2">
      <c r="M92" s="555"/>
      <c r="N92" s="555"/>
      <c r="O92" s="555"/>
      <c r="P92" s="555"/>
      <c r="Q92" s="555"/>
    </row>
    <row r="93" spans="1:17" s="20" customFormat="1" ht="11.25" x14ac:dyDescent="0.2">
      <c r="M93" s="555"/>
      <c r="N93" s="555"/>
      <c r="O93" s="555"/>
      <c r="P93" s="555"/>
      <c r="Q93" s="555"/>
    </row>
    <row r="94" spans="1:17" s="20" customFormat="1" ht="11.25" x14ac:dyDescent="0.2">
      <c r="M94" s="555"/>
      <c r="N94" s="555"/>
      <c r="O94" s="555"/>
      <c r="P94" s="555"/>
      <c r="Q94" s="555"/>
    </row>
    <row r="95" spans="1:17" s="20" customFormat="1" ht="11.25" x14ac:dyDescent="0.2">
      <c r="M95" s="555"/>
      <c r="N95" s="555"/>
      <c r="O95" s="555"/>
      <c r="P95" s="555"/>
      <c r="Q95" s="555"/>
    </row>
    <row r="96" spans="1:17" s="20" customFormat="1" ht="11.25" x14ac:dyDescent="0.2">
      <c r="M96" s="555"/>
      <c r="N96" s="555"/>
      <c r="O96" s="555"/>
      <c r="P96" s="555"/>
      <c r="Q96" s="555"/>
    </row>
    <row r="97" spans="1:28" s="20" customFormat="1" ht="11.25" x14ac:dyDescent="0.2">
      <c r="M97" s="555"/>
      <c r="N97" s="555"/>
      <c r="O97" s="555"/>
      <c r="P97" s="555"/>
      <c r="Q97" s="555"/>
    </row>
    <row r="98" spans="1:28" s="20" customFormat="1" ht="11.25" x14ac:dyDescent="0.2">
      <c r="M98" s="555"/>
      <c r="N98" s="555"/>
      <c r="O98" s="555"/>
      <c r="P98" s="555"/>
      <c r="Q98" s="555"/>
    </row>
    <row r="99" spans="1:28" s="20" customFormat="1" ht="11.25" x14ac:dyDescent="0.2">
      <c r="M99" s="555"/>
      <c r="N99" s="555"/>
      <c r="O99" s="555"/>
      <c r="P99" s="555"/>
      <c r="Q99" s="555"/>
    </row>
    <row r="100" spans="1:28" x14ac:dyDescent="0.2">
      <c r="A100" s="15"/>
      <c r="C100" s="15"/>
      <c r="D100" s="15"/>
      <c r="E100" s="15"/>
      <c r="F100" s="15"/>
      <c r="G100" s="15"/>
      <c r="H100" s="15"/>
      <c r="I100" s="15"/>
      <c r="J100" s="15"/>
      <c r="K100" s="15"/>
      <c r="L100" s="15"/>
      <c r="M100" s="556"/>
      <c r="N100" s="556"/>
      <c r="O100" s="556"/>
      <c r="P100" s="556"/>
      <c r="Q100" s="556"/>
      <c r="R100" s="15"/>
      <c r="S100" s="15"/>
      <c r="T100" s="15"/>
      <c r="U100" s="15"/>
      <c r="V100" s="15"/>
      <c r="W100" s="15"/>
      <c r="X100" s="15"/>
      <c r="Y100" s="15"/>
      <c r="Z100" s="15"/>
      <c r="AA100" s="15"/>
      <c r="AB100" s="15"/>
    </row>
    <row r="101" spans="1:28" hidden="1" x14ac:dyDescent="0.2">
      <c r="A101" s="660" t="s">
        <v>74</v>
      </c>
      <c r="C101" s="37" t="s">
        <v>29</v>
      </c>
      <c r="D101" s="903" t="str">
        <f>CountryName</f>
        <v>South Africa</v>
      </c>
      <c r="E101"/>
      <c r="F101" s="13" t="s">
        <v>1672</v>
      </c>
      <c r="G101"/>
      <c r="H101"/>
      <c r="I101"/>
      <c r="J101"/>
      <c r="K101"/>
      <c r="L101"/>
      <c r="M101"/>
      <c r="N101"/>
      <c r="O101"/>
      <c r="P101"/>
      <c r="Q101"/>
      <c r="R101" s="15"/>
      <c r="S101" s="15"/>
      <c r="T101" s="15"/>
      <c r="U101" s="15"/>
      <c r="V101" s="15"/>
      <c r="W101" s="15"/>
      <c r="X101" s="15"/>
      <c r="Y101" s="15"/>
      <c r="Z101" s="15"/>
      <c r="AA101" s="15"/>
      <c r="AB101" s="15"/>
    </row>
    <row r="102" spans="1:28" hidden="1" x14ac:dyDescent="0.2">
      <c r="A102" s="15"/>
      <c r="C102" s="37" t="s">
        <v>1673</v>
      </c>
      <c r="D102" s="903">
        <f>'CF formulas'!D101</f>
        <v>9</v>
      </c>
      <c r="E102"/>
      <c r="F102"/>
      <c r="G102" s="12">
        <v>1</v>
      </c>
      <c r="H102" s="12">
        <v>2</v>
      </c>
      <c r="I102" s="12">
        <v>3</v>
      </c>
      <c r="J102" s="12">
        <v>4</v>
      </c>
      <c r="K102" s="12">
        <v>5</v>
      </c>
      <c r="L102" s="12">
        <v>6</v>
      </c>
      <c r="M102" s="12">
        <v>7</v>
      </c>
      <c r="N102" s="12">
        <v>8</v>
      </c>
      <c r="O102" s="12">
        <v>9</v>
      </c>
      <c r="P102" s="12">
        <v>10</v>
      </c>
      <c r="Q102" s="12">
        <v>11</v>
      </c>
      <c r="R102" s="15"/>
      <c r="S102" s="15"/>
      <c r="T102" s="15"/>
      <c r="U102" s="15"/>
      <c r="V102" s="15"/>
      <c r="W102" s="15"/>
      <c r="X102" s="15"/>
      <c r="Y102" s="15"/>
      <c r="Z102" s="15"/>
      <c r="AA102" s="15"/>
      <c r="AB102" s="15"/>
    </row>
    <row r="103" spans="1:28" hidden="1" x14ac:dyDescent="0.2">
      <c r="A103" s="15"/>
      <c r="B103" s="15"/>
      <c r="C103" s="37"/>
      <c r="D103"/>
      <c r="E103"/>
      <c r="F103"/>
      <c r="G103" s="12" t="s">
        <v>1674</v>
      </c>
      <c r="H103" s="12" t="s">
        <v>1675</v>
      </c>
      <c r="I103" s="12" t="s">
        <v>1676</v>
      </c>
      <c r="J103" s="12" t="s">
        <v>1677</v>
      </c>
      <c r="K103" s="12" t="s">
        <v>115</v>
      </c>
      <c r="L103" s="12" t="s">
        <v>141</v>
      </c>
      <c r="M103" s="12" t="s">
        <v>1678</v>
      </c>
      <c r="N103" s="12" t="s">
        <v>144</v>
      </c>
      <c r="O103" s="12" t="s">
        <v>20</v>
      </c>
      <c r="P103" s="12" t="s">
        <v>140</v>
      </c>
      <c r="Q103" s="12" t="s">
        <v>137</v>
      </c>
      <c r="R103" s="15"/>
      <c r="S103" s="15"/>
      <c r="T103" s="15"/>
      <c r="U103" s="15"/>
      <c r="V103" s="15"/>
      <c r="W103" s="15"/>
      <c r="X103" s="15"/>
      <c r="Y103" s="15"/>
      <c r="Z103" s="15"/>
      <c r="AA103" s="15"/>
      <c r="AB103" s="15"/>
    </row>
    <row r="104" spans="1:28" hidden="1" x14ac:dyDescent="0.2">
      <c r="A104" s="15"/>
      <c r="B104" s="15"/>
      <c r="C104" s="33"/>
      <c r="D104"/>
      <c r="E104"/>
      <c r="F104" s="33" t="s">
        <v>1679</v>
      </c>
      <c r="G104">
        <f>'CF formulas'!G103</f>
        <v>49500</v>
      </c>
      <c r="H104">
        <f>'CF formulas'!H103</f>
        <v>48100</v>
      </c>
      <c r="I104">
        <f>'CF formulas'!I103</f>
        <v>48100</v>
      </c>
      <c r="J104">
        <f>'CF formulas'!J103</f>
        <v>48100</v>
      </c>
      <c r="K104">
        <f>'CF formulas'!K103</f>
        <v>48100</v>
      </c>
      <c r="L104">
        <f>'CF formulas'!L103</f>
        <v>35008</v>
      </c>
      <c r="M104">
        <f>'CF formulas'!M103</f>
        <v>46055</v>
      </c>
      <c r="N104">
        <f>'CF formulas'!N103</f>
        <v>48100</v>
      </c>
      <c r="O104">
        <f>'CF formulas'!O103</f>
        <v>48100</v>
      </c>
      <c r="P104">
        <f>'CF formulas'!P103</f>
        <v>48100</v>
      </c>
      <c r="Q104">
        <f>'CF formulas'!Q103</f>
        <v>49500</v>
      </c>
      <c r="R104" s="15"/>
      <c r="S104" s="15"/>
      <c r="T104" s="15"/>
      <c r="U104" s="15"/>
      <c r="V104" s="15"/>
      <c r="W104" s="15"/>
      <c r="X104" s="15"/>
      <c r="Y104" s="15"/>
      <c r="Z104" s="15"/>
      <c r="AA104" s="15"/>
      <c r="AB104" s="15"/>
    </row>
    <row r="105" spans="1:28" hidden="1" x14ac:dyDescent="0.2">
      <c r="A105" s="15"/>
      <c r="B105" s="15"/>
      <c r="C105" s="33"/>
      <c r="D105"/>
      <c r="E105"/>
      <c r="F105" s="33" t="s">
        <v>539</v>
      </c>
      <c r="G105">
        <f>'CF formulas'!G104</f>
        <v>49500</v>
      </c>
      <c r="H105">
        <f>'CF formulas'!H104</f>
        <v>49400</v>
      </c>
      <c r="I105">
        <f>'CF formulas'!I104</f>
        <v>49400</v>
      </c>
      <c r="J105">
        <f>'CF formulas'!J104</f>
        <v>49400</v>
      </c>
      <c r="K105">
        <f>'CF formulas'!K104</f>
        <v>49400</v>
      </c>
      <c r="L105">
        <f>'CF formulas'!L104</f>
        <v>49400</v>
      </c>
      <c r="M105">
        <f>'CF formulas'!M104</f>
        <v>49400</v>
      </c>
      <c r="N105">
        <f>'CF formulas'!N104</f>
        <v>49400</v>
      </c>
      <c r="O105">
        <f>'CF formulas'!O104</f>
        <v>49400</v>
      </c>
      <c r="P105">
        <f>'CF formulas'!P104</f>
        <v>49400</v>
      </c>
      <c r="Q105">
        <f>'CF formulas'!Q104</f>
        <v>49500</v>
      </c>
      <c r="R105" s="15"/>
      <c r="S105" s="15"/>
      <c r="T105" s="15"/>
      <c r="U105" s="15"/>
      <c r="V105" s="15"/>
      <c r="W105" s="15"/>
      <c r="X105" s="15"/>
      <c r="Y105" s="15"/>
      <c r="Z105" s="15"/>
      <c r="AA105" s="15"/>
      <c r="AB105" s="15"/>
    </row>
    <row r="106" spans="1:28" hidden="1" x14ac:dyDescent="0.2">
      <c r="A106" s="15"/>
      <c r="B106" s="15"/>
      <c r="C106" s="33"/>
      <c r="D106"/>
      <c r="E106"/>
      <c r="F106" s="33" t="s">
        <v>1680</v>
      </c>
      <c r="G106">
        <f>'CF formulas'!G105</f>
        <v>46000</v>
      </c>
      <c r="H106">
        <f>'CF formulas'!H105</f>
        <v>47300</v>
      </c>
      <c r="I106">
        <f>'CF formulas'!I105</f>
        <v>47700</v>
      </c>
      <c r="J106">
        <f>'CF formulas'!J105</f>
        <v>47300</v>
      </c>
      <c r="K106">
        <f>'CF formulas'!K105</f>
        <v>49404</v>
      </c>
      <c r="L106">
        <f>'CF formulas'!L105</f>
        <v>46473</v>
      </c>
      <c r="M106">
        <f>'CF formulas'!M105</f>
        <v>50242</v>
      </c>
      <c r="N106">
        <f>'CF formulas'!N105</f>
        <v>45544</v>
      </c>
      <c r="O106">
        <f>'CF formulas'!O105</f>
        <v>46767</v>
      </c>
      <c r="P106">
        <f>'CF formulas'!P105</f>
        <v>46306</v>
      </c>
      <c r="Q106">
        <f>'CF formulas'!Q105</f>
        <v>46000</v>
      </c>
      <c r="R106" s="556"/>
      <c r="S106" s="2255"/>
      <c r="T106" s="2255"/>
      <c r="U106" s="2255"/>
      <c r="V106" s="2255">
        <f>'CF formulas'!V105</f>
        <v>0</v>
      </c>
      <c r="W106" s="2255">
        <f>'CF formulas'!W105</f>
        <v>0</v>
      </c>
      <c r="X106" s="2255">
        <f>'CF formulas'!X105</f>
        <v>0</v>
      </c>
      <c r="Y106" s="2255"/>
      <c r="Z106" s="2255">
        <f>'CF formulas'!Y105</f>
        <v>0</v>
      </c>
      <c r="AA106" s="2255">
        <f>'CF formulas'!Z105</f>
        <v>0</v>
      </c>
      <c r="AB106" s="2255">
        <f>'CF formulas'!AA105</f>
        <v>0</v>
      </c>
    </row>
    <row r="107" spans="1:28" hidden="1" x14ac:dyDescent="0.2">
      <c r="A107" s="15"/>
      <c r="B107" s="15"/>
      <c r="C107" s="33"/>
      <c r="D107"/>
      <c r="E107"/>
      <c r="F107" s="33" t="s">
        <v>1681</v>
      </c>
      <c r="G107">
        <f>'CF formulas'!G106</f>
        <v>44000</v>
      </c>
      <c r="H107">
        <f>'CF formulas'!H106</f>
        <v>44800</v>
      </c>
      <c r="I107">
        <f>'CF formulas'!I106</f>
        <v>44600</v>
      </c>
      <c r="J107">
        <f>'CF formulas'!J106</f>
        <v>44800</v>
      </c>
      <c r="K107">
        <f>'CF formulas'!K106</f>
        <v>44800</v>
      </c>
      <c r="L107">
        <f>'CF formulas'!L106</f>
        <v>43543</v>
      </c>
      <c r="M107">
        <f>'CF formulas'!M106</f>
        <v>43124</v>
      </c>
      <c r="N107">
        <f>'CF formulas'!N106</f>
        <v>43961</v>
      </c>
      <c r="O107">
        <f>'CF formulas'!O106</f>
        <v>44045</v>
      </c>
      <c r="P107">
        <f>'CF formulas'!P106</f>
        <v>43878</v>
      </c>
      <c r="Q107">
        <f>'CF formulas'!Q106</f>
        <v>44000</v>
      </c>
      <c r="R107" s="37"/>
      <c r="S107" s="37"/>
      <c r="T107" s="37"/>
      <c r="U107" s="2255"/>
      <c r="V107" s="42">
        <f>'CF formulas'!V106</f>
        <v>0</v>
      </c>
      <c r="W107" s="42">
        <f>'CF formulas'!W106</f>
        <v>0</v>
      </c>
      <c r="X107" s="42">
        <f>'CF formulas'!X106</f>
        <v>0</v>
      </c>
      <c r="Y107" s="42"/>
      <c r="Z107" s="42">
        <f>'CF formulas'!Y106</f>
        <v>0</v>
      </c>
      <c r="AA107" s="42">
        <f>'CF formulas'!Z106</f>
        <v>0</v>
      </c>
      <c r="AB107" s="42">
        <f>'CF formulas'!AA106</f>
        <v>0</v>
      </c>
    </row>
    <row r="108" spans="1:28" hidden="1" x14ac:dyDescent="0.2">
      <c r="A108" s="15"/>
      <c r="B108" s="15"/>
      <c r="C108" s="33"/>
      <c r="D108"/>
      <c r="E108"/>
      <c r="F108" s="33" t="s">
        <v>1682</v>
      </c>
      <c r="G108">
        <f>'CF formulas'!G107</f>
        <v>44000</v>
      </c>
      <c r="H108">
        <f>'CF formulas'!H107</f>
        <v>44800</v>
      </c>
      <c r="I108">
        <f>'CF formulas'!I107</f>
        <v>44600</v>
      </c>
      <c r="J108">
        <f>'CF formulas'!J107</f>
        <v>44800</v>
      </c>
      <c r="K108">
        <f>'CF formulas'!K107</f>
        <v>44800</v>
      </c>
      <c r="L108">
        <f>'CF formulas'!L107</f>
        <v>44380</v>
      </c>
      <c r="M108">
        <f>'CF formulas'!M107</f>
        <v>43124</v>
      </c>
      <c r="N108">
        <f>'CF formulas'!N107</f>
        <v>43961</v>
      </c>
      <c r="O108">
        <f>'CF formulas'!O107</f>
        <v>45552</v>
      </c>
      <c r="P108">
        <f>'CF formulas'!P107</f>
        <v>43878</v>
      </c>
      <c r="Q108">
        <f>'CF formulas'!Q107</f>
        <v>44000</v>
      </c>
      <c r="R108" s="556"/>
      <c r="S108" s="556"/>
      <c r="T108" s="556"/>
      <c r="U108" s="2255"/>
      <c r="V108" s="2255">
        <f>'CF formulas'!V107</f>
        <v>0</v>
      </c>
      <c r="W108" s="2255">
        <f>'CF formulas'!W107</f>
        <v>0</v>
      </c>
      <c r="X108" s="2255">
        <f>'CF formulas'!X107</f>
        <v>0</v>
      </c>
      <c r="Y108" s="2255"/>
      <c r="Z108" s="2255">
        <f>'CF formulas'!Y107</f>
        <v>0</v>
      </c>
      <c r="AA108" s="2255">
        <f>'CF formulas'!Z107</f>
        <v>0</v>
      </c>
      <c r="AB108" s="2255">
        <f>'CF formulas'!AA107</f>
        <v>0</v>
      </c>
    </row>
    <row r="109" spans="1:28" hidden="1" x14ac:dyDescent="0.2">
      <c r="A109" s="15"/>
      <c r="B109" s="15"/>
      <c r="C109" s="33"/>
      <c r="D109"/>
      <c r="E109"/>
      <c r="F109" s="33" t="s">
        <v>1683</v>
      </c>
      <c r="G109">
        <f>'CF formulas'!G108</f>
        <v>43000</v>
      </c>
      <c r="H109">
        <f>'CF formulas'!H108</f>
        <v>44800</v>
      </c>
      <c r="I109">
        <f>'CF formulas'!I108</f>
        <v>44600</v>
      </c>
      <c r="J109">
        <f>'CF formulas'!J108</f>
        <v>44800</v>
      </c>
      <c r="K109">
        <f>'CF formulas'!K108</f>
        <v>44800</v>
      </c>
      <c r="L109">
        <f>'CF formulas'!L108</f>
        <v>44800</v>
      </c>
      <c r="M109">
        <f>'CF formulas'!M108</f>
        <v>43124</v>
      </c>
      <c r="N109">
        <f>'CF formulas'!N108</f>
        <v>44800</v>
      </c>
      <c r="O109">
        <f>'CF formulas'!O108</f>
        <v>40738</v>
      </c>
      <c r="P109">
        <f>'CF formulas'!P108</f>
        <v>43878</v>
      </c>
      <c r="Q109">
        <f>'CF formulas'!Q108</f>
        <v>43000</v>
      </c>
      <c r="R109" s="556"/>
      <c r="S109" s="556"/>
      <c r="T109" s="556"/>
      <c r="U109" s="2255"/>
      <c r="V109" s="2255">
        <f>'CF formulas'!V108</f>
        <v>0</v>
      </c>
      <c r="W109" s="2255">
        <f>'CF formulas'!W108</f>
        <v>0</v>
      </c>
      <c r="X109" s="2255">
        <f>'CF formulas'!X108</f>
        <v>0</v>
      </c>
      <c r="Y109" s="2255"/>
      <c r="Z109" s="2255">
        <f>'CF formulas'!Y108</f>
        <v>0</v>
      </c>
      <c r="AA109" s="2255">
        <f>'CF formulas'!Z108</f>
        <v>0</v>
      </c>
      <c r="AB109" s="2255">
        <f>'CF formulas'!AA108</f>
        <v>0</v>
      </c>
    </row>
    <row r="110" spans="1:28" hidden="1" x14ac:dyDescent="0.2">
      <c r="A110" s="15"/>
      <c r="B110" s="15"/>
      <c r="C110" s="33"/>
      <c r="D110"/>
      <c r="E110"/>
      <c r="F110" s="33" t="s">
        <v>1684</v>
      </c>
      <c r="G110">
        <f>'CF formulas'!G109</f>
        <v>43000</v>
      </c>
      <c r="H110">
        <f>'CF formulas'!H109</f>
        <v>44600</v>
      </c>
      <c r="I110">
        <f>'CF formulas'!I109</f>
        <v>44500</v>
      </c>
      <c r="J110">
        <f>'CF formulas'!J109</f>
        <v>44600</v>
      </c>
      <c r="K110">
        <f>'CF formulas'!K109</f>
        <v>44600</v>
      </c>
      <c r="L110">
        <f>'CF formulas'!L109</f>
        <v>43543</v>
      </c>
      <c r="M110">
        <f>'CF formulas'!M109</f>
        <v>43124</v>
      </c>
      <c r="N110">
        <f>'CF formulas'!N109</f>
        <v>43199</v>
      </c>
      <c r="O110">
        <f>'CF formulas'!O109</f>
        <v>41073</v>
      </c>
      <c r="P110">
        <f>'CF formulas'!P109</f>
        <v>43333</v>
      </c>
      <c r="Q110">
        <f>'CF formulas'!Q109</f>
        <v>43000</v>
      </c>
      <c r="R110" s="556"/>
      <c r="S110" s="556"/>
      <c r="T110" s="556"/>
      <c r="U110" s="2255"/>
      <c r="V110" s="2255">
        <f>'CF formulas'!V109</f>
        <v>0</v>
      </c>
      <c r="W110" s="2255">
        <f>'CF formulas'!W109</f>
        <v>0</v>
      </c>
      <c r="X110" s="2255">
        <f>'CF formulas'!X109</f>
        <v>0</v>
      </c>
      <c r="Y110" s="2255"/>
      <c r="Z110" s="2255">
        <f>'CF formulas'!Y109</f>
        <v>0</v>
      </c>
      <c r="AA110" s="2255">
        <f>'CF formulas'!Z109</f>
        <v>0</v>
      </c>
      <c r="AB110" s="2255">
        <f>'CF formulas'!AA109</f>
        <v>0</v>
      </c>
    </row>
    <row r="111" spans="1:28" hidden="1" x14ac:dyDescent="0.2">
      <c r="A111" s="15"/>
      <c r="B111" s="15"/>
      <c r="C111" s="33"/>
      <c r="D111"/>
      <c r="E111"/>
      <c r="F111" s="33" t="s">
        <v>1685</v>
      </c>
      <c r="G111">
        <f>'CF formulas'!G110</f>
        <v>43000</v>
      </c>
      <c r="H111">
        <f>'CF formulas'!H110</f>
        <v>43800</v>
      </c>
      <c r="I111">
        <f>'CF formulas'!I110</f>
        <v>42900</v>
      </c>
      <c r="J111">
        <f>'CF formulas'!J110</f>
        <v>43800</v>
      </c>
      <c r="K111">
        <f>'CF formulas'!K110</f>
        <v>43800</v>
      </c>
      <c r="L111">
        <f>'CF formulas'!L110</f>
        <v>43543</v>
      </c>
      <c r="M111">
        <f>'CF formulas'!M110</f>
        <v>43124</v>
      </c>
      <c r="N111">
        <f>'CF formulas'!N110</f>
        <v>43208</v>
      </c>
      <c r="O111">
        <f>'CF formulas'!O110</f>
        <v>43250</v>
      </c>
      <c r="P111">
        <f>'CF formulas'!P110</f>
        <v>43208</v>
      </c>
      <c r="Q111">
        <f>'CF formulas'!Q110</f>
        <v>43000</v>
      </c>
      <c r="R111" s="556"/>
      <c r="S111" s="556"/>
      <c r="T111" s="556"/>
      <c r="U111" s="2255"/>
      <c r="V111" s="2255">
        <f>'CF formulas'!V110</f>
        <v>0</v>
      </c>
      <c r="W111" s="2255">
        <f>'CF formulas'!W110</f>
        <v>0</v>
      </c>
      <c r="X111" s="2255">
        <f>'CF formulas'!X110</f>
        <v>0</v>
      </c>
      <c r="Y111" s="2255"/>
      <c r="Z111" s="2255">
        <f>'CF formulas'!Y110</f>
        <v>0</v>
      </c>
      <c r="AA111" s="2255">
        <f>'CF formulas'!Z110</f>
        <v>0</v>
      </c>
      <c r="AB111" s="2255">
        <f>'CF formulas'!AA110</f>
        <v>0</v>
      </c>
    </row>
    <row r="112" spans="1:28" hidden="1" x14ac:dyDescent="0.2">
      <c r="A112" s="15"/>
      <c r="B112" s="15"/>
      <c r="C112" s="33"/>
      <c r="D112"/>
      <c r="E112"/>
      <c r="F112" s="33" t="s">
        <v>1686</v>
      </c>
      <c r="G112">
        <f>'CF formulas'!G111</f>
        <v>42600</v>
      </c>
      <c r="H112">
        <f>'CF formulas'!H111</f>
        <v>42600</v>
      </c>
      <c r="I112">
        <f>'CF formulas'!I111</f>
        <v>42600</v>
      </c>
      <c r="J112">
        <f>'CF formulas'!J111</f>
        <v>43300</v>
      </c>
      <c r="K112">
        <f>'CF formulas'!K111</f>
        <v>43300</v>
      </c>
      <c r="L112">
        <f>'CF formulas'!L111</f>
        <v>42267</v>
      </c>
      <c r="M112">
        <f>'CF formulas'!M111</f>
        <v>42705</v>
      </c>
      <c r="N112">
        <f>'CF formulas'!N111</f>
        <v>42496</v>
      </c>
      <c r="O112">
        <f>'CF formulas'!O111</f>
        <v>42915</v>
      </c>
      <c r="P112">
        <f>'CF formulas'!P111</f>
        <v>42998</v>
      </c>
      <c r="Q112">
        <f>'CF formulas'!Q111</f>
        <v>42600</v>
      </c>
      <c r="R112" s="556"/>
      <c r="S112" s="556"/>
      <c r="T112" s="556"/>
      <c r="U112" s="2255"/>
      <c r="V112" s="2255">
        <f>'CF formulas'!V111</f>
        <v>0</v>
      </c>
      <c r="W112" s="2255">
        <f>'CF formulas'!W111</f>
        <v>0</v>
      </c>
      <c r="X112" s="2255">
        <f>'CF formulas'!X111</f>
        <v>0</v>
      </c>
      <c r="Y112" s="2255"/>
      <c r="Z112" s="2255">
        <f>'CF formulas'!Y111</f>
        <v>0</v>
      </c>
      <c r="AA112" s="2255">
        <f>'CF formulas'!Z111</f>
        <v>0</v>
      </c>
      <c r="AB112" s="2255">
        <f>'CF formulas'!AA111</f>
        <v>0</v>
      </c>
    </row>
    <row r="113" spans="1:28" hidden="1" x14ac:dyDescent="0.2">
      <c r="A113" s="15"/>
      <c r="B113" s="15"/>
      <c r="C113" s="33"/>
      <c r="D113"/>
      <c r="E113"/>
      <c r="F113" s="33" t="s">
        <v>1687</v>
      </c>
      <c r="G113">
        <f>'CF formulas'!G112</f>
        <v>40000</v>
      </c>
      <c r="H113">
        <f>'CF formulas'!H112</f>
        <v>40200</v>
      </c>
      <c r="I113">
        <f>'CF formulas'!I112</f>
        <v>42600</v>
      </c>
      <c r="J113">
        <f>'CF formulas'!J112</f>
        <v>40200</v>
      </c>
      <c r="K113">
        <f>'CF formulas'!K112</f>
        <v>40200</v>
      </c>
      <c r="L113">
        <f>'CF formulas'!L112</f>
        <v>40068</v>
      </c>
      <c r="M113">
        <f>'CF formulas'!M112</f>
        <v>41868</v>
      </c>
      <c r="N113">
        <f>'CF formulas'!N112</f>
        <v>41500</v>
      </c>
      <c r="O113">
        <f>'CF formulas'!O112</f>
        <v>41826</v>
      </c>
      <c r="P113">
        <f>'CF formulas'!P112</f>
        <v>40989</v>
      </c>
      <c r="Q113">
        <f>'CF formulas'!Q112</f>
        <v>40000</v>
      </c>
      <c r="R113" s="556"/>
      <c r="S113" s="556"/>
      <c r="T113" s="556"/>
      <c r="U113" s="2255"/>
      <c r="V113" s="2255">
        <f>'CF formulas'!V112</f>
        <v>0</v>
      </c>
      <c r="W113" s="2255">
        <f>'CF formulas'!W112</f>
        <v>0</v>
      </c>
      <c r="X113" s="2255">
        <f>'CF formulas'!X112</f>
        <v>0</v>
      </c>
      <c r="Y113" s="2255"/>
      <c r="Z113" s="2255">
        <f>'CF formulas'!Y112</f>
        <v>0</v>
      </c>
      <c r="AA113" s="2255">
        <f>'CF formulas'!Z112</f>
        <v>0</v>
      </c>
      <c r="AB113" s="2255">
        <f>'CF formulas'!AA112</f>
        <v>0</v>
      </c>
    </row>
    <row r="114" spans="1:28" hidden="1" x14ac:dyDescent="0.2">
      <c r="A114" s="15"/>
      <c r="B114" s="15"/>
      <c r="C114" s="33"/>
      <c r="D114"/>
      <c r="E114"/>
      <c r="F114" s="33" t="s">
        <v>602</v>
      </c>
      <c r="G114">
        <f>'CF formulas'!G113</f>
        <v>44000</v>
      </c>
      <c r="H114">
        <f>'CF formulas'!H113</f>
        <v>45000</v>
      </c>
      <c r="I114">
        <f>'CF formulas'!I113</f>
        <v>43200</v>
      </c>
      <c r="J114">
        <f>'CF formulas'!J113</f>
        <v>45000</v>
      </c>
      <c r="K114">
        <f>'CF formulas'!K113</f>
        <v>45000</v>
      </c>
      <c r="L114">
        <f>'CF formulas'!L113</f>
        <v>44506</v>
      </c>
      <c r="M114">
        <f>'CF formulas'!M113</f>
        <v>43124</v>
      </c>
      <c r="N114">
        <f>'CF formulas'!N113</f>
        <v>44129</v>
      </c>
      <c r="O114">
        <f>'CF formulas'!O113</f>
        <v>44924</v>
      </c>
      <c r="P114">
        <f>'CF formulas'!P113</f>
        <v>44129</v>
      </c>
      <c r="Q114">
        <f>'CF formulas'!Q113</f>
        <v>44000</v>
      </c>
      <c r="R114" s="556"/>
      <c r="S114" s="556"/>
      <c r="T114" s="556"/>
      <c r="U114" s="2255"/>
      <c r="V114" s="2255">
        <f>'CF formulas'!V113</f>
        <v>0</v>
      </c>
      <c r="W114" s="2255">
        <f>'CF formulas'!W113</f>
        <v>0</v>
      </c>
      <c r="X114" s="2255">
        <f>'CF formulas'!X113</f>
        <v>0</v>
      </c>
      <c r="Y114" s="2255"/>
      <c r="Z114" s="2255">
        <f>'CF formulas'!Y113</f>
        <v>0</v>
      </c>
      <c r="AA114" s="2255">
        <f>'CF formulas'!Z113</f>
        <v>0</v>
      </c>
      <c r="AB114" s="2255">
        <f>'CF formulas'!AA113</f>
        <v>0</v>
      </c>
    </row>
    <row r="115" spans="1:28" hidden="1" x14ac:dyDescent="0.2">
      <c r="A115" s="15"/>
      <c r="B115" s="15"/>
      <c r="C115" s="33"/>
      <c r="D115"/>
      <c r="E115"/>
      <c r="F115" s="33" t="s">
        <v>1688</v>
      </c>
      <c r="G115">
        <f>'CF formulas'!G114</f>
        <v>43600</v>
      </c>
      <c r="H115">
        <f>'CF formulas'!H114</f>
        <v>43000</v>
      </c>
      <c r="I115">
        <f>'CF formulas'!I114</f>
        <v>43000</v>
      </c>
      <c r="J115">
        <f>'CF formulas'!J114</f>
        <v>43000</v>
      </c>
      <c r="K115">
        <f>'CF formulas'!K114</f>
        <v>43000</v>
      </c>
      <c r="L115">
        <f>'CF formulas'!L114</f>
        <v>47060</v>
      </c>
      <c r="M115">
        <f>'CF formulas'!M114</f>
        <v>38519</v>
      </c>
      <c r="N115">
        <f>'CF formulas'!N114</f>
        <v>43208</v>
      </c>
      <c r="O115">
        <f>'CF formulas'!O114</f>
        <v>42496</v>
      </c>
      <c r="P115">
        <f>'CF formulas'!P114</f>
        <v>43585</v>
      </c>
      <c r="Q115">
        <f>'CF formulas'!Q114</f>
        <v>43600</v>
      </c>
      <c r="R115" s="556"/>
      <c r="S115" s="556"/>
      <c r="T115" s="556"/>
      <c r="U115" s="2255"/>
      <c r="V115" s="2255">
        <f>'CF formulas'!V114</f>
        <v>0</v>
      </c>
      <c r="W115" s="2255">
        <f>'CF formulas'!W114</f>
        <v>0</v>
      </c>
      <c r="X115" s="2255">
        <f>'CF formulas'!X114</f>
        <v>0</v>
      </c>
      <c r="Y115" s="2255"/>
      <c r="Z115" s="2255">
        <f>'CF formulas'!Y114</f>
        <v>0</v>
      </c>
      <c r="AA115" s="2255">
        <f>'CF formulas'!Z114</f>
        <v>0</v>
      </c>
      <c r="AB115" s="2255">
        <f>'CF formulas'!AA114</f>
        <v>0</v>
      </c>
    </row>
    <row r="116" spans="1:28" hidden="1" x14ac:dyDescent="0.2">
      <c r="A116" s="15"/>
      <c r="B116" s="15"/>
      <c r="C116" s="33"/>
      <c r="D116"/>
      <c r="E116"/>
      <c r="F116" s="33" t="s">
        <v>616</v>
      </c>
      <c r="G116">
        <f>'CF formulas'!G115</f>
        <v>42000</v>
      </c>
      <c r="H116">
        <f>'CF formulas'!H115</f>
        <v>42000</v>
      </c>
      <c r="I116">
        <f>'CF formulas'!I115</f>
        <v>42900</v>
      </c>
      <c r="J116">
        <f>'CF formulas'!J115</f>
        <v>42000</v>
      </c>
      <c r="K116">
        <f>'CF formulas'!K115</f>
        <v>42000</v>
      </c>
      <c r="L116">
        <f>'CF formulas'!L115</f>
        <v>41372</v>
      </c>
      <c r="M116">
        <f>'CF formulas'!M115</f>
        <v>38519</v>
      </c>
      <c r="N116">
        <f>'CF formulas'!N115</f>
        <v>42140</v>
      </c>
      <c r="O116">
        <f>'CF formulas'!O115</f>
        <v>42000</v>
      </c>
      <c r="P116">
        <f>'CF formulas'!P115</f>
        <v>42705</v>
      </c>
      <c r="Q116">
        <f>'CF formulas'!Q115</f>
        <v>42000</v>
      </c>
      <c r="R116" s="556"/>
      <c r="S116" s="556"/>
      <c r="T116" s="556"/>
      <c r="U116" s="2255"/>
      <c r="V116" s="2255">
        <f>'CF formulas'!V115</f>
        <v>0</v>
      </c>
      <c r="W116" s="2255">
        <f>'CF formulas'!W115</f>
        <v>0</v>
      </c>
      <c r="X116" s="2255">
        <f>'CF formulas'!X115</f>
        <v>0</v>
      </c>
      <c r="Y116" s="2255"/>
      <c r="Z116" s="2255">
        <f>'CF formulas'!Y115</f>
        <v>0</v>
      </c>
      <c r="AA116" s="2255">
        <f>'CF formulas'!Z115</f>
        <v>0</v>
      </c>
      <c r="AB116" s="2255">
        <f>'CF formulas'!AA115</f>
        <v>0</v>
      </c>
    </row>
    <row r="117" spans="1:28" hidden="1" x14ac:dyDescent="0.2">
      <c r="A117" s="15"/>
      <c r="B117" s="15"/>
      <c r="C117" s="33"/>
      <c r="D117"/>
      <c r="E117"/>
      <c r="F117" s="33" t="s">
        <v>623</v>
      </c>
      <c r="G117">
        <f>'CF formulas'!G116</f>
        <v>39000</v>
      </c>
      <c r="H117">
        <f>'CF formulas'!H116</f>
        <v>40000</v>
      </c>
      <c r="I117">
        <f>'CF formulas'!I116</f>
        <v>38800</v>
      </c>
      <c r="J117">
        <f>'CF formulas'!J116</f>
        <v>39000</v>
      </c>
      <c r="K117">
        <f>'CF formulas'!K116</f>
        <v>39000</v>
      </c>
      <c r="L117">
        <f>'CF formulas'!L116</f>
        <v>40828</v>
      </c>
      <c r="M117">
        <f>'CF formulas'!M116</f>
        <v>39000</v>
      </c>
      <c r="N117">
        <f>'CF formulas'!N116</f>
        <v>41800</v>
      </c>
      <c r="O117">
        <f>'CF formulas'!O116</f>
        <v>39000</v>
      </c>
      <c r="P117">
        <f>'CF formulas'!P116</f>
        <v>42705</v>
      </c>
      <c r="Q117">
        <f>'CF formulas'!Q116</f>
        <v>39000</v>
      </c>
      <c r="R117" s="556"/>
      <c r="S117" s="556"/>
      <c r="T117" s="556"/>
      <c r="U117" s="2255"/>
      <c r="V117" s="2255">
        <f>'CF formulas'!V116</f>
        <v>0</v>
      </c>
      <c r="W117" s="2255">
        <f>'CF formulas'!W116</f>
        <v>0</v>
      </c>
      <c r="X117" s="2255">
        <f>'CF formulas'!X116</f>
        <v>0</v>
      </c>
      <c r="Y117" s="2255"/>
      <c r="Z117" s="2255">
        <f>'CF formulas'!Y116</f>
        <v>0</v>
      </c>
      <c r="AA117" s="2255">
        <f>'CF formulas'!Z116</f>
        <v>0</v>
      </c>
      <c r="AB117" s="2255">
        <f>'CF formulas'!AA116</f>
        <v>0</v>
      </c>
    </row>
    <row r="118" spans="1:28" hidden="1" x14ac:dyDescent="0.2">
      <c r="A118" s="15"/>
      <c r="B118" s="15"/>
      <c r="C118" s="33"/>
      <c r="D118"/>
      <c r="E118"/>
      <c r="F118" s="33" t="s">
        <v>1689</v>
      </c>
      <c r="G118">
        <f>'CF formulas'!G117</f>
        <v>40000</v>
      </c>
      <c r="H118">
        <f>'CF formulas'!H117</f>
        <v>40000</v>
      </c>
      <c r="I118">
        <f>'CF formulas'!I117</f>
        <v>40000</v>
      </c>
      <c r="J118">
        <f>'CF formulas'!J117</f>
        <v>40000</v>
      </c>
      <c r="K118">
        <f>'CF formulas'!K117</f>
        <v>40000</v>
      </c>
      <c r="L118">
        <f>'CF formulas'!L117</f>
        <v>40000</v>
      </c>
      <c r="M118">
        <f>'CF formulas'!M117</f>
        <v>40000</v>
      </c>
      <c r="N118">
        <f>'CF formulas'!N117</f>
        <v>43333</v>
      </c>
      <c r="O118">
        <f>'CF formulas'!O117</f>
        <v>40000</v>
      </c>
      <c r="P118">
        <f>'CF formulas'!P117</f>
        <v>40000</v>
      </c>
      <c r="Q118">
        <f>'CF formulas'!Q117</f>
        <v>40000</v>
      </c>
      <c r="R118" s="556"/>
      <c r="S118" s="556"/>
      <c r="T118" s="556"/>
      <c r="U118" s="2255"/>
      <c r="V118" s="2255">
        <f>'CF formulas'!V117</f>
        <v>0</v>
      </c>
      <c r="W118" s="2255">
        <f>'CF formulas'!W117</f>
        <v>0</v>
      </c>
      <c r="X118" s="2255">
        <f>'CF formulas'!X117</f>
        <v>0</v>
      </c>
      <c r="Y118" s="2255"/>
      <c r="Z118" s="2255">
        <f>'CF formulas'!Y117</f>
        <v>0</v>
      </c>
      <c r="AA118" s="2255">
        <f>'CF formulas'!Z117</f>
        <v>0</v>
      </c>
      <c r="AB118" s="2255">
        <f>'CF formulas'!AA117</f>
        <v>0</v>
      </c>
    </row>
    <row r="119" spans="1:28" hidden="1" x14ac:dyDescent="0.2">
      <c r="A119" s="15"/>
      <c r="B119" s="15"/>
      <c r="C119" s="33"/>
      <c r="D119"/>
      <c r="E119"/>
      <c r="F119" s="33" t="s">
        <v>1690</v>
      </c>
      <c r="G119">
        <f>'CF formulas'!G118</f>
        <v>32000</v>
      </c>
      <c r="H119">
        <f>'CF formulas'!H118</f>
        <v>32000</v>
      </c>
      <c r="I119">
        <f>'CF formulas'!I118</f>
        <v>33800</v>
      </c>
      <c r="J119">
        <f>'CF formulas'!J118</f>
        <v>32000</v>
      </c>
      <c r="K119">
        <f>'CF formulas'!K118</f>
        <v>32000</v>
      </c>
      <c r="L119">
        <f>'CF formulas'!L118</f>
        <v>35007</v>
      </c>
      <c r="M119">
        <f>'CF formulas'!M118</f>
        <v>32000</v>
      </c>
      <c r="N119">
        <f>'CF formulas'!N118</f>
        <v>36400</v>
      </c>
      <c r="O119">
        <f>'CF formulas'!O118</f>
        <v>32000</v>
      </c>
      <c r="P119">
        <f>'CF formulas'!P118</f>
        <v>32000</v>
      </c>
      <c r="Q119">
        <f>'CF formulas'!Q118</f>
        <v>32000</v>
      </c>
      <c r="R119" s="556"/>
      <c r="S119" s="556"/>
      <c r="T119" s="556"/>
      <c r="U119" s="2255"/>
      <c r="V119" s="2255">
        <f>'CF formulas'!V118</f>
        <v>0</v>
      </c>
      <c r="W119" s="2255">
        <f>'CF formulas'!W118</f>
        <v>0</v>
      </c>
      <c r="X119" s="2255">
        <f>'CF formulas'!X118</f>
        <v>0</v>
      </c>
      <c r="Y119" s="2255"/>
      <c r="Z119" s="2255">
        <f>'CF formulas'!Y118</f>
        <v>0</v>
      </c>
      <c r="AA119" s="2255">
        <f>'CF formulas'!Z118</f>
        <v>0</v>
      </c>
      <c r="AB119" s="2255">
        <f>'CF formulas'!AA118</f>
        <v>0</v>
      </c>
    </row>
    <row r="120" spans="1:28" hidden="1" x14ac:dyDescent="0.2">
      <c r="A120" s="660" t="s">
        <v>74</v>
      </c>
      <c r="B120" s="15"/>
      <c r="C120" s="33"/>
      <c r="D120"/>
      <c r="E120"/>
      <c r="F120" s="33" t="s">
        <v>1691</v>
      </c>
      <c r="G120">
        <f>'CF formulas'!G119</f>
        <v>40000</v>
      </c>
      <c r="H120">
        <f>'CF formulas'!H119</f>
        <v>40000</v>
      </c>
      <c r="I120">
        <f>'CF formulas'!I119</f>
        <v>40000</v>
      </c>
      <c r="J120">
        <f>'CF formulas'!J119</f>
        <v>40000</v>
      </c>
      <c r="K120">
        <f>'CF formulas'!K119</f>
        <v>40000</v>
      </c>
      <c r="L120">
        <f>'CF formulas'!L119</f>
        <v>40763</v>
      </c>
      <c r="M120">
        <f>'CF formulas'!M119</f>
        <v>38519</v>
      </c>
      <c r="N120">
        <f>'CF formulas'!N119</f>
        <v>42496</v>
      </c>
      <c r="O120">
        <f>'CF formulas'!O119</f>
        <v>40000</v>
      </c>
      <c r="P120">
        <f>'CF formulas'!P119</f>
        <v>42705</v>
      </c>
      <c r="Q120">
        <f>'CF formulas'!Q119</f>
        <v>40000</v>
      </c>
      <c r="R120" s="556"/>
      <c r="S120" s="556"/>
      <c r="T120" s="556"/>
      <c r="U120" s="2255"/>
      <c r="V120" s="2255">
        <f>'CF formulas'!V119</f>
        <v>0</v>
      </c>
      <c r="W120" s="2255">
        <f>'CF formulas'!W119</f>
        <v>0</v>
      </c>
      <c r="X120" s="2255">
        <f>'CF formulas'!X119</f>
        <v>0</v>
      </c>
      <c r="Y120" s="2255"/>
      <c r="Z120" s="2255">
        <f>'CF formulas'!Y119</f>
        <v>0</v>
      </c>
      <c r="AA120" s="2255">
        <f>'CF formulas'!Z119</f>
        <v>0</v>
      </c>
      <c r="AB120" s="2255">
        <f>'CF formulas'!AA119</f>
        <v>0</v>
      </c>
    </row>
    <row r="121" spans="1:28" x14ac:dyDescent="0.2">
      <c r="A121" s="15"/>
      <c r="B121" s="15"/>
      <c r="C121"/>
      <c r="D121"/>
      <c r="E121" s="556"/>
      <c r="F121" s="556"/>
      <c r="G121" s="15"/>
      <c r="H121" s="15"/>
      <c r="I121" s="37"/>
      <c r="J121" s="556"/>
      <c r="K121" s="556"/>
      <c r="L121" s="556"/>
      <c r="M121" s="556"/>
      <c r="N121" s="556"/>
      <c r="O121" s="556"/>
      <c r="P121" s="556"/>
      <c r="Q121" s="556"/>
      <c r="R121" s="556"/>
      <c r="S121" s="556"/>
      <c r="T121" s="556"/>
      <c r="U121" s="2255"/>
      <c r="V121" s="2255"/>
      <c r="W121" s="2255">
        <f>'CF formulas'!W120</f>
        <v>0</v>
      </c>
      <c r="X121" s="2255">
        <f>'CF formulas'!X120</f>
        <v>0</v>
      </c>
      <c r="Y121" s="2255"/>
      <c r="Z121" s="2255">
        <f>'CF formulas'!Y120</f>
        <v>0</v>
      </c>
      <c r="AA121" s="2255">
        <f>'CF formulas'!Z120</f>
        <v>0</v>
      </c>
      <c r="AB121" s="2255">
        <f>'CF formulas'!AA120</f>
        <v>0</v>
      </c>
    </row>
    <row r="122" spans="1:28" x14ac:dyDescent="0.2">
      <c r="A122" s="15"/>
      <c r="B122" s="15"/>
      <c r="C122"/>
      <c r="D122"/>
      <c r="E122" s="556"/>
      <c r="F122" s="556"/>
      <c r="G122" s="15"/>
      <c r="H122" s="15"/>
      <c r="I122" s="37"/>
      <c r="J122" s="556"/>
      <c r="K122" s="556"/>
      <c r="L122" s="556"/>
      <c r="M122" s="556"/>
      <c r="N122" s="556"/>
      <c r="O122" s="556"/>
      <c r="P122" s="556"/>
      <c r="Q122" s="556"/>
      <c r="R122" s="556"/>
      <c r="S122" s="556"/>
      <c r="T122" s="556"/>
      <c r="U122" s="2255"/>
      <c r="V122" s="2255"/>
      <c r="W122" s="2255">
        <f>'CF formulas'!W121</f>
        <v>0</v>
      </c>
      <c r="X122" s="2255">
        <f>'CF formulas'!X121</f>
        <v>0</v>
      </c>
      <c r="Y122" s="2255"/>
      <c r="Z122" s="2255">
        <f>'CF formulas'!Y121</f>
        <v>0</v>
      </c>
      <c r="AA122" s="2255">
        <f>'CF formulas'!Z121</f>
        <v>0</v>
      </c>
      <c r="AB122" s="2255">
        <f>'CF formulas'!AA121</f>
        <v>0</v>
      </c>
    </row>
    <row r="123" spans="1:28" x14ac:dyDescent="0.2">
      <c r="A123" s="15"/>
      <c r="B123" s="15"/>
      <c r="C123"/>
      <c r="D123"/>
      <c r="E123" s="556"/>
      <c r="F123" s="556"/>
      <c r="G123" s="15"/>
      <c r="H123" s="15"/>
      <c r="I123" s="37"/>
      <c r="J123" s="556"/>
      <c r="K123" s="556"/>
      <c r="L123" s="556"/>
      <c r="M123" s="556"/>
      <c r="N123" s="556"/>
      <c r="O123" s="556"/>
      <c r="P123" s="556"/>
      <c r="Q123" s="556"/>
      <c r="R123" s="556"/>
      <c r="S123" s="556"/>
      <c r="T123" s="556"/>
      <c r="U123" s="2255"/>
      <c r="V123" s="2255"/>
      <c r="W123" s="2255">
        <f>'CF formulas'!W122</f>
        <v>0</v>
      </c>
      <c r="X123" s="2255">
        <f>'CF formulas'!X122</f>
        <v>0</v>
      </c>
      <c r="Y123" s="2255"/>
      <c r="Z123" s="2255">
        <f>'CF formulas'!Y122</f>
        <v>0</v>
      </c>
      <c r="AA123" s="2255">
        <f>'CF formulas'!Z122</f>
        <v>0</v>
      </c>
      <c r="AB123" s="2255">
        <f>'CF formulas'!AA122</f>
        <v>0</v>
      </c>
    </row>
    <row r="124" spans="1:28" x14ac:dyDescent="0.2">
      <c r="A124" s="15"/>
      <c r="B124" s="15"/>
      <c r="C124"/>
      <c r="D124"/>
      <c r="E124" s="556"/>
      <c r="F124" s="556"/>
      <c r="G124" s="15"/>
      <c r="H124" s="15"/>
      <c r="I124" s="37"/>
      <c r="J124" s="556"/>
      <c r="K124" s="556"/>
      <c r="L124" s="556"/>
      <c r="M124" s="556"/>
      <c r="N124" s="556"/>
      <c r="O124" s="556"/>
      <c r="P124" s="556"/>
      <c r="Q124" s="556"/>
      <c r="R124" s="556"/>
      <c r="S124" s="556"/>
      <c r="T124" s="556"/>
      <c r="U124" s="2255"/>
      <c r="V124" s="2255"/>
      <c r="W124" s="2255">
        <f>'CF formulas'!W123</f>
        <v>0</v>
      </c>
      <c r="X124" s="2255">
        <f>'CF formulas'!X123</f>
        <v>0</v>
      </c>
      <c r="Y124" s="2255"/>
      <c r="Z124" s="2255">
        <f>'CF formulas'!Y123</f>
        <v>0</v>
      </c>
      <c r="AA124" s="2255">
        <f>'CF formulas'!Z123</f>
        <v>0</v>
      </c>
      <c r="AB124" s="2255">
        <f>'CF formulas'!AA123</f>
        <v>0</v>
      </c>
    </row>
    <row r="125" spans="1:28" x14ac:dyDescent="0.2">
      <c r="A125" s="15"/>
      <c r="B125" s="15"/>
      <c r="C125"/>
      <c r="D125"/>
      <c r="E125" s="556"/>
      <c r="F125" s="556"/>
      <c r="G125" s="15"/>
      <c r="H125" s="15"/>
      <c r="I125" s="15"/>
      <c r="J125" s="15"/>
      <c r="K125" s="15"/>
      <c r="L125" s="15"/>
      <c r="M125" s="15"/>
      <c r="N125" s="15"/>
      <c r="O125" s="15"/>
      <c r="P125" s="15"/>
      <c r="Q125" s="15"/>
      <c r="R125" s="15"/>
      <c r="S125" s="15"/>
      <c r="T125" s="15"/>
      <c r="U125" s="15"/>
      <c r="V125" s="15"/>
      <c r="W125" s="15"/>
      <c r="X125" s="15"/>
      <c r="Y125" s="15"/>
      <c r="Z125" s="15"/>
      <c r="AA125" s="15"/>
      <c r="AB125" s="15"/>
    </row>
    <row r="126" spans="1:28" x14ac:dyDescent="0.2">
      <c r="A126" s="15"/>
      <c r="B126" s="15"/>
      <c r="C126"/>
      <c r="D126"/>
      <c r="E126" s="556"/>
      <c r="F126" s="556"/>
      <c r="G126" s="15"/>
      <c r="H126" s="15"/>
      <c r="I126" s="15"/>
      <c r="J126" s="15"/>
      <c r="K126" s="15"/>
      <c r="L126" s="15"/>
      <c r="M126" s="556"/>
      <c r="N126" s="556"/>
      <c r="O126" s="556"/>
      <c r="P126" s="556"/>
      <c r="Q126" s="556"/>
      <c r="R126" s="15"/>
      <c r="S126" s="15"/>
      <c r="T126" s="15"/>
      <c r="U126" s="15"/>
      <c r="V126" s="15"/>
      <c r="W126" s="15"/>
      <c r="X126" s="15"/>
      <c r="Y126" s="15"/>
      <c r="Z126" s="15"/>
      <c r="AA126" s="15"/>
      <c r="AB126" s="15"/>
    </row>
    <row r="127" spans="1:28" x14ac:dyDescent="0.2">
      <c r="A127" s="15"/>
      <c r="B127" s="15"/>
      <c r="C127"/>
      <c r="D127"/>
      <c r="E127" s="556"/>
      <c r="F127" s="556"/>
      <c r="G127" s="15"/>
      <c r="H127" s="15"/>
      <c r="I127" s="15"/>
      <c r="J127" s="15"/>
      <c r="K127" s="15"/>
      <c r="L127" s="15"/>
      <c r="M127" s="556"/>
      <c r="N127" s="556"/>
      <c r="O127" s="556"/>
      <c r="P127" s="556"/>
      <c r="Q127" s="556"/>
      <c r="R127" s="15"/>
      <c r="S127" s="15"/>
      <c r="T127" s="15"/>
      <c r="U127" s="15"/>
      <c r="V127" s="15"/>
      <c r="W127" s="15"/>
      <c r="X127" s="15"/>
      <c r="Y127" s="15"/>
      <c r="Z127" s="15"/>
      <c r="AA127" s="15"/>
      <c r="AB127" s="15"/>
    </row>
    <row r="128" spans="1:28" x14ac:dyDescent="0.2">
      <c r="A128" s="15"/>
      <c r="B128" s="15"/>
      <c r="C128"/>
      <c r="D128"/>
      <c r="E128" s="556"/>
      <c r="F128" s="556"/>
      <c r="G128" s="15"/>
      <c r="H128" s="15"/>
      <c r="I128" s="15"/>
      <c r="J128" s="15"/>
      <c r="K128" s="15"/>
      <c r="L128" s="15"/>
      <c r="M128" s="556"/>
      <c r="N128" s="556"/>
      <c r="O128" s="556"/>
      <c r="P128" s="556"/>
      <c r="Q128" s="556"/>
      <c r="R128" s="15"/>
      <c r="S128" s="15"/>
      <c r="T128" s="15"/>
      <c r="U128" s="15"/>
      <c r="V128" s="15"/>
      <c r="W128" s="15"/>
      <c r="X128" s="15"/>
      <c r="Y128" s="15"/>
      <c r="Z128" s="15"/>
      <c r="AA128" s="15"/>
      <c r="AB128" s="15"/>
    </row>
    <row r="129" spans="1:28" x14ac:dyDescent="0.2">
      <c r="A129" s="15"/>
      <c r="B129" s="15"/>
      <c r="C129"/>
      <c r="D129"/>
      <c r="E129" s="556"/>
      <c r="F129" s="556"/>
      <c r="G129" s="15"/>
      <c r="H129" s="15"/>
      <c r="I129" s="15"/>
      <c r="J129" s="15"/>
      <c r="K129" s="15"/>
      <c r="L129" s="15"/>
      <c r="M129" s="556"/>
      <c r="N129" s="556"/>
      <c r="O129" s="556"/>
      <c r="P129" s="556"/>
      <c r="Q129" s="556"/>
      <c r="R129" s="15"/>
      <c r="S129" s="15"/>
      <c r="T129" s="15"/>
      <c r="U129" s="15"/>
      <c r="V129" s="15"/>
      <c r="W129" s="15"/>
      <c r="X129" s="15"/>
      <c r="Y129" s="15"/>
      <c r="Z129" s="15"/>
      <c r="AA129" s="15"/>
      <c r="AB129" s="15"/>
    </row>
    <row r="130" spans="1:28" x14ac:dyDescent="0.2">
      <c r="A130" s="15"/>
      <c r="B130" s="15"/>
      <c r="C130"/>
      <c r="D130"/>
      <c r="E130" s="556"/>
      <c r="F130" s="556"/>
      <c r="G130" s="3"/>
      <c r="H130" s="15"/>
      <c r="I130" s="15"/>
      <c r="J130" s="15"/>
      <c r="K130" s="15"/>
      <c r="L130" s="15"/>
      <c r="M130" s="556"/>
      <c r="N130" s="556"/>
      <c r="O130" s="556"/>
      <c r="P130" s="556"/>
      <c r="Q130" s="556"/>
      <c r="R130" s="15"/>
      <c r="S130" s="15"/>
      <c r="T130" s="15"/>
      <c r="U130" s="15"/>
      <c r="V130" s="15"/>
      <c r="W130" s="15"/>
      <c r="X130" s="15"/>
      <c r="Y130" s="15"/>
      <c r="Z130" s="15"/>
      <c r="AA130" s="15"/>
      <c r="AB130" s="15"/>
    </row>
    <row r="131" spans="1:28" x14ac:dyDescent="0.2">
      <c r="A131" s="15"/>
      <c r="B131" s="15"/>
      <c r="C131"/>
      <c r="D131"/>
      <c r="E131" s="556"/>
      <c r="F131" s="556"/>
      <c r="G131" s="3"/>
      <c r="H131" s="15"/>
      <c r="I131" s="15"/>
      <c r="J131" s="15"/>
      <c r="K131" s="15"/>
      <c r="L131" s="15"/>
      <c r="M131" s="556"/>
      <c r="N131" s="556"/>
      <c r="O131" s="556"/>
      <c r="P131" s="556"/>
      <c r="Q131" s="556"/>
      <c r="R131" s="15"/>
      <c r="S131" s="15"/>
      <c r="T131" s="15"/>
      <c r="U131" s="15"/>
      <c r="V131" s="15"/>
      <c r="W131" s="15"/>
      <c r="X131" s="15"/>
      <c r="Y131" s="15"/>
      <c r="Z131" s="15"/>
      <c r="AA131" s="15"/>
      <c r="AB131" s="15"/>
    </row>
    <row r="132" spans="1:28" x14ac:dyDescent="0.2">
      <c r="A132" s="15"/>
      <c r="B132" s="15"/>
      <c r="C132"/>
      <c r="D132"/>
      <c r="E132" s="556"/>
      <c r="F132" s="556"/>
      <c r="G132" s="3"/>
      <c r="H132" s="15"/>
      <c r="I132" s="15"/>
      <c r="J132" s="15"/>
      <c r="K132" s="15"/>
      <c r="L132" s="15"/>
      <c r="M132" s="556"/>
      <c r="N132" s="556"/>
      <c r="O132" s="556"/>
      <c r="P132" s="556"/>
      <c r="Q132" s="556"/>
      <c r="R132" s="15"/>
      <c r="S132" s="15"/>
      <c r="T132" s="15"/>
      <c r="U132" s="15"/>
      <c r="V132" s="15"/>
      <c r="W132" s="15"/>
      <c r="X132" s="15"/>
      <c r="Y132" s="15"/>
      <c r="Z132" s="15"/>
      <c r="AA132" s="15"/>
      <c r="AB132" s="15"/>
    </row>
    <row r="133" spans="1:28" x14ac:dyDescent="0.2">
      <c r="A133" s="15"/>
      <c r="B133" s="15"/>
      <c r="C133"/>
      <c r="D133"/>
      <c r="E133" s="556"/>
      <c r="F133" s="556"/>
      <c r="G133" s="3"/>
      <c r="H133" s="15"/>
      <c r="I133" s="15"/>
      <c r="J133" s="15"/>
      <c r="K133" s="15"/>
      <c r="L133" s="15"/>
      <c r="M133" s="556"/>
      <c r="N133" s="556"/>
      <c r="O133" s="556"/>
      <c r="P133" s="556"/>
      <c r="Q133" s="556"/>
      <c r="R133" s="15"/>
      <c r="S133" s="15"/>
      <c r="T133" s="15"/>
      <c r="U133" s="15"/>
      <c r="V133" s="15"/>
      <c r="W133" s="15"/>
      <c r="X133" s="15"/>
      <c r="Y133" s="15"/>
      <c r="Z133" s="15"/>
      <c r="AA133" s="15"/>
      <c r="AB133" s="15"/>
    </row>
    <row r="134" spans="1:28" x14ac:dyDescent="0.2">
      <c r="A134" s="15"/>
      <c r="B134" s="15"/>
      <c r="C134"/>
      <c r="D134"/>
      <c r="E134" s="556"/>
      <c r="F134" s="556"/>
      <c r="G134" s="15"/>
      <c r="H134" s="15"/>
      <c r="I134" s="15"/>
      <c r="J134" s="15"/>
      <c r="K134" s="15"/>
      <c r="L134" s="15"/>
      <c r="M134" s="556"/>
      <c r="N134" s="556"/>
      <c r="O134" s="556"/>
      <c r="P134" s="556"/>
      <c r="Q134" s="556"/>
      <c r="R134" s="15"/>
      <c r="S134" s="15"/>
      <c r="T134" s="15"/>
      <c r="U134" s="15"/>
      <c r="V134" s="15"/>
      <c r="W134" s="15"/>
      <c r="X134" s="15"/>
      <c r="Y134" s="15"/>
      <c r="Z134" s="15"/>
      <c r="AA134" s="15"/>
      <c r="AB134" s="15"/>
    </row>
    <row r="135" spans="1:28" x14ac:dyDescent="0.2">
      <c r="A135" s="15"/>
      <c r="B135" s="15"/>
      <c r="C135"/>
      <c r="D135"/>
      <c r="E135" s="556"/>
      <c r="F135" s="556"/>
      <c r="G135" s="15"/>
      <c r="H135" s="15"/>
      <c r="I135" s="15"/>
      <c r="J135" s="15"/>
      <c r="K135" s="15"/>
      <c r="L135" s="15"/>
      <c r="M135" s="15"/>
      <c r="N135" s="15"/>
      <c r="O135" s="556"/>
      <c r="P135" s="556"/>
      <c r="Q135" s="556"/>
      <c r="R135" s="15"/>
      <c r="S135" s="15"/>
      <c r="T135" s="15"/>
      <c r="U135" s="15"/>
      <c r="V135" s="15"/>
      <c r="W135" s="15"/>
      <c r="X135" s="15"/>
      <c r="Y135" s="15"/>
      <c r="Z135" s="15"/>
      <c r="AA135" s="15"/>
      <c r="AB135" s="15"/>
    </row>
    <row r="136" spans="1:28" x14ac:dyDescent="0.2">
      <c r="A136" s="15"/>
      <c r="B136" s="15"/>
      <c r="C136"/>
      <c r="D136"/>
      <c r="E136" s="556"/>
      <c r="F136" s="556"/>
      <c r="G136" s="15"/>
      <c r="H136" s="15"/>
      <c r="I136" s="15"/>
      <c r="J136" s="556"/>
      <c r="K136" s="556"/>
      <c r="L136" s="556"/>
      <c r="M136" s="556"/>
      <c r="N136" s="556"/>
      <c r="O136" s="556"/>
      <c r="P136" s="556"/>
      <c r="Q136" s="556"/>
      <c r="R136" s="15"/>
      <c r="S136" s="15"/>
      <c r="T136" s="15"/>
      <c r="U136" s="15"/>
      <c r="V136" s="15"/>
      <c r="W136" s="15"/>
      <c r="X136" s="15"/>
      <c r="Y136" s="15"/>
      <c r="Z136" s="15"/>
      <c r="AA136" s="15"/>
      <c r="AB136" s="15"/>
    </row>
    <row r="137" spans="1:28" x14ac:dyDescent="0.2">
      <c r="A137" s="15"/>
      <c r="B137" s="15"/>
      <c r="C137"/>
      <c r="D137"/>
      <c r="E137" s="556"/>
      <c r="F137" s="556"/>
      <c r="G137" s="15"/>
      <c r="H137" s="15"/>
      <c r="I137" s="15"/>
      <c r="J137" s="556"/>
      <c r="K137" s="556"/>
      <c r="L137" s="556"/>
      <c r="M137" s="556"/>
      <c r="N137" s="556"/>
      <c r="O137" s="556"/>
      <c r="P137" s="556"/>
      <c r="Q137" s="556"/>
      <c r="R137" s="15"/>
      <c r="S137" s="15"/>
      <c r="T137" s="15"/>
      <c r="U137" s="15"/>
      <c r="V137" s="15"/>
      <c r="W137" s="15"/>
      <c r="X137" s="15"/>
      <c r="Y137" s="15"/>
      <c r="Z137" s="15"/>
      <c r="AA137" s="15"/>
      <c r="AB137" s="15"/>
    </row>
    <row r="138" spans="1:28" x14ac:dyDescent="0.2">
      <c r="A138" s="15"/>
      <c r="B138" s="15"/>
      <c r="C138"/>
      <c r="D138"/>
      <c r="E138" s="556"/>
      <c r="F138" s="556"/>
      <c r="G138" s="15"/>
      <c r="H138" s="15"/>
      <c r="I138" s="15"/>
      <c r="J138" s="556"/>
      <c r="K138" s="556"/>
      <c r="L138" s="556"/>
      <c r="M138" s="556"/>
      <c r="N138" s="556"/>
      <c r="O138" s="556"/>
      <c r="P138" s="556"/>
      <c r="Q138" s="556"/>
      <c r="R138" s="15"/>
      <c r="S138" s="15"/>
      <c r="T138" s="15"/>
      <c r="U138" s="15"/>
      <c r="V138" s="15"/>
      <c r="W138" s="15"/>
      <c r="X138" s="15"/>
      <c r="Y138" s="15"/>
      <c r="Z138" s="15"/>
      <c r="AA138" s="15"/>
      <c r="AB138" s="15"/>
    </row>
    <row r="139" spans="1:28" x14ac:dyDescent="0.2">
      <c r="A139" s="15"/>
      <c r="B139" s="15"/>
      <c r="C139"/>
      <c r="D139"/>
      <c r="E139" s="556"/>
      <c r="F139" s="556"/>
      <c r="G139" s="15"/>
      <c r="H139" s="15"/>
      <c r="I139" s="15"/>
      <c r="J139" s="556"/>
      <c r="K139" s="556"/>
      <c r="L139" s="556"/>
      <c r="M139" s="556"/>
      <c r="N139" s="556"/>
      <c r="O139" s="556"/>
      <c r="P139" s="556"/>
      <c r="Q139" s="556"/>
      <c r="R139" s="15"/>
      <c r="S139" s="15"/>
      <c r="T139" s="15"/>
      <c r="U139" s="15"/>
      <c r="V139" s="15"/>
      <c r="W139" s="15"/>
      <c r="X139" s="15"/>
      <c r="Y139" s="15"/>
      <c r="Z139" s="15"/>
      <c r="AA139" s="15"/>
      <c r="AB139" s="15"/>
    </row>
    <row r="140" spans="1:28" x14ac:dyDescent="0.2">
      <c r="A140" s="15"/>
      <c r="B140" s="15"/>
      <c r="C140"/>
      <c r="D140"/>
      <c r="E140" s="556"/>
      <c r="F140" s="556"/>
      <c r="G140" s="15"/>
      <c r="H140" s="15"/>
      <c r="I140" s="15"/>
      <c r="J140" s="556"/>
      <c r="K140" s="556"/>
      <c r="L140" s="556"/>
      <c r="M140" s="556"/>
      <c r="N140" s="556"/>
      <c r="O140" s="556"/>
      <c r="P140" s="556"/>
      <c r="Q140" s="556"/>
      <c r="R140" s="15"/>
      <c r="S140" s="15"/>
      <c r="T140" s="15"/>
      <c r="U140" s="15"/>
      <c r="V140" s="15"/>
      <c r="W140" s="15"/>
      <c r="X140" s="15"/>
      <c r="Y140" s="15"/>
      <c r="Z140" s="15"/>
      <c r="AA140" s="15"/>
      <c r="AB140" s="15"/>
    </row>
    <row r="141" spans="1:28" x14ac:dyDescent="0.2">
      <c r="A141" s="15"/>
      <c r="B141" s="15"/>
      <c r="C141"/>
      <c r="D141"/>
      <c r="E141" s="556"/>
      <c r="F141" s="556"/>
      <c r="G141" s="15"/>
      <c r="H141" s="15"/>
      <c r="I141" s="15"/>
      <c r="J141" s="556"/>
      <c r="K141" s="556"/>
      <c r="L141" s="556"/>
      <c r="M141" s="556"/>
      <c r="N141" s="556"/>
      <c r="O141" s="556"/>
      <c r="P141" s="556"/>
      <c r="Q141" s="556"/>
      <c r="R141" s="15"/>
      <c r="S141" s="15"/>
      <c r="T141" s="15"/>
      <c r="U141" s="15"/>
      <c r="V141" s="15"/>
      <c r="W141" s="15"/>
      <c r="X141" s="15"/>
      <c r="Y141" s="15"/>
      <c r="Z141" s="15"/>
      <c r="AA141" s="15"/>
      <c r="AB141" s="15"/>
    </row>
    <row r="142" spans="1:28" x14ac:dyDescent="0.2">
      <c r="A142" s="15"/>
      <c r="B142" s="15"/>
      <c r="C142"/>
      <c r="D142"/>
      <c r="E142" s="556"/>
      <c r="F142" s="556"/>
      <c r="G142" s="15"/>
      <c r="H142" s="15"/>
      <c r="I142" s="15"/>
      <c r="J142" s="556"/>
      <c r="K142" s="556"/>
      <c r="L142" s="556"/>
      <c r="M142" s="556"/>
      <c r="N142" s="556"/>
      <c r="O142" s="556"/>
      <c r="P142" s="556"/>
      <c r="Q142" s="556"/>
      <c r="R142" s="15"/>
      <c r="S142" s="15"/>
      <c r="T142" s="15"/>
      <c r="U142" s="15"/>
      <c r="V142" s="15"/>
      <c r="W142" s="15"/>
      <c r="X142" s="15"/>
      <c r="Y142" s="15"/>
      <c r="Z142" s="15"/>
      <c r="AA142" s="15"/>
      <c r="AB142" s="15"/>
    </row>
    <row r="143" spans="1:28" x14ac:dyDescent="0.2">
      <c r="A143" s="15"/>
      <c r="B143" s="15"/>
      <c r="C143"/>
      <c r="D143"/>
      <c r="E143" s="556"/>
      <c r="F143" s="556"/>
      <c r="G143" s="15"/>
      <c r="H143" s="15"/>
      <c r="I143" s="15"/>
      <c r="J143" s="556"/>
      <c r="K143" s="556"/>
      <c r="L143" s="556"/>
      <c r="M143" s="556"/>
      <c r="N143" s="556"/>
      <c r="O143" s="556"/>
      <c r="P143" s="556"/>
      <c r="Q143" s="556"/>
      <c r="R143" s="15"/>
      <c r="S143" s="15"/>
      <c r="T143" s="15"/>
      <c r="U143" s="15"/>
      <c r="V143" s="15"/>
      <c r="W143" s="15"/>
      <c r="X143" s="15"/>
      <c r="Y143" s="15"/>
      <c r="Z143" s="15"/>
      <c r="AA143" s="15"/>
      <c r="AB143" s="15"/>
    </row>
    <row r="144" spans="1:28" x14ac:dyDescent="0.2">
      <c r="A144" s="15"/>
      <c r="B144" s="15"/>
      <c r="C144"/>
      <c r="D144"/>
      <c r="E144" s="556"/>
      <c r="F144" s="556"/>
      <c r="G144" s="15"/>
      <c r="H144" s="15"/>
      <c r="I144" s="15"/>
      <c r="J144" s="556"/>
      <c r="K144" s="556"/>
      <c r="L144" s="556"/>
      <c r="M144" s="556"/>
      <c r="N144" s="556"/>
      <c r="O144" s="556"/>
      <c r="P144" s="556"/>
      <c r="Q144" s="556"/>
      <c r="R144" s="15"/>
      <c r="S144" s="15"/>
      <c r="T144" s="15"/>
      <c r="U144" s="15"/>
      <c r="V144" s="15"/>
      <c r="W144" s="15"/>
      <c r="X144" s="15"/>
      <c r="Y144" s="15"/>
      <c r="Z144" s="15"/>
      <c r="AA144" s="15"/>
      <c r="AB144" s="15"/>
    </row>
    <row r="145" spans="2:17" x14ac:dyDescent="0.2">
      <c r="B145" s="15"/>
      <c r="C145"/>
      <c r="D145"/>
      <c r="E145" s="556"/>
      <c r="F145" s="33"/>
      <c r="G145" s="15"/>
      <c r="H145" s="15"/>
      <c r="I145" s="15"/>
      <c r="J145" s="556"/>
      <c r="K145" s="556"/>
      <c r="L145" s="556"/>
      <c r="M145" s="556"/>
      <c r="N145" s="556"/>
      <c r="O145" s="556"/>
      <c r="P145" s="556"/>
      <c r="Q145" s="556"/>
    </row>
    <row r="146" spans="2:17" x14ac:dyDescent="0.2">
      <c r="B146" s="15"/>
      <c r="C146"/>
      <c r="D146"/>
      <c r="E146" s="15"/>
      <c r="F146" s="15"/>
      <c r="G146" s="15"/>
      <c r="H146" s="15"/>
      <c r="I146" s="15"/>
      <c r="J146" s="556"/>
      <c r="K146" s="556"/>
      <c r="L146" s="556"/>
      <c r="M146" s="556"/>
      <c r="N146" s="556"/>
      <c r="O146" s="556"/>
      <c r="P146" s="556"/>
      <c r="Q146" s="556"/>
    </row>
    <row r="147" spans="2:17" x14ac:dyDescent="0.2">
      <c r="C147"/>
      <c r="D147"/>
      <c r="E147" s="15"/>
      <c r="F147" s="15"/>
      <c r="G147" s="15"/>
      <c r="H147" s="15"/>
      <c r="I147" s="15"/>
      <c r="J147" s="556"/>
      <c r="K147" s="556"/>
      <c r="L147" s="556"/>
      <c r="M147" s="556"/>
      <c r="N147" s="556"/>
      <c r="O147" s="556"/>
      <c r="P147" s="556"/>
      <c r="Q147" s="556"/>
    </row>
    <row r="148" spans="2:17" x14ac:dyDescent="0.2">
      <c r="C148"/>
      <c r="D148"/>
      <c r="E148" s="15"/>
      <c r="F148" s="15"/>
      <c r="G148" s="15"/>
      <c r="H148" s="15"/>
      <c r="I148" s="15"/>
      <c r="J148" s="556"/>
      <c r="K148" s="556"/>
      <c r="L148" s="556"/>
      <c r="M148" s="556"/>
      <c r="N148" s="556"/>
      <c r="O148" s="556"/>
      <c r="P148" s="556"/>
      <c r="Q148" s="556"/>
    </row>
    <row r="149" spans="2:17" x14ac:dyDescent="0.2">
      <c r="C149"/>
      <c r="D149"/>
      <c r="E149" s="15"/>
      <c r="F149" s="15"/>
      <c r="G149" s="15"/>
      <c r="H149" s="15"/>
      <c r="I149" s="15"/>
      <c r="J149" s="556"/>
      <c r="K149" s="556"/>
      <c r="L149" s="556"/>
      <c r="M149" s="556"/>
      <c r="N149" s="556"/>
      <c r="O149" s="556"/>
      <c r="P149" s="556"/>
      <c r="Q149" s="556"/>
    </row>
    <row r="150" spans="2:17" x14ac:dyDescent="0.2">
      <c r="C150"/>
      <c r="D150"/>
      <c r="E150" s="15"/>
      <c r="F150" s="15"/>
      <c r="G150" s="15"/>
      <c r="H150" s="15"/>
      <c r="I150" s="15"/>
      <c r="J150" s="556"/>
      <c r="K150" s="556"/>
      <c r="L150" s="556"/>
      <c r="M150" s="556"/>
      <c r="N150" s="556"/>
      <c r="O150" s="556"/>
      <c r="P150" s="556"/>
      <c r="Q150" s="556"/>
    </row>
    <row r="151" spans="2:17" x14ac:dyDescent="0.2">
      <c r="C151"/>
      <c r="D151"/>
      <c r="E151" s="15"/>
      <c r="F151" s="15"/>
      <c r="G151" s="15"/>
      <c r="H151" s="15"/>
      <c r="I151" s="15"/>
      <c r="J151" s="556"/>
      <c r="K151" s="556"/>
      <c r="L151" s="556"/>
      <c r="M151" s="556"/>
      <c r="N151" s="556"/>
      <c r="O151" s="556"/>
      <c r="P151" s="556"/>
      <c r="Q151" s="556"/>
    </row>
    <row r="152" spans="2:17" x14ac:dyDescent="0.2">
      <c r="C152"/>
      <c r="D152"/>
      <c r="E152" s="15"/>
      <c r="F152" s="15"/>
      <c r="G152" s="15"/>
      <c r="H152" s="15"/>
      <c r="I152" s="15"/>
      <c r="J152" s="556"/>
      <c r="K152" s="556"/>
      <c r="L152" s="556"/>
      <c r="M152" s="556"/>
      <c r="N152" s="556"/>
      <c r="O152" s="556"/>
      <c r="P152" s="556"/>
      <c r="Q152" s="556"/>
    </row>
    <row r="153" spans="2:17" x14ac:dyDescent="0.2">
      <c r="C153"/>
      <c r="D153"/>
      <c r="E153" s="15"/>
      <c r="F153" s="15"/>
      <c r="G153" s="15"/>
      <c r="H153" s="15"/>
      <c r="I153" s="15"/>
      <c r="J153" s="556"/>
      <c r="K153" s="556"/>
      <c r="L153" s="556"/>
      <c r="M153" s="556"/>
      <c r="N153" s="556"/>
      <c r="O153" s="556"/>
      <c r="P153" s="556"/>
      <c r="Q153" s="556"/>
    </row>
    <row r="154" spans="2:17" x14ac:dyDescent="0.2">
      <c r="C154"/>
      <c r="D154"/>
      <c r="E154" s="15"/>
      <c r="F154" s="15"/>
      <c r="G154" s="15"/>
      <c r="H154" s="15"/>
      <c r="I154" s="15"/>
      <c r="J154" s="556"/>
      <c r="K154" s="556"/>
      <c r="L154" s="556"/>
      <c r="M154" s="556"/>
      <c r="N154" s="556"/>
      <c r="O154" s="556"/>
      <c r="P154" s="556"/>
      <c r="Q154" s="556"/>
    </row>
    <row r="155" spans="2:17" x14ac:dyDescent="0.2">
      <c r="C155"/>
      <c r="D155"/>
      <c r="E155" s="15"/>
      <c r="F155" s="15"/>
      <c r="G155" s="15"/>
      <c r="H155" s="15"/>
      <c r="I155" s="15"/>
      <c r="J155" s="556"/>
      <c r="K155" s="556"/>
      <c r="L155" s="556"/>
      <c r="M155" s="556"/>
      <c r="N155" s="556"/>
      <c r="O155" s="556"/>
      <c r="P155" s="556"/>
      <c r="Q155" s="556"/>
    </row>
    <row r="156" spans="2:17" x14ac:dyDescent="0.2">
      <c r="C156"/>
      <c r="D156"/>
      <c r="E156" s="15"/>
      <c r="F156" s="15"/>
      <c r="G156" s="15"/>
      <c r="H156" s="15"/>
      <c r="I156" s="15"/>
      <c r="J156" s="556"/>
      <c r="K156" s="556"/>
      <c r="L156" s="556"/>
      <c r="M156" s="556"/>
      <c r="N156" s="556"/>
      <c r="O156" s="556"/>
      <c r="P156" s="556"/>
      <c r="Q156" s="556"/>
    </row>
    <row r="157" spans="2:17" x14ac:dyDescent="0.2">
      <c r="C157"/>
      <c r="D157"/>
      <c r="E157" s="15"/>
      <c r="F157" s="15"/>
      <c r="G157" s="15"/>
      <c r="H157" s="15"/>
      <c r="I157" s="15"/>
      <c r="J157" s="556"/>
      <c r="K157" s="556"/>
      <c r="L157" s="556"/>
      <c r="M157" s="556"/>
      <c r="N157" s="556"/>
      <c r="O157" s="556"/>
      <c r="P157" s="556"/>
      <c r="Q157" s="556"/>
    </row>
    <row r="158" spans="2:17" x14ac:dyDescent="0.2">
      <c r="C158"/>
      <c r="D158"/>
      <c r="E158" s="15"/>
      <c r="F158" s="15"/>
      <c r="G158" s="15"/>
      <c r="H158" s="15"/>
      <c r="I158" s="15"/>
      <c r="J158" s="556"/>
      <c r="K158" s="556"/>
      <c r="L158" s="556"/>
      <c r="M158" s="556"/>
      <c r="N158" s="556"/>
      <c r="O158" s="556"/>
      <c r="P158" s="556"/>
      <c r="Q158" s="556"/>
    </row>
    <row r="159" spans="2:17" x14ac:dyDescent="0.2">
      <c r="C159"/>
      <c r="D159"/>
      <c r="E159" s="15"/>
      <c r="F159" s="15"/>
      <c r="G159" s="15"/>
      <c r="H159" s="15"/>
      <c r="I159" s="15"/>
      <c r="J159" s="556"/>
      <c r="K159" s="556"/>
      <c r="L159" s="556"/>
      <c r="M159" s="556"/>
      <c r="N159" s="556"/>
      <c r="O159" s="556"/>
      <c r="P159" s="556"/>
      <c r="Q159" s="556"/>
    </row>
    <row r="160" spans="2:17" x14ac:dyDescent="0.2">
      <c r="C160"/>
      <c r="D160"/>
      <c r="E160" s="15"/>
      <c r="F160" s="15"/>
      <c r="G160" s="15"/>
      <c r="H160" s="15"/>
      <c r="I160" s="15"/>
      <c r="J160" s="556"/>
      <c r="K160" s="556"/>
      <c r="L160" s="556"/>
      <c r="M160" s="556"/>
      <c r="N160" s="556"/>
      <c r="O160" s="556"/>
      <c r="P160" s="556"/>
      <c r="Q160" s="556"/>
    </row>
    <row r="161" spans="3:17" x14ac:dyDescent="0.2">
      <c r="C161"/>
      <c r="D161"/>
      <c r="E161" s="15"/>
      <c r="F161" s="15"/>
      <c r="G161" s="15"/>
      <c r="H161" s="15"/>
      <c r="I161" s="15"/>
      <c r="J161" s="556"/>
      <c r="K161" s="556"/>
      <c r="L161" s="556"/>
      <c r="M161" s="556"/>
      <c r="N161" s="556"/>
      <c r="O161" s="556"/>
      <c r="P161" s="556"/>
      <c r="Q161" s="556"/>
    </row>
    <row r="162" spans="3:17" x14ac:dyDescent="0.2">
      <c r="C162"/>
      <c r="D162"/>
      <c r="E162" s="15"/>
      <c r="F162" s="15"/>
      <c r="G162" s="15"/>
      <c r="H162" s="15"/>
      <c r="I162" s="15"/>
      <c r="J162" s="556"/>
      <c r="K162" s="556"/>
      <c r="L162" s="556"/>
      <c r="M162" s="556"/>
      <c r="N162" s="556"/>
      <c r="O162" s="556"/>
      <c r="P162" s="556"/>
      <c r="Q162" s="556"/>
    </row>
    <row r="163" spans="3:17" x14ac:dyDescent="0.2">
      <c r="C163"/>
      <c r="D163"/>
      <c r="E163" s="15"/>
      <c r="F163" s="15"/>
      <c r="G163" s="15"/>
      <c r="H163" s="15"/>
      <c r="I163" s="15"/>
      <c r="J163" s="556"/>
      <c r="K163" s="556"/>
      <c r="L163" s="556"/>
      <c r="M163" s="556"/>
      <c r="N163" s="556"/>
      <c r="O163" s="556"/>
      <c r="P163" s="556"/>
      <c r="Q163" s="556"/>
    </row>
    <row r="164" spans="3:17" x14ac:dyDescent="0.2">
      <c r="C164"/>
      <c r="D164"/>
      <c r="E164" s="15"/>
      <c r="F164" s="15"/>
      <c r="G164" s="15"/>
      <c r="H164" s="15"/>
      <c r="I164" s="15"/>
      <c r="J164" s="556"/>
      <c r="K164" s="556"/>
      <c r="L164" s="556"/>
      <c r="M164" s="556"/>
      <c r="N164" s="556"/>
      <c r="O164" s="556"/>
      <c r="P164" s="556"/>
      <c r="Q164" s="556"/>
    </row>
    <row r="165" spans="3:17" x14ac:dyDescent="0.2">
      <c r="C165"/>
      <c r="D165"/>
      <c r="E165" s="15"/>
      <c r="F165" s="15"/>
      <c r="G165" s="15"/>
      <c r="H165" s="15"/>
      <c r="I165" s="15"/>
      <c r="J165" s="556"/>
      <c r="K165" s="556"/>
      <c r="L165" s="556"/>
      <c r="M165" s="556"/>
      <c r="N165" s="556"/>
      <c r="O165" s="556"/>
      <c r="P165" s="556"/>
      <c r="Q165" s="556"/>
    </row>
    <row r="166" spans="3:17" x14ac:dyDescent="0.2">
      <c r="C166"/>
      <c r="D166"/>
      <c r="E166" s="15"/>
      <c r="F166" s="15"/>
      <c r="G166" s="15"/>
      <c r="H166" s="15"/>
      <c r="I166" s="15"/>
      <c r="J166" s="556"/>
      <c r="K166" s="556"/>
      <c r="L166" s="556"/>
      <c r="M166" s="556"/>
      <c r="N166" s="556"/>
      <c r="O166" s="556"/>
      <c r="P166" s="556"/>
      <c r="Q166" s="556"/>
    </row>
    <row r="167" spans="3:17" x14ac:dyDescent="0.2">
      <c r="C167"/>
      <c r="D167"/>
      <c r="E167" s="15"/>
      <c r="F167" s="15"/>
      <c r="G167" s="15"/>
      <c r="H167" s="15"/>
      <c r="I167" s="15"/>
      <c r="J167" s="556"/>
      <c r="K167" s="556"/>
      <c r="L167" s="556"/>
      <c r="M167" s="556"/>
      <c r="N167" s="556"/>
      <c r="O167" s="556"/>
      <c r="P167" s="556"/>
      <c r="Q167" s="556"/>
    </row>
    <row r="168" spans="3:17" x14ac:dyDescent="0.2">
      <c r="C168"/>
      <c r="D168"/>
      <c r="E168" s="15"/>
      <c r="F168" s="15"/>
      <c r="G168" s="15"/>
      <c r="H168" s="15"/>
      <c r="I168" s="15"/>
      <c r="J168" s="556"/>
      <c r="K168" s="556"/>
      <c r="L168" s="556"/>
      <c r="M168" s="556"/>
      <c r="N168" s="556"/>
      <c r="O168" s="556"/>
      <c r="P168" s="556"/>
      <c r="Q168" s="556"/>
    </row>
    <row r="169" spans="3:17" x14ac:dyDescent="0.2">
      <c r="C169"/>
      <c r="D169"/>
      <c r="E169" s="15"/>
      <c r="F169" s="15"/>
      <c r="G169" s="15"/>
      <c r="H169" s="15"/>
      <c r="I169" s="15"/>
      <c r="J169" s="556"/>
      <c r="K169" s="556"/>
      <c r="L169" s="556"/>
      <c r="M169" s="556"/>
      <c r="N169" s="556"/>
      <c r="O169" s="556"/>
      <c r="P169" s="556"/>
      <c r="Q169" s="556"/>
    </row>
    <row r="170" spans="3:17" x14ac:dyDescent="0.2">
      <c r="C170"/>
      <c r="D170"/>
      <c r="E170" s="15"/>
      <c r="F170" s="15"/>
      <c r="G170" s="15"/>
      <c r="H170" s="15"/>
      <c r="I170" s="15"/>
      <c r="J170" s="556"/>
      <c r="K170" s="556"/>
      <c r="L170" s="556"/>
      <c r="M170" s="556"/>
      <c r="N170" s="556"/>
      <c r="O170" s="556"/>
      <c r="P170" s="556"/>
      <c r="Q170" s="556"/>
    </row>
    <row r="171" spans="3:17" x14ac:dyDescent="0.2">
      <c r="C171"/>
      <c r="D171"/>
      <c r="E171" s="15"/>
      <c r="F171" s="15"/>
      <c r="G171" s="15"/>
      <c r="H171" s="15"/>
      <c r="I171" s="15"/>
      <c r="J171" s="556"/>
      <c r="K171" s="556"/>
      <c r="L171" s="556"/>
      <c r="M171" s="556"/>
      <c r="N171" s="556"/>
      <c r="O171" s="556"/>
      <c r="P171" s="556"/>
      <c r="Q171" s="556"/>
    </row>
    <row r="172" spans="3:17" x14ac:dyDescent="0.2">
      <c r="C172"/>
      <c r="D172"/>
      <c r="E172" s="15"/>
      <c r="F172" s="15"/>
      <c r="G172" s="15"/>
      <c r="H172" s="15"/>
      <c r="I172" s="15"/>
      <c r="J172" s="556"/>
      <c r="K172" s="556"/>
      <c r="L172" s="556"/>
      <c r="M172" s="556"/>
      <c r="N172" s="556"/>
      <c r="O172" s="556"/>
      <c r="P172" s="556"/>
      <c r="Q172" s="556"/>
    </row>
    <row r="173" spans="3:17" x14ac:dyDescent="0.2">
      <c r="C173"/>
      <c r="D173"/>
      <c r="E173" s="15"/>
      <c r="F173" s="15"/>
      <c r="G173" s="15"/>
      <c r="H173" s="15"/>
      <c r="I173" s="15"/>
      <c r="J173" s="556"/>
      <c r="K173" s="556"/>
      <c r="L173" s="556"/>
      <c r="M173" s="556"/>
      <c r="N173" s="556"/>
      <c r="O173" s="556"/>
      <c r="P173" s="556"/>
      <c r="Q173" s="556"/>
    </row>
    <row r="174" spans="3:17" x14ac:dyDescent="0.2">
      <c r="C174"/>
      <c r="D174"/>
      <c r="E174" s="15"/>
      <c r="F174" s="15"/>
      <c r="G174" s="15"/>
      <c r="H174" s="15"/>
      <c r="I174" s="15"/>
      <c r="J174" s="556"/>
      <c r="K174" s="556"/>
      <c r="L174" s="556"/>
      <c r="M174" s="556"/>
      <c r="N174" s="556"/>
      <c r="O174" s="556"/>
      <c r="P174" s="556"/>
      <c r="Q174" s="556"/>
    </row>
    <row r="175" spans="3:17" x14ac:dyDescent="0.2">
      <c r="C175"/>
      <c r="D175"/>
      <c r="E175" s="15"/>
      <c r="F175" s="15"/>
      <c r="G175" s="15"/>
      <c r="H175" s="15"/>
      <c r="I175" s="15"/>
      <c r="J175" s="556"/>
      <c r="K175" s="556"/>
      <c r="L175" s="556"/>
      <c r="M175" s="556"/>
      <c r="N175" s="556"/>
      <c r="O175" s="556"/>
      <c r="P175" s="556"/>
      <c r="Q175" s="556"/>
    </row>
    <row r="176" spans="3:17" x14ac:dyDescent="0.2">
      <c r="C176" s="15"/>
      <c r="D176" s="15"/>
      <c r="E176" s="15"/>
      <c r="F176" s="15"/>
      <c r="G176" s="15"/>
      <c r="H176" s="15"/>
      <c r="I176" s="15"/>
      <c r="J176" s="556"/>
      <c r="K176" s="556"/>
      <c r="L176" s="556"/>
      <c r="M176" s="556"/>
      <c r="N176" s="556"/>
      <c r="O176" s="556"/>
      <c r="P176" s="556"/>
      <c r="Q176" s="556"/>
    </row>
    <row r="177" spans="3:17" x14ac:dyDescent="0.2">
      <c r="C177" s="15"/>
      <c r="D177" s="15"/>
      <c r="E177" s="15"/>
      <c r="F177" s="15"/>
      <c r="G177" s="15"/>
      <c r="H177" s="15"/>
      <c r="I177" s="15"/>
      <c r="J177" s="556"/>
      <c r="K177" s="556"/>
      <c r="L177" s="556"/>
      <c r="M177" s="556"/>
      <c r="N177" s="556"/>
      <c r="O177" s="556"/>
      <c r="P177" s="556"/>
      <c r="Q177" s="556"/>
    </row>
    <row r="178" spans="3:17" x14ac:dyDescent="0.2">
      <c r="C178" s="15"/>
      <c r="D178" s="15"/>
      <c r="E178" s="15"/>
      <c r="F178" s="15"/>
      <c r="G178" s="15"/>
      <c r="H178" s="15"/>
      <c r="I178" s="15"/>
      <c r="J178" s="556"/>
      <c r="K178" s="556"/>
      <c r="L178" s="556"/>
      <c r="M178" s="556"/>
      <c r="N178" s="556"/>
      <c r="O178" s="556"/>
      <c r="P178" s="556"/>
      <c r="Q178" s="556"/>
    </row>
    <row r="179" spans="3:17" x14ac:dyDescent="0.2">
      <c r="C179" s="15"/>
      <c r="D179" s="15"/>
      <c r="E179" s="15"/>
      <c r="F179" s="15"/>
      <c r="G179" s="15"/>
      <c r="H179" s="15"/>
      <c r="I179" s="15"/>
      <c r="J179" s="556"/>
      <c r="K179" s="556"/>
      <c r="L179" s="556"/>
      <c r="M179" s="556"/>
      <c r="N179" s="556"/>
      <c r="O179" s="556"/>
      <c r="P179" s="556"/>
      <c r="Q179" s="556"/>
    </row>
  </sheetData>
  <sheetProtection algorithmName="SHA-512" hashValue="0iIpdH8uKZqEYyQc02c/L8EUzJO//dt3czHRciLgGydyd+ygFfMVmbR3aS2goAzMsYAvP4xpfnkYVphJf7rJrA==" saltValue="wxawDc1MXVHCB986cB9+yQ==" spinCount="100000" sheet="1" objects="1" scenarios="1"/>
  <mergeCells count="3">
    <mergeCell ref="D48:J52"/>
    <mergeCell ref="C2:Q2"/>
    <mergeCell ref="A2:A3"/>
  </mergeCells>
  <phoneticPr fontId="9" type="noConversion"/>
  <conditionalFormatting sqref="C48:C52 C5:Q17 D18:G22 C6:C44">
    <cfRule type="cellIs" dxfId="34" priority="4" stopIfTrue="1" operator="equal">
      <formula>0</formula>
    </cfRule>
  </conditionalFormatting>
  <conditionalFormatting sqref="C61:C72">
    <cfRule type="cellIs" dxfId="33" priority="1" stopIfTrue="1" operator="equal">
      <formula>0</formula>
    </cfRule>
  </conditionalFormatting>
  <printOptions horizontalCentered="1" verticalCentered="1"/>
  <pageMargins left="0" right="0" top="0" bottom="0" header="0.51181102362204722" footer="0"/>
  <pageSetup paperSize="9" scale="54" fitToWidth="2" orientation="landscape" r:id="rId1"/>
  <headerFooter alignWithMargins="0">
    <oddHeader>&amp;A</oddHeader>
    <oddFooter>&amp;R&amp;D  &amp;T</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E84FEEFF2B3445A2FD9A05564CC876" ma:contentTypeVersion="19" ma:contentTypeDescription="Create a new document." ma:contentTypeScope="" ma:versionID="351e85753864b14909df5d3eaf6f4b00">
  <xsd:schema xmlns:xsd="http://www.w3.org/2001/XMLSchema" xmlns:xs="http://www.w3.org/2001/XMLSchema" xmlns:p="http://schemas.microsoft.com/office/2006/metadata/properties" xmlns:ns2="f1252947-2001-457f-98a7-1c95e98e9bef" xmlns:ns3="40c849ac-f25b-439c-9308-2a977caa9bc0" targetNamespace="http://schemas.microsoft.com/office/2006/metadata/properties" ma:root="true" ma:fieldsID="accb5f70bf0a1eb27bb3c764dae44b16" ns2:_="" ns3:_="">
    <xsd:import namespace="f1252947-2001-457f-98a7-1c95e98e9bef"/>
    <xsd:import namespace="40c849ac-f25b-439c-9308-2a977caa9bc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252947-2001-457f-98a7-1c95e98e9be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5c49aafc-6ab0-49c0-87b2-6b4cfc6118f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0c849ac-f25b-439c-9308-2a977caa9bc0"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a9ec9de9-deb0-444e-bf89-2f63388793b9}" ma:internalName="TaxCatchAll" ma:showField="CatchAllData" ma:web="40c849ac-f25b-439c-9308-2a977caa9bc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c849ac-f25b-439c-9308-2a977caa9bc0" xsi:nil="true"/>
    <lcf76f155ced4ddcb4097134ff3c332f xmlns="f1252947-2001-457f-98a7-1c95e98e9be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1F5ADEC-2080-4895-B0E5-BB25C4153CD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252947-2001-457f-98a7-1c95e98e9bef"/>
    <ds:schemaRef ds:uri="40c849ac-f25b-439c-9308-2a977caa9b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ABA03EF-9EF7-4BCB-87B5-A2CD29DED797}">
  <ds:schemaRefs>
    <ds:schemaRef ds:uri="http://schemas.microsoft.com/office/2006/documentManagement/types"/>
    <ds:schemaRef ds:uri="http://schemas.microsoft.com/office/infopath/2007/PartnerControls"/>
    <ds:schemaRef ds:uri="http://purl.org/dc/terms/"/>
    <ds:schemaRef ds:uri="40c849ac-f25b-439c-9308-2a977caa9bc0"/>
    <ds:schemaRef ds:uri="http://schemas.microsoft.com/office/2006/metadata/properties"/>
    <ds:schemaRef ds:uri="http://schemas.openxmlformats.org/package/2006/metadata/core-properties"/>
    <ds:schemaRef ds:uri="http://purl.org/dc/dcmitype/"/>
    <ds:schemaRef ds:uri="http://www.w3.org/XML/1998/namespace"/>
    <ds:schemaRef ds:uri="f1252947-2001-457f-98a7-1c95e98e9bef"/>
    <ds:schemaRef ds:uri="http://purl.org/dc/elements/1.1/"/>
  </ds:schemaRefs>
</ds:datastoreItem>
</file>

<file path=customXml/itemProps3.xml><?xml version="1.0" encoding="utf-8"?>
<ds:datastoreItem xmlns:ds="http://schemas.openxmlformats.org/officeDocument/2006/customXml" ds:itemID="{3E417785-4F85-4E66-9AEB-F8561E92B1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198</vt:i4>
      </vt:variant>
    </vt:vector>
  </HeadingPairs>
  <TitlesOfParts>
    <vt:vector size="234" baseType="lpstr">
      <vt:lpstr>Main Menu</vt:lpstr>
      <vt:lpstr>TableOfContents</vt:lpstr>
      <vt:lpstr>Definitions</vt:lpstr>
      <vt:lpstr>For printing</vt:lpstr>
      <vt:lpstr>Conversion factors</vt:lpstr>
      <vt:lpstr>Disaggregated Balance</vt:lpstr>
      <vt:lpstr>Aggregated Balance</vt:lpstr>
      <vt:lpstr>Published Balance</vt:lpstr>
      <vt:lpstr>Balance Summary</vt:lpstr>
      <vt:lpstr>Coal_Table_1</vt:lpstr>
      <vt:lpstr>Coal_Table_4</vt:lpstr>
      <vt:lpstr>Gas_Table_1</vt:lpstr>
      <vt:lpstr>Gas_Table_2a</vt:lpstr>
      <vt:lpstr>Gas_Table_2b</vt:lpstr>
      <vt:lpstr>Oil_Table_1</vt:lpstr>
      <vt:lpstr>Oil_Table_2a</vt:lpstr>
      <vt:lpstr>Oil_Table_3a</vt:lpstr>
      <vt:lpstr>Oil_Table_3b</vt:lpstr>
      <vt:lpstr>Ren_Table_1</vt:lpstr>
      <vt:lpstr>Ren_Table_2a</vt:lpstr>
      <vt:lpstr>Ren_Table_3a</vt:lpstr>
      <vt:lpstr>Ele_Table_1</vt:lpstr>
      <vt:lpstr>Ele_Table_3</vt:lpstr>
      <vt:lpstr>Ele_Table_4</vt:lpstr>
      <vt:lpstr>Ele_Table_6a</vt:lpstr>
      <vt:lpstr>Ele_Table_6b</vt:lpstr>
      <vt:lpstr>Ele_Table_6c</vt:lpstr>
      <vt:lpstr>Ele_Table_6d</vt:lpstr>
      <vt:lpstr>Ele_Table_7a</vt:lpstr>
      <vt:lpstr>IronSteel_CokeOven</vt:lpstr>
      <vt:lpstr>IronSteel_BlastFurnace</vt:lpstr>
      <vt:lpstr>Refinery</vt:lpstr>
      <vt:lpstr>Electricity_Heat_II</vt:lpstr>
      <vt:lpstr>CapacityFactor</vt:lpstr>
      <vt:lpstr>Electricity_Heat_I</vt:lpstr>
      <vt:lpstr>VersionHistory</vt:lpstr>
      <vt:lpstr>ADDITIVE</vt:lpstr>
      <vt:lpstr>AGRICULT</vt:lpstr>
      <vt:lpstr>ANTCOAL</vt:lpstr>
      <vt:lpstr>AUTOCHP</vt:lpstr>
      <vt:lpstr>AUTOELEC</vt:lpstr>
      <vt:lpstr>AUTOHEAT</vt:lpstr>
      <vt:lpstr>AVBUNK</vt:lpstr>
      <vt:lpstr>AVGAS</vt:lpstr>
      <vt:lpstr>BIGBAL</vt:lpstr>
      <vt:lpstr>BIODIESEL</vt:lpstr>
      <vt:lpstr>BIOGASES</vt:lpstr>
      <vt:lpstr>BIOGASOL</vt:lpstr>
      <vt:lpstr>BIOJETKERO</vt:lpstr>
      <vt:lpstr>BITCOAL</vt:lpstr>
      <vt:lpstr>BITUMEN</vt:lpstr>
      <vt:lpstr>BKB</vt:lpstr>
      <vt:lpstr>BLFURGS</vt:lpstr>
      <vt:lpstr>BOILER</vt:lpstr>
      <vt:lpstr>CFHeadings</vt:lpstr>
      <vt:lpstr>CHARCOAL</vt:lpstr>
      <vt:lpstr>CHEMHEAT</vt:lpstr>
      <vt:lpstr>CHEMICAL</vt:lpstr>
      <vt:lpstr>COALTAR</vt:lpstr>
      <vt:lpstr>COKCOAL</vt:lpstr>
      <vt:lpstr>COKEOVGS</vt:lpstr>
      <vt:lpstr>COMMPUB</vt:lpstr>
      <vt:lpstr>CONSTRUC</vt:lpstr>
      <vt:lpstr>Countries</vt:lpstr>
      <vt:lpstr>CountryName</vt:lpstr>
      <vt:lpstr>CRUDEOIL</vt:lpstr>
      <vt:lpstr>DataYear</vt:lpstr>
      <vt:lpstr>DISTLOSS</vt:lpstr>
      <vt:lpstr>DOMESAIR</vt:lpstr>
      <vt:lpstr>DOMESNAV</vt:lpstr>
      <vt:lpstr>DOMSUP</vt:lpstr>
      <vt:lpstr>EBIOGAS</vt:lpstr>
      <vt:lpstr>EBKB</vt:lpstr>
      <vt:lpstr>EBLASTFUR</vt:lpstr>
      <vt:lpstr>ECHARCOAL</vt:lpstr>
      <vt:lpstr>ECOALLIQ</vt:lpstr>
      <vt:lpstr>ECOKEOVS</vt:lpstr>
      <vt:lpstr>EGASWKS</vt:lpstr>
      <vt:lpstr>EGTL</vt:lpstr>
      <vt:lpstr>ELECTR</vt:lpstr>
      <vt:lpstr>ELNG</vt:lpstr>
      <vt:lpstr>ELOUTPUT</vt:lpstr>
      <vt:lpstr>EMINES</vt:lpstr>
      <vt:lpstr>ENONSPEC</vt:lpstr>
      <vt:lpstr>ENUC</vt:lpstr>
      <vt:lpstr>EOILGASEX</vt:lpstr>
      <vt:lpstr>EPATFUEL</vt:lpstr>
      <vt:lpstr>EPOWERPLT</vt:lpstr>
      <vt:lpstr>EPUMPST</vt:lpstr>
      <vt:lpstr>EREFINER</vt:lpstr>
      <vt:lpstr>ETHANE</vt:lpstr>
      <vt:lpstr>EXPORTS</vt:lpstr>
      <vt:lpstr>file_coal</vt:lpstr>
      <vt:lpstr>file_electricity</vt:lpstr>
      <vt:lpstr>file_gas</vt:lpstr>
      <vt:lpstr>file_oil</vt:lpstr>
      <vt:lpstr>file_renewables</vt:lpstr>
      <vt:lpstr>FINCONS</vt:lpstr>
      <vt:lpstr>FISHING</vt:lpstr>
      <vt:lpstr>FOODPRO</vt:lpstr>
      <vt:lpstr>gas_file</vt:lpstr>
      <vt:lpstr>GASCOKE</vt:lpstr>
      <vt:lpstr>GASWKSGS</vt:lpstr>
      <vt:lpstr>GBIOMASS</vt:lpstr>
      <vt:lpstr>GEOTHERM</vt:lpstr>
      <vt:lpstr>GWh_to_ktoe</vt:lpstr>
      <vt:lpstr>HEAT</vt:lpstr>
      <vt:lpstr>HEATNS</vt:lpstr>
      <vt:lpstr>HEATOUT</vt:lpstr>
      <vt:lpstr>HEATPUMP</vt:lpstr>
      <vt:lpstr>HYDRO</vt:lpstr>
      <vt:lpstr>IMPORTS</vt:lpstr>
      <vt:lpstr>INDPROD</vt:lpstr>
      <vt:lpstr>INDWASTE</vt:lpstr>
      <vt:lpstr>INONSPEC</vt:lpstr>
      <vt:lpstr>IRONSTL</vt:lpstr>
      <vt:lpstr>JETGAS</vt:lpstr>
      <vt:lpstr>JETKERO</vt:lpstr>
      <vt:lpstr>kJ_to_ktoe</vt:lpstr>
      <vt:lpstr>kJ_to_TJ</vt:lpstr>
      <vt:lpstr>kt_to_kg</vt:lpstr>
      <vt:lpstr>LangChoice</vt:lpstr>
      <vt:lpstr>LatestYear</vt:lpstr>
      <vt:lpstr>LIGNITE</vt:lpstr>
      <vt:lpstr>LPG</vt:lpstr>
      <vt:lpstr>LUBRIC</vt:lpstr>
      <vt:lpstr>MACHINE</vt:lpstr>
      <vt:lpstr>MAINCHP</vt:lpstr>
      <vt:lpstr>MAINELEC</vt:lpstr>
      <vt:lpstr>MAINHEAT</vt:lpstr>
      <vt:lpstr>MANGAS</vt:lpstr>
      <vt:lpstr>MARBUNK</vt:lpstr>
      <vt:lpstr>MINING</vt:lpstr>
      <vt:lpstr>MUNWASTEN</vt:lpstr>
      <vt:lpstr>MUNWASTER</vt:lpstr>
      <vt:lpstr>NAPHTHA</vt:lpstr>
      <vt:lpstr>NATGAS</vt:lpstr>
      <vt:lpstr>NECHEM</vt:lpstr>
      <vt:lpstr>NEINTREN</vt:lpstr>
      <vt:lpstr>NEOTHER</vt:lpstr>
      <vt:lpstr>NETRANS</vt:lpstr>
      <vt:lpstr>NGL</vt:lpstr>
      <vt:lpstr>NONBIODIES</vt:lpstr>
      <vt:lpstr>NONBIOGASO</vt:lpstr>
      <vt:lpstr>NONBIOJETK</vt:lpstr>
      <vt:lpstr>NONCRUDE</vt:lpstr>
      <vt:lpstr>NONENUSE</vt:lpstr>
      <vt:lpstr>NONFERR</vt:lpstr>
      <vt:lpstr>NONMET</vt:lpstr>
      <vt:lpstr>nonno</vt:lpstr>
      <vt:lpstr>NUCLEAR</vt:lpstr>
      <vt:lpstr>OBIOLIQ</vt:lpstr>
      <vt:lpstr>OGASES</vt:lpstr>
      <vt:lpstr>oil_file</vt:lpstr>
      <vt:lpstr>OILSHALE</vt:lpstr>
      <vt:lpstr>ONONSPEC</vt:lpstr>
      <vt:lpstr>OSOURCES</vt:lpstr>
      <vt:lpstr>OTHER</vt:lpstr>
      <vt:lpstr>OTHKERO</vt:lpstr>
      <vt:lpstr>OTHNONSPEC</vt:lpstr>
      <vt:lpstr>OVENCOKE</vt:lpstr>
      <vt:lpstr>OXYSTGS</vt:lpstr>
      <vt:lpstr>PAPERPRO</vt:lpstr>
      <vt:lpstr>PARWAX</vt:lpstr>
      <vt:lpstr>PATFUEL</vt:lpstr>
      <vt:lpstr>PEAT</vt:lpstr>
      <vt:lpstr>PEATPROD</vt:lpstr>
      <vt:lpstr>PETCOKE</vt:lpstr>
      <vt:lpstr>PIPELINE</vt:lpstr>
      <vt:lpstr>PRIMSBIO</vt:lpstr>
      <vt:lpstr>'Balance Summary'!Print_Area</vt:lpstr>
      <vt:lpstr>CapacityFactor!Print_Area</vt:lpstr>
      <vt:lpstr>'Conversion factors'!Print_Area</vt:lpstr>
      <vt:lpstr>Electricity_Heat_I!Print_Area</vt:lpstr>
      <vt:lpstr>Electricity_Heat_II!Print_Area</vt:lpstr>
      <vt:lpstr>'For printing'!Print_Area</vt:lpstr>
      <vt:lpstr>IronSteel_BlastFurnace!Print_Area</vt:lpstr>
      <vt:lpstr>IronSteel_CokeOven!Print_Area</vt:lpstr>
      <vt:lpstr>'Published Balance'!Print_Area</vt:lpstr>
      <vt:lpstr>Refinery!Print_Area</vt:lpstr>
      <vt:lpstr>ReportCover!Print_Area</vt:lpstr>
      <vt:lpstr>CapacityFactor!Print_Titles</vt:lpstr>
      <vt:lpstr>'Conversion factors'!Print_Titles</vt:lpstr>
      <vt:lpstr>Electricity_Heat_I!Print_Titles</vt:lpstr>
      <vt:lpstr>Electricity_Heat_II!Print_Titles</vt:lpstr>
      <vt:lpstr>'For printing'!Print_Titles</vt:lpstr>
      <vt:lpstr>IronSteel_CokeOven!Print_Titles</vt:lpstr>
      <vt:lpstr>Refinery!Print_Titles</vt:lpstr>
      <vt:lpstr>RAIL</vt:lpstr>
      <vt:lpstr>RawData</vt:lpstr>
      <vt:lpstr>RawDataHeadings</vt:lpstr>
      <vt:lpstr>REFFEEDS</vt:lpstr>
      <vt:lpstr>REFINGAS</vt:lpstr>
      <vt:lpstr>renewables_file</vt:lpstr>
      <vt:lpstr>RENEWNS</vt:lpstr>
      <vt:lpstr>RESFUEL</vt:lpstr>
      <vt:lpstr>RESIDENT</vt:lpstr>
      <vt:lpstr>ROAD</vt:lpstr>
      <vt:lpstr>SBIOMASS</vt:lpstr>
      <vt:lpstr>SOLARPV</vt:lpstr>
      <vt:lpstr>SOLARTH</vt:lpstr>
      <vt:lpstr>STATDIFF</vt:lpstr>
      <vt:lpstr>STOCKCHA</vt:lpstr>
      <vt:lpstr>SUBCOAL</vt:lpstr>
      <vt:lpstr>TBKB</vt:lpstr>
      <vt:lpstr>TBLASTFUR</vt:lpstr>
      <vt:lpstr>TBLENDGAS</vt:lpstr>
      <vt:lpstr>TBOILER</vt:lpstr>
      <vt:lpstr>TCHARCOAL</vt:lpstr>
      <vt:lpstr>TCOALLIQ</vt:lpstr>
      <vt:lpstr>TCOKEOVS</vt:lpstr>
      <vt:lpstr>TELE</vt:lpstr>
      <vt:lpstr>TEXTILES</vt:lpstr>
      <vt:lpstr>TGASWKS</vt:lpstr>
      <vt:lpstr>TGTL</vt:lpstr>
      <vt:lpstr>THEAT</vt:lpstr>
      <vt:lpstr>TIDE</vt:lpstr>
      <vt:lpstr>TJ_to_ktoe</vt:lpstr>
      <vt:lpstr>TNONSPEC</vt:lpstr>
      <vt:lpstr>TOTENGY</vt:lpstr>
      <vt:lpstr>TOTIND</vt:lpstr>
      <vt:lpstr>TOTOTHER</vt:lpstr>
      <vt:lpstr>TOTTRANF</vt:lpstr>
      <vt:lpstr>TOTTRANS</vt:lpstr>
      <vt:lpstr>TPATFUEL</vt:lpstr>
      <vt:lpstr>TPES</vt:lpstr>
      <vt:lpstr>TPETCHEM</vt:lpstr>
      <vt:lpstr>TRANSEQ</vt:lpstr>
      <vt:lpstr>TRANSFER</vt:lpstr>
      <vt:lpstr>TREFINER</vt:lpstr>
      <vt:lpstr>TRNONSPE</vt:lpstr>
      <vt:lpstr>WHITESP</vt:lpstr>
      <vt:lpstr>WIND</vt:lpstr>
      <vt:lpstr>WOODPRO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IEA Balance</dc:title>
  <dc:subject>calculates balances based on IEA methodology</dc:subject>
  <dc:creator>FAGER-PINTILA Markus, IEA/EXD/EDC/EDC4</dc:creator>
  <cp:keywords/>
  <dc:description/>
  <cp:lastModifiedBy>Luanne Stevens</cp:lastModifiedBy>
  <cp:revision/>
  <cp:lastPrinted>2026-05-04T17:44:54Z</cp:lastPrinted>
  <dcterms:created xsi:type="dcterms:W3CDTF">2001-11-26T09:29:12Z</dcterms:created>
  <dcterms:modified xsi:type="dcterms:W3CDTF">2026-05-04T17:46:10Z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ug solved by">
    <vt:lpwstr>Diego Palma on 13_04_2011</vt:lpwstr>
  </property>
  <property fmtid="{D5CDD505-2E9C-101B-9397-08002B2CF9AE}" pid="3" name="Year bug solved by DP">
    <vt:lpwstr>om 13_04_2011</vt:lpwstr>
  </property>
  <property fmtid="{D5CDD505-2E9C-101B-9397-08002B2CF9AE}" pid="4" name="ContentTypeId">
    <vt:lpwstr>0x01010062E84FEEFF2B3445A2FD9A05564CC876</vt:lpwstr>
  </property>
  <property fmtid="{D5CDD505-2E9C-101B-9397-08002B2CF9AE}" pid="5" name="MediaServiceImageTags">
    <vt:lpwstr/>
  </property>
</Properties>
</file>